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pivotTables/pivotTable1.xml" ContentType="application/vnd.openxmlformats-officedocument.spreadsheetml.pivotTable+xml"/>
  <Override PartName="/xl/drawings/drawing10.xml" ContentType="application/vnd.openxmlformats-officedocument.drawing+xml"/>
  <Override PartName="/xl/tables/table1.xml" ContentType="application/vnd.openxmlformats-officedocument.spreadsheetml.table+xml"/>
  <Override PartName="/xl/comments2.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Users\win 11 ultimate\Desktop\Plan de Accion\PLAN DE ACCION REPORTE INDICADORES\"/>
    </mc:Choice>
  </mc:AlternateContent>
  <bookViews>
    <workbookView xWindow="0" yWindow="0" windowWidth="20490" windowHeight="6930" firstSheet="10" activeTab="13"/>
  </bookViews>
  <sheets>
    <sheet name="MENU CAJA DE HERRAMIENTAS" sheetId="4" r:id="rId1"/>
    <sheet name="Resumen PAA 2023" sheetId="22" r:id="rId2"/>
    <sheet name="Organigrama" sheetId="21" r:id="rId3"/>
    <sheet name="GLOSARIO" sheetId="6" r:id="rId4"/>
    <sheet name="MIPPA 1" sheetId="17" r:id="rId5"/>
    <sheet name="CONOCIMIENTO ENT" sheetId="9" r:id="rId6"/>
    <sheet name="PRIORIZACIÓN (2)" sheetId="20" r:id="rId7"/>
    <sheet name="MIPPA 1.1" sheetId="19" r:id="rId8"/>
    <sheet name="ANALISIS OCI" sheetId="3" r:id="rId9"/>
    <sheet name="MET CALCULO RECURSOS" sheetId="11" r:id="rId10"/>
    <sheet name="1. Horas requeridas PAAI" sheetId="12" r:id="rId11"/>
    <sheet name="MIPPA 2" sheetId="18" r:id="rId12"/>
    <sheet name="2. Días -horas hábiles x vig" sheetId="13" r:id="rId13"/>
    <sheet name="PAA OCI  " sheetId="5" r:id="rId14"/>
    <sheet name="PRIORIZACIÓN" sheetId="1" r:id="rId15"/>
  </sheets>
  <externalReferences>
    <externalReference r:id="rId16"/>
    <externalReference r:id="rId17"/>
  </externalReferences>
  <definedNames>
    <definedName name="_xlnm._FilterDatabase" localSheetId="8" hidden="1">'ANALISIS OCI'!$C$9:$C$88</definedName>
    <definedName name="_xlnm._FilterDatabase" localSheetId="3" hidden="1">GLOSARIO!$A$1:$A$3</definedName>
    <definedName name="_xlnm._FilterDatabase" localSheetId="13" hidden="1">'PAA OCI  '!$A$12:$DC$93</definedName>
    <definedName name="_xlnm._FilterDatabase" localSheetId="14" hidden="1">PRIORIZACIÓN!$Q$12:$Q$29</definedName>
    <definedName name="_ftn1" localSheetId="3">GLOSARIO!$A$19</definedName>
    <definedName name="_ftn2" localSheetId="3">GLOSARIO!$A$21</definedName>
    <definedName name="_ftn3" localSheetId="3">GLOSARIO!$A$22</definedName>
    <definedName name="_ftn4" localSheetId="3">GLOSARIO!$A$23</definedName>
    <definedName name="_ftn5" localSheetId="3">GLOSARIO!$A$24</definedName>
    <definedName name="_ftn6" localSheetId="3">GLOSARIO!$A$25</definedName>
    <definedName name="_ftn7" localSheetId="3">GLOSARIO!$A$26</definedName>
    <definedName name="_ftn8" localSheetId="3">GLOSARIO!$A$27</definedName>
    <definedName name="_ftnref1" localSheetId="3">GLOSARIO!$A$4</definedName>
    <definedName name="_ftnref2" localSheetId="3">GLOSARIO!$A$6</definedName>
    <definedName name="_ftnref3" localSheetId="3">GLOSARIO!$A$7</definedName>
    <definedName name="_ftnref4" localSheetId="3">GLOSARIO!$A$8</definedName>
    <definedName name="_ftnref5" localSheetId="3">GLOSARIO!$A$9</definedName>
    <definedName name="_ftnref6" localSheetId="3">GLOSARIO!$A$11</definedName>
    <definedName name="_ftnref7" localSheetId="3">GLOSARIO!$A$12</definedName>
    <definedName name="_ftnref8" localSheetId="3">GLOSARIO!$A$13</definedName>
    <definedName name="_xlnm.Print_Area" localSheetId="13">'PAA OCI  '!$A$1:$Z$99</definedName>
    <definedName name="DOCUMENTO_RELACIONADO" comment="Registre el documento o soporte del ítem en cuestión. (Físico o Magnético)">'CONOCIMIENTO ENT'!$C$5</definedName>
    <definedName name="riskprob">[1]Lookup!$B$2:$B$5</definedName>
    <definedName name="_xlnm.Print_Titles" localSheetId="13">'PAA OCI  '!$12:$15</definedName>
  </definedNames>
  <calcPr calcId="162913"/>
  <pivotCaches>
    <pivotCache cacheId="0" r:id="rId18"/>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8" i="12" l="1"/>
  <c r="I78" i="12" s="1"/>
  <c r="G77" i="12"/>
  <c r="I77" i="12" s="1"/>
  <c r="C78" i="12"/>
  <c r="C77" i="12"/>
  <c r="C76" i="12"/>
  <c r="C75" i="12"/>
  <c r="G76" i="12"/>
  <c r="I76" i="12" s="1"/>
  <c r="E54" i="12"/>
  <c r="B28" i="20" l="1"/>
  <c r="C29" i="12"/>
  <c r="G29" i="12"/>
  <c r="I29" i="12" s="1"/>
  <c r="G28" i="12"/>
  <c r="I28" i="12" s="1"/>
  <c r="G27" i="12"/>
  <c r="I27" i="12" s="1"/>
  <c r="G26" i="12"/>
  <c r="I26" i="12" s="1"/>
  <c r="G25" i="12"/>
  <c r="I25" i="12" s="1"/>
  <c r="G24" i="12"/>
  <c r="I24" i="12" s="1"/>
  <c r="G23" i="12"/>
  <c r="I23" i="12" s="1"/>
  <c r="C23" i="12"/>
  <c r="C24" i="12"/>
  <c r="C25" i="12"/>
  <c r="C26" i="12"/>
  <c r="C27" i="12"/>
  <c r="C28" i="12"/>
  <c r="A36" i="5" l="1"/>
  <c r="A38" i="5" s="1"/>
  <c r="K50" i="1" l="1"/>
  <c r="M50" i="1"/>
  <c r="N50" i="1"/>
  <c r="O50" i="1" s="1"/>
  <c r="P50" i="1" s="1"/>
  <c r="K51" i="1"/>
  <c r="M51" i="1"/>
  <c r="N51" i="1"/>
  <c r="O51" i="1" s="1"/>
  <c r="P51" i="1" s="1"/>
  <c r="K52" i="1"/>
  <c r="M52" i="1"/>
  <c r="N52" i="1"/>
  <c r="O52" i="1" s="1"/>
  <c r="P52" i="1" s="1"/>
  <c r="K53" i="1"/>
  <c r="M53" i="1"/>
  <c r="N53" i="1"/>
  <c r="O53" i="1" s="1"/>
  <c r="P53" i="1" s="1"/>
  <c r="K54" i="1"/>
  <c r="M54" i="1"/>
  <c r="N54" i="1"/>
  <c r="O54" i="1" s="1"/>
  <c r="P54" i="1" s="1"/>
  <c r="K55" i="1"/>
  <c r="M55" i="1"/>
  <c r="N55" i="1"/>
  <c r="O55" i="1" s="1"/>
  <c r="P55" i="1" s="1"/>
  <c r="B50" i="1"/>
  <c r="B51" i="1"/>
  <c r="B52" i="1"/>
  <c r="B53" i="1"/>
  <c r="B54" i="1"/>
  <c r="B55" i="1"/>
  <c r="A89" i="3" l="1"/>
  <c r="D89" i="3"/>
  <c r="F89" i="3"/>
  <c r="H89" i="3"/>
  <c r="J89" i="3"/>
  <c r="L89" i="3"/>
  <c r="N89" i="3"/>
  <c r="P89" i="3"/>
  <c r="Q89" i="3"/>
  <c r="R89" i="3"/>
  <c r="S89" i="3"/>
  <c r="T89" i="3"/>
  <c r="Y89" i="3" s="1"/>
  <c r="D91" i="20" s="1"/>
  <c r="U89" i="3"/>
  <c r="V89" i="3"/>
  <c r="W89" i="3"/>
  <c r="X89" i="3"/>
  <c r="A90" i="3"/>
  <c r="D90" i="3"/>
  <c r="F90" i="3"/>
  <c r="H90" i="3"/>
  <c r="J90" i="3"/>
  <c r="L90" i="3"/>
  <c r="N90" i="3"/>
  <c r="P90" i="3"/>
  <c r="Q90" i="3"/>
  <c r="R90" i="3"/>
  <c r="S90" i="3"/>
  <c r="T90" i="3"/>
  <c r="Y90" i="3" s="1"/>
  <c r="D92" i="20" s="1"/>
  <c r="U90" i="3"/>
  <c r="V90" i="3"/>
  <c r="W90" i="3"/>
  <c r="X90" i="3"/>
  <c r="C92" i="20" s="1"/>
  <c r="N51" i="3"/>
  <c r="L51" i="3"/>
  <c r="J51" i="3"/>
  <c r="H51" i="3"/>
  <c r="F51" i="3"/>
  <c r="D51" i="3"/>
  <c r="AA90" i="3" l="1"/>
  <c r="F92" i="20" s="1"/>
  <c r="AA89" i="3"/>
  <c r="F91" i="20" s="1"/>
  <c r="C91" i="20"/>
  <c r="Z90" i="3"/>
  <c r="E92" i="20" s="1"/>
  <c r="Z89" i="3"/>
  <c r="E91" i="20" s="1"/>
  <c r="B24" i="20"/>
  <c r="B25" i="20"/>
  <c r="B26" i="20"/>
  <c r="B27" i="20"/>
  <c r="N29" i="20"/>
  <c r="P29" i="20"/>
  <c r="R29" i="20"/>
  <c r="N30" i="20"/>
  <c r="P30" i="20"/>
  <c r="R30" i="20"/>
  <c r="N31" i="20"/>
  <c r="P31" i="20"/>
  <c r="R31" i="20"/>
  <c r="N32" i="20"/>
  <c r="P32" i="20"/>
  <c r="R32" i="20"/>
  <c r="N33" i="20"/>
  <c r="P33" i="20"/>
  <c r="R33" i="20"/>
  <c r="N34" i="20"/>
  <c r="P34" i="20"/>
  <c r="R34" i="20"/>
  <c r="N35" i="20"/>
  <c r="P35" i="20"/>
  <c r="R35" i="20"/>
  <c r="N36" i="20"/>
  <c r="P36" i="20"/>
  <c r="R36" i="20"/>
  <c r="N37" i="20"/>
  <c r="P37" i="20"/>
  <c r="R37" i="20"/>
  <c r="N38" i="20"/>
  <c r="P38" i="20"/>
  <c r="R38" i="20"/>
  <c r="N39" i="20"/>
  <c r="P39" i="20"/>
  <c r="R39" i="20"/>
  <c r="N40" i="20"/>
  <c r="P40" i="20"/>
  <c r="R40" i="20"/>
  <c r="N41" i="20"/>
  <c r="P41" i="20"/>
  <c r="R41" i="20"/>
  <c r="N42" i="20"/>
  <c r="P42" i="20"/>
  <c r="R42" i="20"/>
  <c r="N43" i="20"/>
  <c r="P43" i="20"/>
  <c r="R43" i="20"/>
  <c r="N44" i="20"/>
  <c r="P44" i="20"/>
  <c r="R44" i="20"/>
  <c r="N45" i="20"/>
  <c r="P45" i="20"/>
  <c r="R45" i="20"/>
  <c r="N46" i="20"/>
  <c r="P46" i="20"/>
  <c r="R46" i="20"/>
  <c r="N47" i="20"/>
  <c r="P47" i="20"/>
  <c r="R47" i="20"/>
  <c r="N48" i="20"/>
  <c r="P48" i="20"/>
  <c r="R48" i="20"/>
  <c r="N49" i="20"/>
  <c r="P49" i="20"/>
  <c r="R49" i="20"/>
  <c r="N50" i="20"/>
  <c r="P50" i="20"/>
  <c r="R50" i="20"/>
  <c r="N51" i="20"/>
  <c r="P51" i="20"/>
  <c r="R51" i="20"/>
  <c r="N52" i="20"/>
  <c r="P52" i="20"/>
  <c r="R52" i="20"/>
  <c r="N53" i="20"/>
  <c r="P53" i="20"/>
  <c r="R53" i="20"/>
  <c r="N54" i="20"/>
  <c r="P54" i="20"/>
  <c r="R54" i="20"/>
  <c r="B12" i="20"/>
  <c r="B13" i="20"/>
  <c r="B14" i="20"/>
  <c r="B15" i="20"/>
  <c r="B16" i="20"/>
  <c r="B17" i="20"/>
  <c r="B18" i="20"/>
  <c r="B19" i="20"/>
  <c r="B20" i="20"/>
  <c r="B21" i="20"/>
  <c r="B22" i="20"/>
  <c r="B23" i="20"/>
  <c r="C30" i="12"/>
  <c r="AB90" i="3" l="1"/>
  <c r="AC90" i="3" s="1"/>
  <c r="J92" i="20" s="1"/>
  <c r="K92" i="20" s="1"/>
  <c r="AB89" i="3"/>
  <c r="AC89" i="3" s="1"/>
  <c r="J91" i="20" s="1"/>
  <c r="K91" i="20" s="1"/>
  <c r="A39" i="5"/>
  <c r="A40" i="5" l="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V10" i="3"/>
  <c r="S9" i="3"/>
  <c r="A73" i="5" l="1"/>
  <c r="A74" i="5" s="1"/>
  <c r="A75" i="5" s="1"/>
  <c r="A77" i="5" s="1"/>
  <c r="A78" i="5" s="1"/>
  <c r="A79" i="5" s="1"/>
  <c r="A80" i="5" l="1"/>
  <c r="A81" i="5" s="1"/>
  <c r="A82" i="5" s="1"/>
  <c r="A83" i="5" s="1"/>
  <c r="A84" i="5" s="1"/>
  <c r="A85" i="5" s="1"/>
  <c r="C73" i="12"/>
  <c r="C74" i="12"/>
  <c r="G62" i="12"/>
  <c r="I62" i="12" s="1"/>
  <c r="G61" i="12"/>
  <c r="I61" i="12" s="1"/>
  <c r="C61" i="12"/>
  <c r="C62" i="12"/>
  <c r="A86" i="5" l="1"/>
  <c r="G60" i="12"/>
  <c r="I60" i="12" s="1"/>
  <c r="G63" i="12"/>
  <c r="I63" i="12" s="1"/>
  <c r="C60" i="12"/>
  <c r="C63" i="12"/>
  <c r="G58" i="12"/>
  <c r="I58" i="12" s="1"/>
  <c r="C58" i="12"/>
  <c r="G17" i="12" l="1"/>
  <c r="I17" i="12" s="1"/>
  <c r="G18" i="12"/>
  <c r="I18" i="12" s="1"/>
  <c r="G19" i="12"/>
  <c r="I19" i="12" s="1"/>
  <c r="G20" i="12"/>
  <c r="I20" i="12" s="1"/>
  <c r="G21" i="12"/>
  <c r="I21" i="12" s="1"/>
  <c r="G22" i="12"/>
  <c r="I22" i="12" s="1"/>
  <c r="C13" i="12"/>
  <c r="C14" i="12"/>
  <c r="C15" i="12"/>
  <c r="C16" i="12"/>
  <c r="C17" i="12"/>
  <c r="C18" i="12"/>
  <c r="C19" i="12"/>
  <c r="C20" i="12"/>
  <c r="C21" i="12"/>
  <c r="C22" i="12"/>
  <c r="N35" i="1"/>
  <c r="O35" i="1" s="1"/>
  <c r="P35" i="1" s="1"/>
  <c r="N36" i="1"/>
  <c r="O36" i="1" s="1"/>
  <c r="P36" i="1" s="1"/>
  <c r="N37" i="1"/>
  <c r="O37" i="1" s="1"/>
  <c r="P37" i="1" s="1"/>
  <c r="N38" i="1"/>
  <c r="O38" i="1" s="1"/>
  <c r="P38" i="1" s="1"/>
  <c r="N39" i="1"/>
  <c r="O39" i="1" s="1"/>
  <c r="P39" i="1" s="1"/>
  <c r="N40" i="1"/>
  <c r="O40" i="1" s="1"/>
  <c r="P40" i="1" s="1"/>
  <c r="N41" i="1"/>
  <c r="O41" i="1" s="1"/>
  <c r="P41" i="1" s="1"/>
  <c r="N42" i="1"/>
  <c r="O42" i="1" s="1"/>
  <c r="P42" i="1" s="1"/>
  <c r="N43" i="1"/>
  <c r="O43" i="1" s="1"/>
  <c r="P43" i="1" s="1"/>
  <c r="N44" i="1"/>
  <c r="O44" i="1" s="1"/>
  <c r="P44" i="1" s="1"/>
  <c r="N45" i="1"/>
  <c r="O45" i="1" s="1"/>
  <c r="P45" i="1" s="1"/>
  <c r="N46" i="1"/>
  <c r="O46" i="1" s="1"/>
  <c r="P46" i="1" s="1"/>
  <c r="N47" i="1"/>
  <c r="O47" i="1" s="1"/>
  <c r="P47" i="1" s="1"/>
  <c r="N48" i="1"/>
  <c r="O48" i="1" s="1"/>
  <c r="P48" i="1" s="1"/>
  <c r="N49" i="1"/>
  <c r="O49" i="1" s="1"/>
  <c r="P49" i="1" s="1"/>
  <c r="M49" i="1"/>
  <c r="K49" i="1"/>
  <c r="M48" i="1"/>
  <c r="K48" i="1"/>
  <c r="M47" i="1"/>
  <c r="K47" i="1"/>
  <c r="M46" i="1"/>
  <c r="K46" i="1"/>
  <c r="M45" i="1"/>
  <c r="K45" i="1"/>
  <c r="M44" i="1"/>
  <c r="K44" i="1"/>
  <c r="M43" i="1"/>
  <c r="K43" i="1"/>
  <c r="M42" i="1"/>
  <c r="K42" i="1"/>
  <c r="M41" i="1"/>
  <c r="K41" i="1"/>
  <c r="M40" i="1"/>
  <c r="K40" i="1"/>
  <c r="M39" i="1"/>
  <c r="K39" i="1"/>
  <c r="M38" i="1"/>
  <c r="K38" i="1"/>
  <c r="M37" i="1"/>
  <c r="K37" i="1"/>
  <c r="M36" i="1"/>
  <c r="K36" i="1"/>
  <c r="M35" i="1"/>
  <c r="K35" i="1"/>
  <c r="B35" i="1"/>
  <c r="B36" i="1"/>
  <c r="B37" i="1"/>
  <c r="B38" i="1"/>
  <c r="B39" i="1"/>
  <c r="B40" i="1"/>
  <c r="B41" i="1"/>
  <c r="B42" i="1"/>
  <c r="B43" i="1"/>
  <c r="B44" i="1"/>
  <c r="B45" i="1"/>
  <c r="B46" i="1"/>
  <c r="B47" i="1"/>
  <c r="B48" i="1"/>
  <c r="B49" i="1"/>
  <c r="N30" i="1"/>
  <c r="N31" i="1"/>
  <c r="N32" i="1"/>
  <c r="N33" i="1"/>
  <c r="N34" i="1"/>
  <c r="N46" i="3" l="1"/>
  <c r="L46" i="3"/>
  <c r="J46" i="3"/>
  <c r="H46" i="3"/>
  <c r="F46" i="3"/>
  <c r="D46" i="3"/>
  <c r="G79" i="12" l="1"/>
  <c r="I79" i="12" s="1"/>
  <c r="G80" i="12"/>
  <c r="I80" i="12" s="1"/>
  <c r="G81" i="12"/>
  <c r="I81" i="12" s="1"/>
  <c r="G82" i="12"/>
  <c r="I82" i="12" s="1"/>
  <c r="G83" i="12"/>
  <c r="I83" i="12" s="1"/>
  <c r="G84" i="12"/>
  <c r="I84" i="12" s="1"/>
  <c r="G85" i="12"/>
  <c r="I85" i="12" s="1"/>
  <c r="G86" i="12"/>
  <c r="I86" i="12" s="1"/>
  <c r="G87" i="12"/>
  <c r="I87" i="12" s="1"/>
  <c r="G88" i="12"/>
  <c r="I88" i="12" s="1"/>
  <c r="G89" i="12"/>
  <c r="I89" i="12" s="1"/>
  <c r="G90" i="12"/>
  <c r="I90" i="12" s="1"/>
  <c r="G91" i="12"/>
  <c r="I91" i="12" s="1"/>
  <c r="G92" i="12"/>
  <c r="I92" i="12" s="1"/>
  <c r="G93" i="12"/>
  <c r="I93" i="12" s="1"/>
  <c r="G94" i="12"/>
  <c r="I94" i="12" s="1"/>
  <c r="G95" i="12"/>
  <c r="I95" i="12" s="1"/>
  <c r="G96" i="12"/>
  <c r="I96" i="12" s="1"/>
  <c r="G97" i="12"/>
  <c r="I97" i="12" s="1"/>
  <c r="G98" i="12"/>
  <c r="I98" i="12" s="1"/>
  <c r="G99" i="12"/>
  <c r="I99" i="12" s="1"/>
  <c r="G100" i="12"/>
  <c r="I100" i="12" s="1"/>
  <c r="G101" i="12"/>
  <c r="I101" i="12" s="1"/>
  <c r="G102" i="12"/>
  <c r="I102" i="12" s="1"/>
  <c r="G103" i="12"/>
  <c r="I103" i="12" s="1"/>
  <c r="G104" i="12"/>
  <c r="I104" i="12" s="1"/>
  <c r="G105" i="12"/>
  <c r="I105" i="12" s="1"/>
  <c r="G106" i="12"/>
  <c r="I106" i="12" s="1"/>
  <c r="G107" i="12"/>
  <c r="I107" i="12" s="1"/>
  <c r="H108" i="12"/>
  <c r="C32" i="12" l="1"/>
  <c r="C31" i="12"/>
  <c r="C12" i="12"/>
  <c r="C66" i="12"/>
  <c r="C67" i="12"/>
  <c r="C68" i="12"/>
  <c r="C69" i="12"/>
  <c r="C70" i="12"/>
  <c r="C71" i="12"/>
  <c r="C72" i="12"/>
  <c r="AB51" i="5"/>
  <c r="B11" i="20"/>
  <c r="G71" i="12" l="1"/>
  <c r="I71" i="12" s="1"/>
  <c r="C36" i="12" l="1"/>
  <c r="G36" i="12" l="1"/>
  <c r="I36" i="12" s="1"/>
  <c r="B23" i="1"/>
  <c r="B24" i="1"/>
  <c r="B25" i="1"/>
  <c r="B26" i="1"/>
  <c r="B27" i="1"/>
  <c r="B28" i="1"/>
  <c r="B29" i="1"/>
  <c r="B30" i="1"/>
  <c r="B31" i="1"/>
  <c r="B32" i="1"/>
  <c r="B33" i="1"/>
  <c r="B34" i="1"/>
  <c r="G31" i="12"/>
  <c r="G32" i="12"/>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19" i="3"/>
  <c r="B20" i="1"/>
  <c r="A18" i="3"/>
  <c r="B13" i="1"/>
  <c r="B14" i="1"/>
  <c r="A12" i="3"/>
  <c r="B16" i="1"/>
  <c r="B17" i="1"/>
  <c r="B18" i="1"/>
  <c r="A16" i="3"/>
  <c r="A15" i="3" l="1"/>
  <c r="A13" i="3"/>
  <c r="A11" i="3"/>
  <c r="B21" i="1"/>
  <c r="B19" i="1"/>
  <c r="B15" i="1"/>
  <c r="A14" i="3"/>
  <c r="A10" i="3"/>
  <c r="B22" i="1"/>
  <c r="A17" i="3"/>
  <c r="G6" i="13" l="1"/>
  <c r="F49" i="12"/>
  <c r="E49" i="12"/>
  <c r="D49" i="12"/>
  <c r="F43" i="12"/>
  <c r="D43" i="12"/>
  <c r="F41" i="12"/>
  <c r="E41" i="12"/>
  <c r="F40" i="12"/>
  <c r="E40" i="12"/>
  <c r="F39" i="12"/>
  <c r="E39" i="12"/>
  <c r="F37" i="12"/>
  <c r="E37" i="12"/>
  <c r="D37" i="12"/>
  <c r="G33" i="12" l="1"/>
  <c r="G34" i="12"/>
  <c r="G35" i="12"/>
  <c r="G37" i="12"/>
  <c r="G38" i="12"/>
  <c r="G39" i="12"/>
  <c r="G40" i="12"/>
  <c r="G46" i="12"/>
  <c r="G51" i="12"/>
  <c r="G52" i="12"/>
  <c r="G53" i="12"/>
  <c r="G54" i="12"/>
  <c r="G55" i="12"/>
  <c r="G65" i="12"/>
  <c r="G66" i="12"/>
  <c r="G67" i="12"/>
  <c r="G70" i="12"/>
  <c r="G72" i="12"/>
  <c r="G73" i="12"/>
  <c r="G74" i="12"/>
  <c r="G75" i="12"/>
  <c r="C65" i="12"/>
  <c r="C64" i="12"/>
  <c r="C59" i="12"/>
  <c r="C34" i="12"/>
  <c r="C35" i="12"/>
  <c r="C37" i="12"/>
  <c r="C38" i="12"/>
  <c r="C39" i="12"/>
  <c r="C40" i="12"/>
  <c r="C41" i="12"/>
  <c r="C42" i="12"/>
  <c r="C43" i="12"/>
  <c r="C44" i="12"/>
  <c r="C45" i="12"/>
  <c r="C46" i="12"/>
  <c r="C47" i="12"/>
  <c r="C48" i="12"/>
  <c r="C49" i="12"/>
  <c r="C50" i="12"/>
  <c r="C51" i="12"/>
  <c r="C52" i="12"/>
  <c r="C53" i="12"/>
  <c r="C54" i="12"/>
  <c r="C55" i="12"/>
  <c r="C56" i="12"/>
  <c r="C57" i="12"/>
  <c r="C33" i="12"/>
  <c r="M20" i="1" l="1"/>
  <c r="N13" i="1"/>
  <c r="O13" i="1" s="1"/>
  <c r="P13" i="1" s="1"/>
  <c r="N14" i="1"/>
  <c r="O14" i="1" s="1"/>
  <c r="P14" i="1" s="1"/>
  <c r="N15" i="1"/>
  <c r="O15" i="1" s="1"/>
  <c r="P15" i="1" s="1"/>
  <c r="N16" i="1"/>
  <c r="O16" i="1" s="1"/>
  <c r="P16" i="1" s="1"/>
  <c r="N17" i="1"/>
  <c r="N18" i="1"/>
  <c r="O18" i="1" s="1"/>
  <c r="P18" i="1" s="1"/>
  <c r="N19" i="1"/>
  <c r="O19" i="1" s="1"/>
  <c r="P19" i="1" s="1"/>
  <c r="N20" i="1"/>
  <c r="O20" i="1" s="1"/>
  <c r="P20" i="1" s="1"/>
  <c r="N21" i="1"/>
  <c r="O21" i="1" s="1"/>
  <c r="P21" i="1" s="1"/>
  <c r="N22" i="1"/>
  <c r="O22" i="1" s="1"/>
  <c r="P22" i="1" s="1"/>
  <c r="N23" i="1"/>
  <c r="O23" i="1" s="1"/>
  <c r="P23" i="1" s="1"/>
  <c r="N24" i="1"/>
  <c r="O24" i="1" s="1"/>
  <c r="P24" i="1" s="1"/>
  <c r="N25" i="1"/>
  <c r="O25" i="1" s="1"/>
  <c r="N26" i="1"/>
  <c r="O26" i="1" s="1"/>
  <c r="P26" i="1" s="1"/>
  <c r="N27" i="1"/>
  <c r="O27" i="1" s="1"/>
  <c r="P27" i="1" s="1"/>
  <c r="N28" i="1"/>
  <c r="O28" i="1" s="1"/>
  <c r="P28" i="1" s="1"/>
  <c r="N29" i="1"/>
  <c r="O29" i="1" s="1"/>
  <c r="P29" i="1" s="1"/>
  <c r="N12" i="1"/>
  <c r="O12" i="1" s="1"/>
  <c r="P12" i="1" s="1"/>
  <c r="T12" i="1" s="1"/>
  <c r="B12" i="1"/>
  <c r="Q10" i="3"/>
  <c r="R10" i="3"/>
  <c r="S10" i="3"/>
  <c r="T10" i="3"/>
  <c r="U10" i="3"/>
  <c r="W10" i="3"/>
  <c r="Q11" i="3"/>
  <c r="R11" i="3"/>
  <c r="S11" i="3"/>
  <c r="T11" i="3"/>
  <c r="U11" i="3"/>
  <c r="V11" i="3"/>
  <c r="W11" i="3"/>
  <c r="Q12" i="3"/>
  <c r="R12" i="3"/>
  <c r="S12" i="3"/>
  <c r="T12" i="3"/>
  <c r="U12" i="3"/>
  <c r="V12" i="3"/>
  <c r="W12" i="3"/>
  <c r="Q13" i="3"/>
  <c r="R13" i="3"/>
  <c r="S13" i="3"/>
  <c r="T13" i="3"/>
  <c r="U13" i="3"/>
  <c r="V13" i="3"/>
  <c r="W13" i="3"/>
  <c r="Q14" i="3"/>
  <c r="R14" i="3"/>
  <c r="S14" i="3"/>
  <c r="T14" i="3"/>
  <c r="U14" i="3"/>
  <c r="V14" i="3"/>
  <c r="W14" i="3"/>
  <c r="Q15" i="3"/>
  <c r="R15" i="3"/>
  <c r="S15" i="3"/>
  <c r="T15" i="3"/>
  <c r="U15" i="3"/>
  <c r="V15" i="3"/>
  <c r="W15" i="3"/>
  <c r="Q26" i="3"/>
  <c r="R26" i="3"/>
  <c r="S26" i="3"/>
  <c r="T26" i="3"/>
  <c r="U26" i="3"/>
  <c r="V26" i="3"/>
  <c r="W26" i="3"/>
  <c r="R12" i="20"/>
  <c r="Q16" i="3"/>
  <c r="R16" i="3"/>
  <c r="S16" i="3"/>
  <c r="T16" i="3"/>
  <c r="U16" i="3"/>
  <c r="V16" i="3"/>
  <c r="W16" i="3"/>
  <c r="Q17" i="3"/>
  <c r="R17" i="3"/>
  <c r="S17" i="3"/>
  <c r="T17" i="3"/>
  <c r="U17" i="3"/>
  <c r="V17" i="3"/>
  <c r="W17" i="3"/>
  <c r="Q18" i="3"/>
  <c r="R18" i="3"/>
  <c r="S18" i="3"/>
  <c r="T18" i="3"/>
  <c r="U18" i="3"/>
  <c r="V18" i="3"/>
  <c r="W18" i="3"/>
  <c r="Q19" i="3"/>
  <c r="R19" i="3"/>
  <c r="S19" i="3"/>
  <c r="T19" i="3"/>
  <c r="U19" i="3"/>
  <c r="V19" i="3"/>
  <c r="W19" i="3"/>
  <c r="Q20" i="3"/>
  <c r="R20" i="3"/>
  <c r="S20" i="3"/>
  <c r="T20" i="3"/>
  <c r="U20" i="3"/>
  <c r="V20" i="3"/>
  <c r="W20" i="3"/>
  <c r="Q21" i="3"/>
  <c r="R21" i="3"/>
  <c r="S21" i="3"/>
  <c r="T21" i="3"/>
  <c r="U21" i="3"/>
  <c r="V21" i="3"/>
  <c r="W21" i="3"/>
  <c r="Q22" i="3"/>
  <c r="R22" i="3"/>
  <c r="S22" i="3"/>
  <c r="T22" i="3"/>
  <c r="U22" i="3"/>
  <c r="V22" i="3"/>
  <c r="W22" i="3"/>
  <c r="Q23" i="3"/>
  <c r="R23" i="3"/>
  <c r="S23" i="3"/>
  <c r="T23" i="3"/>
  <c r="U23" i="3"/>
  <c r="V23" i="3"/>
  <c r="W23" i="3"/>
  <c r="Q24" i="3"/>
  <c r="R24" i="3"/>
  <c r="S24" i="3"/>
  <c r="T24" i="3"/>
  <c r="U24" i="3"/>
  <c r="V24" i="3"/>
  <c r="W24" i="3"/>
  <c r="Q25" i="3"/>
  <c r="R25" i="3"/>
  <c r="S25" i="3"/>
  <c r="T25" i="3"/>
  <c r="U25" i="3"/>
  <c r="V25" i="3"/>
  <c r="W25" i="3"/>
  <c r="Q27" i="3"/>
  <c r="R27" i="3"/>
  <c r="S27" i="3"/>
  <c r="T27" i="3"/>
  <c r="U27" i="3"/>
  <c r="V27" i="3"/>
  <c r="W27" i="3"/>
  <c r="Q28" i="3"/>
  <c r="R28" i="3"/>
  <c r="S28" i="3"/>
  <c r="T28" i="3"/>
  <c r="U28" i="3"/>
  <c r="V28" i="3"/>
  <c r="W28" i="3"/>
  <c r="Q29" i="3"/>
  <c r="R29" i="3"/>
  <c r="S29" i="3"/>
  <c r="T29" i="3"/>
  <c r="U29" i="3"/>
  <c r="V29" i="3"/>
  <c r="W29" i="3"/>
  <c r="Q30" i="3"/>
  <c r="R30" i="3"/>
  <c r="S30" i="3"/>
  <c r="T30" i="3"/>
  <c r="U30" i="3"/>
  <c r="V30" i="3"/>
  <c r="W30" i="3"/>
  <c r="Q31" i="3"/>
  <c r="R31" i="3"/>
  <c r="S31" i="3"/>
  <c r="T31" i="3"/>
  <c r="U31" i="3"/>
  <c r="V31" i="3"/>
  <c r="W31" i="3"/>
  <c r="Q32" i="3"/>
  <c r="R32" i="3"/>
  <c r="S32" i="3"/>
  <c r="T32" i="3"/>
  <c r="U32" i="3"/>
  <c r="V32" i="3"/>
  <c r="W32" i="3"/>
  <c r="Q33" i="3"/>
  <c r="R33" i="3"/>
  <c r="S33" i="3"/>
  <c r="T33" i="3"/>
  <c r="U33" i="3"/>
  <c r="V33" i="3"/>
  <c r="W33" i="3"/>
  <c r="Q34" i="3"/>
  <c r="R34" i="3"/>
  <c r="S34" i="3"/>
  <c r="T34" i="3"/>
  <c r="U34" i="3"/>
  <c r="V34" i="3"/>
  <c r="W34" i="3"/>
  <c r="Q35" i="3"/>
  <c r="R35" i="3"/>
  <c r="S35" i="3"/>
  <c r="T35" i="3"/>
  <c r="U35" i="3"/>
  <c r="V35" i="3"/>
  <c r="W35" i="3"/>
  <c r="Q36" i="3"/>
  <c r="R36" i="3"/>
  <c r="S36" i="3"/>
  <c r="T36" i="3"/>
  <c r="U36" i="3"/>
  <c r="V36" i="3"/>
  <c r="W36" i="3"/>
  <c r="Q37" i="3"/>
  <c r="R37" i="3"/>
  <c r="S37" i="3"/>
  <c r="T37" i="3"/>
  <c r="U37" i="3"/>
  <c r="V37" i="3"/>
  <c r="W37" i="3"/>
  <c r="Q38" i="3"/>
  <c r="R38" i="3"/>
  <c r="S38" i="3"/>
  <c r="T38" i="3"/>
  <c r="U38" i="3"/>
  <c r="V38" i="3"/>
  <c r="W38" i="3"/>
  <c r="Q39" i="3"/>
  <c r="R39" i="3"/>
  <c r="S39" i="3"/>
  <c r="T39" i="3"/>
  <c r="U39" i="3"/>
  <c r="V39" i="3"/>
  <c r="W39" i="3"/>
  <c r="Q40" i="3"/>
  <c r="R40" i="3"/>
  <c r="S40" i="3"/>
  <c r="T40" i="3"/>
  <c r="U40" i="3"/>
  <c r="V40" i="3"/>
  <c r="W40" i="3"/>
  <c r="Q41" i="3"/>
  <c r="R41" i="3"/>
  <c r="S41" i="3"/>
  <c r="T41" i="3"/>
  <c r="U41" i="3"/>
  <c r="V41" i="3"/>
  <c r="W41" i="3"/>
  <c r="Q42" i="3"/>
  <c r="R42" i="3"/>
  <c r="S42" i="3"/>
  <c r="T42" i="3"/>
  <c r="U42" i="3"/>
  <c r="V42" i="3"/>
  <c r="W42" i="3"/>
  <c r="Q43" i="3"/>
  <c r="R43" i="3"/>
  <c r="S43" i="3"/>
  <c r="T43" i="3"/>
  <c r="U43" i="3"/>
  <c r="V43" i="3"/>
  <c r="W43" i="3"/>
  <c r="Q44" i="3"/>
  <c r="R44" i="3"/>
  <c r="S44" i="3"/>
  <c r="T44" i="3"/>
  <c r="U44" i="3"/>
  <c r="V44" i="3"/>
  <c r="W44" i="3"/>
  <c r="Q45" i="3"/>
  <c r="R45" i="3"/>
  <c r="S45" i="3"/>
  <c r="T45" i="3"/>
  <c r="U45" i="3"/>
  <c r="V45" i="3"/>
  <c r="W45" i="3"/>
  <c r="Q46" i="3"/>
  <c r="R46" i="3"/>
  <c r="S46" i="3"/>
  <c r="T46" i="3"/>
  <c r="U46" i="3"/>
  <c r="V46" i="3"/>
  <c r="W46" i="3"/>
  <c r="Q47" i="3"/>
  <c r="R47" i="3"/>
  <c r="S47" i="3"/>
  <c r="T47" i="3"/>
  <c r="U47" i="3"/>
  <c r="V47" i="3"/>
  <c r="W47" i="3"/>
  <c r="Q48" i="3"/>
  <c r="R48" i="3"/>
  <c r="S48" i="3"/>
  <c r="T48" i="3"/>
  <c r="U48" i="3"/>
  <c r="V48" i="3"/>
  <c r="W48" i="3"/>
  <c r="Q49" i="3"/>
  <c r="R49" i="3"/>
  <c r="S49" i="3"/>
  <c r="T49" i="3"/>
  <c r="U49" i="3"/>
  <c r="V49" i="3"/>
  <c r="W49" i="3"/>
  <c r="Q50" i="3"/>
  <c r="R50" i="3"/>
  <c r="S50" i="3"/>
  <c r="T50" i="3"/>
  <c r="U50" i="3"/>
  <c r="V50" i="3"/>
  <c r="W50" i="3"/>
  <c r="Q51" i="3"/>
  <c r="R51" i="3"/>
  <c r="S51" i="3"/>
  <c r="T51" i="3"/>
  <c r="U51" i="3"/>
  <c r="V51" i="3"/>
  <c r="W51" i="3"/>
  <c r="Q52" i="3"/>
  <c r="R52" i="3"/>
  <c r="S52" i="3"/>
  <c r="T52" i="3"/>
  <c r="U52" i="3"/>
  <c r="V52" i="3"/>
  <c r="W52" i="3"/>
  <c r="Q53" i="3"/>
  <c r="R53" i="3"/>
  <c r="S53" i="3"/>
  <c r="T53" i="3"/>
  <c r="U53" i="3"/>
  <c r="V53" i="3"/>
  <c r="W53" i="3"/>
  <c r="Q54" i="3"/>
  <c r="R54" i="3"/>
  <c r="S54" i="3"/>
  <c r="T54" i="3"/>
  <c r="U54" i="3"/>
  <c r="V54" i="3"/>
  <c r="W54" i="3"/>
  <c r="Q55" i="3"/>
  <c r="R55" i="3"/>
  <c r="S55" i="3"/>
  <c r="T55" i="3"/>
  <c r="U55" i="3"/>
  <c r="V55" i="3"/>
  <c r="W55" i="3"/>
  <c r="Q56" i="3"/>
  <c r="R56" i="3"/>
  <c r="S56" i="3"/>
  <c r="T56" i="3"/>
  <c r="U56" i="3"/>
  <c r="V56" i="3"/>
  <c r="W56" i="3"/>
  <c r="Q57" i="3"/>
  <c r="R57" i="3"/>
  <c r="S57" i="3"/>
  <c r="T57" i="3"/>
  <c r="U57" i="3"/>
  <c r="V57" i="3"/>
  <c r="W57" i="3"/>
  <c r="Q58" i="3"/>
  <c r="R58" i="3"/>
  <c r="S58" i="3"/>
  <c r="T58" i="3"/>
  <c r="U58" i="3"/>
  <c r="V58" i="3"/>
  <c r="W58" i="3"/>
  <c r="Q59" i="3"/>
  <c r="R59" i="3"/>
  <c r="S59" i="3"/>
  <c r="T59" i="3"/>
  <c r="U59" i="3"/>
  <c r="V59" i="3"/>
  <c r="W59" i="3"/>
  <c r="Q60" i="3"/>
  <c r="R60" i="3"/>
  <c r="S60" i="3"/>
  <c r="T60" i="3"/>
  <c r="U60" i="3"/>
  <c r="V60" i="3"/>
  <c r="W60" i="3"/>
  <c r="Q61" i="3"/>
  <c r="R61" i="3"/>
  <c r="S61" i="3"/>
  <c r="T61" i="3"/>
  <c r="U61" i="3"/>
  <c r="V61" i="3"/>
  <c r="W61" i="3"/>
  <c r="Q62" i="3"/>
  <c r="R62" i="3"/>
  <c r="S62" i="3"/>
  <c r="T62" i="3"/>
  <c r="U62" i="3"/>
  <c r="V62" i="3"/>
  <c r="W62" i="3"/>
  <c r="Q63" i="3"/>
  <c r="R63" i="3"/>
  <c r="S63" i="3"/>
  <c r="T63" i="3"/>
  <c r="U63" i="3"/>
  <c r="V63" i="3"/>
  <c r="W63" i="3"/>
  <c r="Q64" i="3"/>
  <c r="R64" i="3"/>
  <c r="S64" i="3"/>
  <c r="T64" i="3"/>
  <c r="U64" i="3"/>
  <c r="V64" i="3"/>
  <c r="W64" i="3"/>
  <c r="Q65" i="3"/>
  <c r="R65" i="3"/>
  <c r="S65" i="3"/>
  <c r="T65" i="3"/>
  <c r="U65" i="3"/>
  <c r="V65" i="3"/>
  <c r="W65" i="3"/>
  <c r="Q66" i="3"/>
  <c r="R66" i="3"/>
  <c r="S66" i="3"/>
  <c r="T66" i="3"/>
  <c r="U66" i="3"/>
  <c r="V66" i="3"/>
  <c r="W66" i="3"/>
  <c r="Q67" i="3"/>
  <c r="R67" i="3"/>
  <c r="S67" i="3"/>
  <c r="T67" i="3"/>
  <c r="U67" i="3"/>
  <c r="V67" i="3"/>
  <c r="W67" i="3"/>
  <c r="Q68" i="3"/>
  <c r="R68" i="3"/>
  <c r="S68" i="3"/>
  <c r="T68" i="3"/>
  <c r="U68" i="3"/>
  <c r="V68" i="3"/>
  <c r="W68" i="3"/>
  <c r="Q69" i="3"/>
  <c r="R69" i="3"/>
  <c r="S69" i="3"/>
  <c r="T69" i="3"/>
  <c r="U69" i="3"/>
  <c r="V69" i="3"/>
  <c r="W69" i="3"/>
  <c r="Q70" i="3"/>
  <c r="R70" i="3"/>
  <c r="S70" i="3"/>
  <c r="T70" i="3"/>
  <c r="U70" i="3"/>
  <c r="V70" i="3"/>
  <c r="W70" i="3"/>
  <c r="Q71" i="3"/>
  <c r="R71" i="3"/>
  <c r="S71" i="3"/>
  <c r="T71" i="3"/>
  <c r="U71" i="3"/>
  <c r="V71" i="3"/>
  <c r="W71" i="3"/>
  <c r="Q72" i="3"/>
  <c r="R72" i="3"/>
  <c r="S72" i="3"/>
  <c r="T72" i="3"/>
  <c r="U72" i="3"/>
  <c r="V72" i="3"/>
  <c r="W72" i="3"/>
  <c r="Q73" i="3"/>
  <c r="R73" i="3"/>
  <c r="S73" i="3"/>
  <c r="T73" i="3"/>
  <c r="U73" i="3"/>
  <c r="V73" i="3"/>
  <c r="W73" i="3"/>
  <c r="Q74" i="3"/>
  <c r="R74" i="3"/>
  <c r="S74" i="3"/>
  <c r="T74" i="3"/>
  <c r="U74" i="3"/>
  <c r="V74" i="3"/>
  <c r="W74" i="3"/>
  <c r="Q75" i="3"/>
  <c r="R75" i="3"/>
  <c r="S75" i="3"/>
  <c r="T75" i="3"/>
  <c r="U75" i="3"/>
  <c r="V75" i="3"/>
  <c r="W75" i="3"/>
  <c r="Q76" i="3"/>
  <c r="R76" i="3"/>
  <c r="S76" i="3"/>
  <c r="T76" i="3"/>
  <c r="U76" i="3"/>
  <c r="V76" i="3"/>
  <c r="W76" i="3"/>
  <c r="Q77" i="3"/>
  <c r="R77" i="3"/>
  <c r="S77" i="3"/>
  <c r="T77" i="3"/>
  <c r="U77" i="3"/>
  <c r="V77" i="3"/>
  <c r="W77" i="3"/>
  <c r="Q78" i="3"/>
  <c r="R78" i="3"/>
  <c r="S78" i="3"/>
  <c r="T78" i="3"/>
  <c r="U78" i="3"/>
  <c r="V78" i="3"/>
  <c r="W78" i="3"/>
  <c r="Q79" i="3"/>
  <c r="R79" i="3"/>
  <c r="S79" i="3"/>
  <c r="T79" i="3"/>
  <c r="U79" i="3"/>
  <c r="V79" i="3"/>
  <c r="W79" i="3"/>
  <c r="Q80" i="3"/>
  <c r="R80" i="3"/>
  <c r="S80" i="3"/>
  <c r="T80" i="3"/>
  <c r="U80" i="3"/>
  <c r="V80" i="3"/>
  <c r="W80" i="3"/>
  <c r="Q81" i="3"/>
  <c r="R81" i="3"/>
  <c r="S81" i="3"/>
  <c r="T81" i="3"/>
  <c r="U81" i="3"/>
  <c r="V81" i="3"/>
  <c r="W81" i="3"/>
  <c r="Q82" i="3"/>
  <c r="R82" i="3"/>
  <c r="S82" i="3"/>
  <c r="T82" i="3"/>
  <c r="U82" i="3"/>
  <c r="V82" i="3"/>
  <c r="W82" i="3"/>
  <c r="Q83" i="3"/>
  <c r="R83" i="3"/>
  <c r="S83" i="3"/>
  <c r="T83" i="3"/>
  <c r="U83" i="3"/>
  <c r="V83" i="3"/>
  <c r="W83" i="3"/>
  <c r="Q84" i="3"/>
  <c r="R84" i="3"/>
  <c r="S84" i="3"/>
  <c r="T84" i="3"/>
  <c r="U84" i="3"/>
  <c r="V84" i="3"/>
  <c r="W84" i="3"/>
  <c r="Q85" i="3"/>
  <c r="R85" i="3"/>
  <c r="S85" i="3"/>
  <c r="T85" i="3"/>
  <c r="U85" i="3"/>
  <c r="V85" i="3"/>
  <c r="W85" i="3"/>
  <c r="Q86" i="3"/>
  <c r="R86" i="3"/>
  <c r="S86" i="3"/>
  <c r="T86" i="3"/>
  <c r="U86" i="3"/>
  <c r="V86" i="3"/>
  <c r="W86" i="3"/>
  <c r="Q87" i="3"/>
  <c r="R87" i="3"/>
  <c r="S87" i="3"/>
  <c r="T87" i="3"/>
  <c r="U87" i="3"/>
  <c r="V87" i="3"/>
  <c r="W87" i="3"/>
  <c r="Q88" i="3"/>
  <c r="R88" i="3"/>
  <c r="S88" i="3"/>
  <c r="T88" i="3"/>
  <c r="U88" i="3"/>
  <c r="V88" i="3"/>
  <c r="W88" i="3"/>
  <c r="M23" i="1"/>
  <c r="K23" i="1"/>
  <c r="M22" i="1"/>
  <c r="K22" i="1"/>
  <c r="R21" i="20"/>
  <c r="S21" i="20" s="1"/>
  <c r="P21" i="20"/>
  <c r="N21" i="20"/>
  <c r="R20" i="20"/>
  <c r="S20" i="20" s="1"/>
  <c r="P20" i="20"/>
  <c r="N20" i="20"/>
  <c r="G68" i="12"/>
  <c r="I70" i="12"/>
  <c r="G69" i="12"/>
  <c r="I69" i="12" s="1"/>
  <c r="G64" i="12"/>
  <c r="I64" i="12" s="1"/>
  <c r="G56" i="12"/>
  <c r="I56" i="12" s="1"/>
  <c r="G50" i="12"/>
  <c r="I50" i="12" s="1"/>
  <c r="G48" i="12"/>
  <c r="I48" i="12" s="1"/>
  <c r="G41" i="12"/>
  <c r="I41" i="12" s="1"/>
  <c r="I40" i="12"/>
  <c r="I35" i="12"/>
  <c r="I31" i="12"/>
  <c r="G16" i="12"/>
  <c r="I16" i="12" s="1"/>
  <c r="G15" i="12"/>
  <c r="I15" i="12" s="1"/>
  <c r="G14" i="12"/>
  <c r="I14" i="12" s="1"/>
  <c r="G12" i="12"/>
  <c r="G13" i="12"/>
  <c r="I13" i="12" s="1"/>
  <c r="I39" i="12"/>
  <c r="I51" i="12"/>
  <c r="I53" i="12"/>
  <c r="I67" i="12"/>
  <c r="I73" i="12"/>
  <c r="I75" i="12"/>
  <c r="I55" i="12"/>
  <c r="I74" i="12"/>
  <c r="I54" i="12"/>
  <c r="I46" i="12"/>
  <c r="D6" i="13"/>
  <c r="H6" i="13" s="1"/>
  <c r="I37" i="12"/>
  <c r="I38" i="12"/>
  <c r="I65" i="12"/>
  <c r="I72" i="12"/>
  <c r="R11" i="20"/>
  <c r="S11" i="20" s="1"/>
  <c r="W9" i="3"/>
  <c r="V9" i="3"/>
  <c r="U9" i="3"/>
  <c r="T9" i="3"/>
  <c r="R9" i="3"/>
  <c r="Q9" i="3"/>
  <c r="N88" i="3"/>
  <c r="N87" i="3"/>
  <c r="N86" i="3"/>
  <c r="N85" i="3"/>
  <c r="N84" i="3"/>
  <c r="N83" i="3"/>
  <c r="N82" i="3"/>
  <c r="N81" i="3"/>
  <c r="N80" i="3"/>
  <c r="N79" i="3"/>
  <c r="N78" i="3"/>
  <c r="N77" i="3"/>
  <c r="N76" i="3"/>
  <c r="N75" i="3"/>
  <c r="N74" i="3"/>
  <c r="N73" i="3"/>
  <c r="N72" i="3"/>
  <c r="N71" i="3"/>
  <c r="N70" i="3"/>
  <c r="N69" i="3"/>
  <c r="N68" i="3"/>
  <c r="N67" i="3"/>
  <c r="N66" i="3"/>
  <c r="N65" i="3"/>
  <c r="N64" i="3"/>
  <c r="N63" i="3"/>
  <c r="N62" i="3"/>
  <c r="N61" i="3"/>
  <c r="N60" i="3"/>
  <c r="N59" i="3"/>
  <c r="N58" i="3"/>
  <c r="N57" i="3"/>
  <c r="N56" i="3"/>
  <c r="N55" i="3"/>
  <c r="N54" i="3"/>
  <c r="N53" i="3"/>
  <c r="J88" i="3"/>
  <c r="J87" i="3"/>
  <c r="J86" i="3"/>
  <c r="J85" i="3"/>
  <c r="J84" i="3"/>
  <c r="J83" i="3"/>
  <c r="J82" i="3"/>
  <c r="J81" i="3"/>
  <c r="J80" i="3"/>
  <c r="J79" i="3"/>
  <c r="J78" i="3"/>
  <c r="J77" i="3"/>
  <c r="J76" i="3"/>
  <c r="J75" i="3"/>
  <c r="J74" i="3"/>
  <c r="J73" i="3"/>
  <c r="J72" i="3"/>
  <c r="J71" i="3"/>
  <c r="J70" i="3"/>
  <c r="J69" i="3"/>
  <c r="J68" i="3"/>
  <c r="J67" i="3"/>
  <c r="J66" i="3"/>
  <c r="J65" i="3"/>
  <c r="J64" i="3"/>
  <c r="J63" i="3"/>
  <c r="J62" i="3"/>
  <c r="J61" i="3"/>
  <c r="J60" i="3"/>
  <c r="J59" i="3"/>
  <c r="J58" i="3"/>
  <c r="J57" i="3"/>
  <c r="J56" i="3"/>
  <c r="J55" i="3"/>
  <c r="J54" i="3"/>
  <c r="J53" i="3"/>
  <c r="H88" i="3"/>
  <c r="H87" i="3"/>
  <c r="H86" i="3"/>
  <c r="H85" i="3"/>
  <c r="H84" i="3"/>
  <c r="H83" i="3"/>
  <c r="H82" i="3"/>
  <c r="H81" i="3"/>
  <c r="H80" i="3"/>
  <c r="H79" i="3"/>
  <c r="H78" i="3"/>
  <c r="H77" i="3"/>
  <c r="H76" i="3"/>
  <c r="H75" i="3"/>
  <c r="H74" i="3"/>
  <c r="H73" i="3"/>
  <c r="H72" i="3"/>
  <c r="H71" i="3"/>
  <c r="H70" i="3"/>
  <c r="H69" i="3"/>
  <c r="H68" i="3"/>
  <c r="H67" i="3"/>
  <c r="H66" i="3"/>
  <c r="H65" i="3"/>
  <c r="H64" i="3"/>
  <c r="H63" i="3"/>
  <c r="H62" i="3"/>
  <c r="H61" i="3"/>
  <c r="H60" i="3"/>
  <c r="H59" i="3"/>
  <c r="H58" i="3"/>
  <c r="H57" i="3"/>
  <c r="H56" i="3"/>
  <c r="H55" i="3"/>
  <c r="H54" i="3"/>
  <c r="H53"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P44" i="3"/>
  <c r="P45" i="3"/>
  <c r="P46" i="3"/>
  <c r="P47" i="3"/>
  <c r="P48" i="3"/>
  <c r="P49" i="3"/>
  <c r="P50" i="3"/>
  <c r="P51" i="3"/>
  <c r="P52" i="3"/>
  <c r="F53" i="3"/>
  <c r="L53" i="3"/>
  <c r="P53" i="3"/>
  <c r="F54" i="3"/>
  <c r="L54" i="3"/>
  <c r="P54" i="3"/>
  <c r="F55" i="3"/>
  <c r="L55" i="3"/>
  <c r="P55" i="3"/>
  <c r="F56" i="3"/>
  <c r="L56" i="3"/>
  <c r="P56" i="3"/>
  <c r="F57" i="3"/>
  <c r="L57" i="3"/>
  <c r="P57" i="3"/>
  <c r="F58" i="3"/>
  <c r="L58" i="3"/>
  <c r="P58" i="3"/>
  <c r="F59" i="3"/>
  <c r="L59" i="3"/>
  <c r="P59" i="3"/>
  <c r="F60" i="3"/>
  <c r="L60" i="3"/>
  <c r="P60" i="3"/>
  <c r="F61" i="3"/>
  <c r="L61" i="3"/>
  <c r="P61" i="3"/>
  <c r="F62" i="3"/>
  <c r="L62" i="3"/>
  <c r="P62" i="3"/>
  <c r="F63" i="3"/>
  <c r="L63" i="3"/>
  <c r="P63" i="3"/>
  <c r="F64" i="3"/>
  <c r="L64" i="3"/>
  <c r="P64" i="3"/>
  <c r="F65" i="3"/>
  <c r="L65" i="3"/>
  <c r="P65" i="3"/>
  <c r="F66" i="3"/>
  <c r="L66" i="3"/>
  <c r="P66" i="3"/>
  <c r="F67" i="3"/>
  <c r="L67" i="3"/>
  <c r="P67" i="3"/>
  <c r="F68" i="3"/>
  <c r="L68" i="3"/>
  <c r="P68" i="3"/>
  <c r="F69" i="3"/>
  <c r="L69" i="3"/>
  <c r="P69" i="3"/>
  <c r="F70" i="3"/>
  <c r="L70" i="3"/>
  <c r="P70" i="3"/>
  <c r="F71" i="3"/>
  <c r="L71" i="3"/>
  <c r="P71" i="3"/>
  <c r="F72" i="3"/>
  <c r="L72" i="3"/>
  <c r="P72" i="3"/>
  <c r="F73" i="3"/>
  <c r="L73" i="3"/>
  <c r="P73" i="3"/>
  <c r="F74" i="3"/>
  <c r="L74" i="3"/>
  <c r="P74" i="3"/>
  <c r="F75" i="3"/>
  <c r="L75" i="3"/>
  <c r="P75" i="3"/>
  <c r="F76" i="3"/>
  <c r="L76" i="3"/>
  <c r="P76" i="3"/>
  <c r="F77" i="3"/>
  <c r="L77" i="3"/>
  <c r="P77" i="3"/>
  <c r="F78" i="3"/>
  <c r="L78" i="3"/>
  <c r="P78" i="3"/>
  <c r="F79" i="3"/>
  <c r="L79" i="3"/>
  <c r="P79" i="3"/>
  <c r="F80" i="3"/>
  <c r="L80" i="3"/>
  <c r="P80" i="3"/>
  <c r="F81" i="3"/>
  <c r="L81" i="3"/>
  <c r="P81" i="3"/>
  <c r="F82" i="3"/>
  <c r="L82" i="3"/>
  <c r="P82" i="3"/>
  <c r="F83" i="3"/>
  <c r="L83" i="3"/>
  <c r="P83" i="3"/>
  <c r="F84" i="3"/>
  <c r="L84" i="3"/>
  <c r="P84" i="3"/>
  <c r="F85" i="3"/>
  <c r="L85" i="3"/>
  <c r="P85" i="3"/>
  <c r="F86" i="3"/>
  <c r="L86" i="3"/>
  <c r="P86" i="3"/>
  <c r="F87" i="3"/>
  <c r="L87" i="3"/>
  <c r="P87" i="3"/>
  <c r="F88" i="3"/>
  <c r="L88" i="3"/>
  <c r="P88" i="3"/>
  <c r="A9" i="3"/>
  <c r="S48" i="20"/>
  <c r="S49" i="20"/>
  <c r="S50" i="20"/>
  <c r="S51" i="20"/>
  <c r="S52" i="20"/>
  <c r="S53" i="20"/>
  <c r="S54" i="20"/>
  <c r="N55" i="20"/>
  <c r="P55" i="20"/>
  <c r="R55" i="20"/>
  <c r="S55" i="20" s="1"/>
  <c r="N56" i="20"/>
  <c r="P56" i="20"/>
  <c r="R56" i="20"/>
  <c r="S56" i="20" s="1"/>
  <c r="N57" i="20"/>
  <c r="P57" i="20"/>
  <c r="R57" i="20"/>
  <c r="S57" i="20" s="1"/>
  <c r="N58" i="20"/>
  <c r="P58" i="20"/>
  <c r="R58" i="20"/>
  <c r="S58" i="20" s="1"/>
  <c r="N59" i="20"/>
  <c r="P59" i="20"/>
  <c r="R59" i="20"/>
  <c r="S59" i="20" s="1"/>
  <c r="N60" i="20"/>
  <c r="P60" i="20"/>
  <c r="R60" i="20"/>
  <c r="S60" i="20" s="1"/>
  <c r="N61" i="20"/>
  <c r="P61" i="20"/>
  <c r="R61" i="20"/>
  <c r="S61" i="20" s="1"/>
  <c r="N62" i="20"/>
  <c r="P62" i="20"/>
  <c r="R62" i="20"/>
  <c r="S62" i="20" s="1"/>
  <c r="N63" i="20"/>
  <c r="P63" i="20"/>
  <c r="R63" i="20"/>
  <c r="S63" i="20" s="1"/>
  <c r="N64" i="20"/>
  <c r="P64" i="20"/>
  <c r="R64" i="20"/>
  <c r="S64" i="20" s="1"/>
  <c r="N65" i="20"/>
  <c r="P65" i="20"/>
  <c r="R65" i="20"/>
  <c r="S65" i="20" s="1"/>
  <c r="N66" i="20"/>
  <c r="P66" i="20"/>
  <c r="R66" i="20"/>
  <c r="S66" i="20" s="1"/>
  <c r="N67" i="20"/>
  <c r="P67" i="20"/>
  <c r="R67" i="20"/>
  <c r="S67" i="20" s="1"/>
  <c r="N68" i="20"/>
  <c r="P68" i="20"/>
  <c r="R68" i="20"/>
  <c r="S68" i="20" s="1"/>
  <c r="N69" i="20"/>
  <c r="P69" i="20"/>
  <c r="R69" i="20"/>
  <c r="S69" i="20" s="1"/>
  <c r="N70" i="20"/>
  <c r="P70" i="20"/>
  <c r="R70" i="20"/>
  <c r="S70" i="20" s="1"/>
  <c r="N71" i="20"/>
  <c r="P71" i="20"/>
  <c r="R71" i="20"/>
  <c r="S71" i="20" s="1"/>
  <c r="N72" i="20"/>
  <c r="P72" i="20"/>
  <c r="R72" i="20"/>
  <c r="S72" i="20" s="1"/>
  <c r="N73" i="20"/>
  <c r="P73" i="20"/>
  <c r="R73" i="20"/>
  <c r="S73" i="20" s="1"/>
  <c r="N74" i="20"/>
  <c r="P74" i="20"/>
  <c r="R74" i="20"/>
  <c r="S74" i="20" s="1"/>
  <c r="N75" i="20"/>
  <c r="P75" i="20"/>
  <c r="R75" i="20"/>
  <c r="S75" i="20" s="1"/>
  <c r="N76" i="20"/>
  <c r="P76" i="20"/>
  <c r="R76" i="20"/>
  <c r="S76" i="20" s="1"/>
  <c r="N77" i="20"/>
  <c r="P77" i="20"/>
  <c r="R77" i="20"/>
  <c r="S77" i="20" s="1"/>
  <c r="N78" i="20"/>
  <c r="P78" i="20"/>
  <c r="R78" i="20"/>
  <c r="S78" i="20" s="1"/>
  <c r="N79" i="20"/>
  <c r="P79" i="20"/>
  <c r="R79" i="20"/>
  <c r="S79" i="20" s="1"/>
  <c r="N80" i="20"/>
  <c r="P80" i="20"/>
  <c r="R80" i="20"/>
  <c r="S80" i="20" s="1"/>
  <c r="N81" i="20"/>
  <c r="P81" i="20"/>
  <c r="R81" i="20"/>
  <c r="S81" i="20" s="1"/>
  <c r="N82" i="20"/>
  <c r="P82" i="20"/>
  <c r="R82" i="20"/>
  <c r="S82" i="20" s="1"/>
  <c r="N83" i="20"/>
  <c r="P83" i="20"/>
  <c r="R83" i="20"/>
  <c r="S83" i="20" s="1"/>
  <c r="N84" i="20"/>
  <c r="P84" i="20"/>
  <c r="R84" i="20"/>
  <c r="S84" i="20" s="1"/>
  <c r="N85" i="20"/>
  <c r="P85" i="20"/>
  <c r="R85" i="20"/>
  <c r="S85" i="20" s="1"/>
  <c r="N86" i="20"/>
  <c r="P86" i="20"/>
  <c r="R86" i="20"/>
  <c r="S86" i="20" s="1"/>
  <c r="N87" i="20"/>
  <c r="P87" i="20"/>
  <c r="R87" i="20"/>
  <c r="S87" i="20" s="1"/>
  <c r="N88" i="20"/>
  <c r="P88" i="20"/>
  <c r="R88" i="20"/>
  <c r="S88" i="20" s="1"/>
  <c r="N89" i="20"/>
  <c r="P89" i="20"/>
  <c r="R89" i="20"/>
  <c r="S89" i="20" s="1"/>
  <c r="N90" i="20"/>
  <c r="P90" i="20"/>
  <c r="R90" i="20"/>
  <c r="S90" i="20" s="1"/>
  <c r="N91" i="20"/>
  <c r="P91" i="20"/>
  <c r="R91" i="20"/>
  <c r="S91" i="20" s="1"/>
  <c r="N92" i="20"/>
  <c r="P92" i="20"/>
  <c r="R92" i="20"/>
  <c r="S92" i="20" s="1"/>
  <c r="P33" i="3"/>
  <c r="P32" i="3"/>
  <c r="P31" i="3"/>
  <c r="P30" i="3"/>
  <c r="P29" i="3"/>
  <c r="P28" i="3"/>
  <c r="P27" i="3"/>
  <c r="P26" i="3"/>
  <c r="P25" i="3"/>
  <c r="P24" i="3"/>
  <c r="P17" i="3"/>
  <c r="P16" i="3"/>
  <c r="P15" i="3"/>
  <c r="P14" i="3"/>
  <c r="P13" i="3"/>
  <c r="P12" i="3"/>
  <c r="P11" i="3"/>
  <c r="P10" i="3"/>
  <c r="P35" i="3"/>
  <c r="P34" i="3"/>
  <c r="P23" i="3"/>
  <c r="P22" i="3"/>
  <c r="P21" i="3"/>
  <c r="P20" i="3"/>
  <c r="P19" i="3"/>
  <c r="P18" i="3"/>
  <c r="P43" i="3"/>
  <c r="P42" i="3"/>
  <c r="P41" i="3"/>
  <c r="P40" i="3"/>
  <c r="P39" i="3"/>
  <c r="P38" i="3"/>
  <c r="P37" i="3"/>
  <c r="P36" i="3"/>
  <c r="P9" i="3"/>
  <c r="S47" i="20"/>
  <c r="S46" i="20"/>
  <c r="S45" i="20"/>
  <c r="S44" i="20"/>
  <c r="S43" i="20"/>
  <c r="S42" i="20"/>
  <c r="S41" i="20"/>
  <c r="S40" i="20"/>
  <c r="S39" i="20"/>
  <c r="S38" i="20"/>
  <c r="S37" i="20"/>
  <c r="S36" i="20"/>
  <c r="S35" i="20"/>
  <c r="S34" i="20"/>
  <c r="S33" i="20"/>
  <c r="S32" i="20"/>
  <c r="S31" i="20"/>
  <c r="S30" i="20"/>
  <c r="S29" i="20"/>
  <c r="N28" i="20"/>
  <c r="P28" i="20"/>
  <c r="R28" i="20"/>
  <c r="S28" i="20" s="1"/>
  <c r="N27" i="20"/>
  <c r="P27" i="20"/>
  <c r="R27" i="20"/>
  <c r="S27" i="20" s="1"/>
  <c r="N26" i="20"/>
  <c r="P26" i="20"/>
  <c r="R26" i="20"/>
  <c r="S26" i="20" s="1"/>
  <c r="N25" i="20"/>
  <c r="P25" i="20"/>
  <c r="R25" i="20"/>
  <c r="S25" i="20" s="1"/>
  <c r="N24" i="20"/>
  <c r="P24" i="20"/>
  <c r="R24" i="20"/>
  <c r="S24" i="20" s="1"/>
  <c r="N23" i="20"/>
  <c r="P23" i="20"/>
  <c r="R23" i="20"/>
  <c r="S23" i="20" s="1"/>
  <c r="N22" i="20"/>
  <c r="P22" i="20"/>
  <c r="R22" i="20"/>
  <c r="S22" i="20" s="1"/>
  <c r="N19" i="20"/>
  <c r="P19" i="20"/>
  <c r="R19" i="20"/>
  <c r="S19" i="20" s="1"/>
  <c r="N18" i="20"/>
  <c r="P18" i="20"/>
  <c r="R18" i="20"/>
  <c r="S18" i="20" s="1"/>
  <c r="N17" i="20"/>
  <c r="P17" i="20"/>
  <c r="R17" i="20"/>
  <c r="S17" i="20" s="1"/>
  <c r="N16" i="20"/>
  <c r="P16" i="20"/>
  <c r="R16" i="20"/>
  <c r="S16" i="20" s="1"/>
  <c r="N15" i="20"/>
  <c r="P15" i="20"/>
  <c r="R15" i="20"/>
  <c r="S15" i="20" s="1"/>
  <c r="N14" i="20"/>
  <c r="P14" i="20"/>
  <c r="R14" i="20"/>
  <c r="S14" i="20" s="1"/>
  <c r="N13" i="20"/>
  <c r="P13" i="20"/>
  <c r="R13" i="20"/>
  <c r="S13" i="20" s="1"/>
  <c r="N12" i="20"/>
  <c r="P12" i="20"/>
  <c r="S12" i="20"/>
  <c r="N11" i="20"/>
  <c r="P11" i="20"/>
  <c r="D33" i="13"/>
  <c r="B18" i="13"/>
  <c r="E18" i="13"/>
  <c r="I52" i="12"/>
  <c r="I66" i="12"/>
  <c r="G9" i="13"/>
  <c r="D9" i="13"/>
  <c r="D7" i="13"/>
  <c r="G7" i="13"/>
  <c r="D8" i="13"/>
  <c r="D10" i="13"/>
  <c r="D11" i="13"/>
  <c r="D12" i="13"/>
  <c r="G12" i="13"/>
  <c r="D13" i="13"/>
  <c r="G13" i="13"/>
  <c r="D14" i="13"/>
  <c r="D15" i="13"/>
  <c r="D16" i="13"/>
  <c r="G16" i="13"/>
  <c r="D17" i="13"/>
  <c r="G8" i="13"/>
  <c r="G10" i="13"/>
  <c r="G11" i="13"/>
  <c r="G14" i="13"/>
  <c r="G15" i="13"/>
  <c r="G17" i="13"/>
  <c r="G30" i="12"/>
  <c r="I30" i="12" s="1"/>
  <c r="I32" i="12"/>
  <c r="I33" i="12"/>
  <c r="I34" i="12"/>
  <c r="K13" i="1"/>
  <c r="M13" i="1"/>
  <c r="K12" i="1"/>
  <c r="M12" i="1"/>
  <c r="K14" i="1"/>
  <c r="M14" i="1"/>
  <c r="K15" i="1"/>
  <c r="M15" i="1"/>
  <c r="K16" i="1"/>
  <c r="M16" i="1"/>
  <c r="K17" i="1"/>
  <c r="M17" i="1"/>
  <c r="O17" i="1"/>
  <c r="P17" i="1" s="1"/>
  <c r="K18" i="1"/>
  <c r="M18" i="1"/>
  <c r="K19" i="1"/>
  <c r="M19" i="1"/>
  <c r="K20" i="1"/>
  <c r="K21" i="1"/>
  <c r="M21" i="1"/>
  <c r="K24" i="1"/>
  <c r="M24" i="1"/>
  <c r="K25" i="1"/>
  <c r="M25" i="1"/>
  <c r="P25" i="1"/>
  <c r="K26" i="1"/>
  <c r="M26" i="1"/>
  <c r="K27" i="1"/>
  <c r="M27" i="1"/>
  <c r="K28" i="1"/>
  <c r="M28" i="1"/>
  <c r="K29" i="1"/>
  <c r="M29" i="1"/>
  <c r="K30" i="1"/>
  <c r="M30" i="1"/>
  <c r="O30" i="1"/>
  <c r="P30" i="1" s="1"/>
  <c r="K31" i="1"/>
  <c r="M31" i="1"/>
  <c r="O31" i="1"/>
  <c r="P31" i="1" s="1"/>
  <c r="K32" i="1"/>
  <c r="M32" i="1"/>
  <c r="O32" i="1"/>
  <c r="P32" i="1" s="1"/>
  <c r="K33" i="1"/>
  <c r="M33" i="1"/>
  <c r="O33" i="1"/>
  <c r="P33" i="1" s="1"/>
  <c r="K34" i="1"/>
  <c r="M34" i="1"/>
  <c r="O34" i="1"/>
  <c r="P34" i="1" s="1"/>
  <c r="J39" i="13"/>
  <c r="K39" i="13" s="1"/>
  <c r="M39" i="13" s="1"/>
  <c r="N39" i="13" s="1"/>
  <c r="J41" i="13"/>
  <c r="K41" i="13" s="1"/>
  <c r="M41" i="13" s="1"/>
  <c r="N41" i="13" s="1"/>
  <c r="J40" i="13"/>
  <c r="K40" i="13" s="1"/>
  <c r="M40" i="13" s="1"/>
  <c r="N40" i="13" s="1"/>
  <c r="J42" i="13"/>
  <c r="K42" i="13" s="1"/>
  <c r="M42" i="13" s="1"/>
  <c r="N42" i="13" s="1"/>
  <c r="B21" i="13" l="1"/>
  <c r="I12" i="12"/>
  <c r="Y9" i="3"/>
  <c r="D11" i="20" s="1"/>
  <c r="D12" i="1" s="1"/>
  <c r="AA67" i="3"/>
  <c r="F69" i="20" s="1"/>
  <c r="X58" i="3"/>
  <c r="C60" i="20" s="1"/>
  <c r="AA34" i="3"/>
  <c r="Y66" i="3"/>
  <c r="D68" i="20" s="1"/>
  <c r="H8" i="13"/>
  <c r="X87" i="3"/>
  <c r="C89" i="20" s="1"/>
  <c r="Z83" i="3"/>
  <c r="E85" i="20" s="1"/>
  <c r="Z79" i="3"/>
  <c r="E81" i="20" s="1"/>
  <c r="X71" i="3"/>
  <c r="C73" i="20" s="1"/>
  <c r="Z67" i="3"/>
  <c r="E69" i="20" s="1"/>
  <c r="Y47" i="3"/>
  <c r="D49" i="20" s="1"/>
  <c r="D50" i="1" s="1"/>
  <c r="Z33" i="3"/>
  <c r="AA31" i="3"/>
  <c r="X88" i="3"/>
  <c r="C90" i="20" s="1"/>
  <c r="X85" i="3"/>
  <c r="C87" i="20" s="1"/>
  <c r="Z81" i="3"/>
  <c r="E83" i="20" s="1"/>
  <c r="AA78" i="3"/>
  <c r="F80" i="20" s="1"/>
  <c r="AA72" i="3"/>
  <c r="F74" i="20" s="1"/>
  <c r="AA49" i="3"/>
  <c r="F51" i="20" s="1"/>
  <c r="F52" i="1" s="1"/>
  <c r="Y65" i="3"/>
  <c r="D67" i="20" s="1"/>
  <c r="Z61" i="3"/>
  <c r="E63" i="20" s="1"/>
  <c r="X56" i="3"/>
  <c r="C58" i="20" s="1"/>
  <c r="Y54" i="3"/>
  <c r="D56" i="20" s="1"/>
  <c r="Z53" i="3"/>
  <c r="E55" i="20" s="1"/>
  <c r="AA52" i="3"/>
  <c r="F54" i="20" s="1"/>
  <c r="F55" i="1" s="1"/>
  <c r="X46" i="3"/>
  <c r="Y45" i="3"/>
  <c r="X42" i="3"/>
  <c r="X41" i="3"/>
  <c r="X74" i="3"/>
  <c r="C76" i="20" s="1"/>
  <c r="X45" i="3"/>
  <c r="X81" i="3"/>
  <c r="C83" i="20" s="1"/>
  <c r="Z87" i="3"/>
  <c r="E89" i="20" s="1"/>
  <c r="X53" i="3"/>
  <c r="C55" i="20" s="1"/>
  <c r="AA88" i="3"/>
  <c r="F90" i="20" s="1"/>
  <c r="Z52" i="3"/>
  <c r="E54" i="20" s="1"/>
  <c r="E55" i="1" s="1"/>
  <c r="Y46" i="3"/>
  <c r="Y41" i="3"/>
  <c r="H14" i="13"/>
  <c r="Y87" i="3"/>
  <c r="D89" i="20" s="1"/>
  <c r="Y86" i="3"/>
  <c r="D88" i="20" s="1"/>
  <c r="Z84" i="3"/>
  <c r="E86" i="20" s="1"/>
  <c r="Y83" i="3"/>
  <c r="D85" i="20" s="1"/>
  <c r="Y81" i="3"/>
  <c r="D83" i="20" s="1"/>
  <c r="Y80" i="3"/>
  <c r="D82" i="20" s="1"/>
  <c r="X79" i="3"/>
  <c r="C81" i="20" s="1"/>
  <c r="Y76" i="3"/>
  <c r="D78" i="20" s="1"/>
  <c r="Y75" i="3"/>
  <c r="D77" i="20" s="1"/>
  <c r="Z73" i="3"/>
  <c r="E75" i="20" s="1"/>
  <c r="Z72" i="3"/>
  <c r="E74" i="20" s="1"/>
  <c r="AA71" i="3"/>
  <c r="F73" i="20" s="1"/>
  <c r="AA66" i="3"/>
  <c r="F68" i="20" s="1"/>
  <c r="Z64" i="3"/>
  <c r="E66" i="20" s="1"/>
  <c r="Z63" i="3"/>
  <c r="E65" i="20" s="1"/>
  <c r="Y62" i="3"/>
  <c r="D64" i="20" s="1"/>
  <c r="Y61" i="3"/>
  <c r="D63" i="20" s="1"/>
  <c r="Y60" i="3"/>
  <c r="D62" i="20" s="1"/>
  <c r="Y59" i="3"/>
  <c r="D61" i="20" s="1"/>
  <c r="AA57" i="3"/>
  <c r="F59" i="20" s="1"/>
  <c r="AA56" i="3"/>
  <c r="F58" i="20" s="1"/>
  <c r="Y55" i="3"/>
  <c r="D57" i="20" s="1"/>
  <c r="Y53" i="3"/>
  <c r="D55" i="20" s="1"/>
  <c r="X52" i="3"/>
  <c r="C54" i="20" s="1"/>
  <c r="C55" i="1" s="1"/>
  <c r="AA51" i="3"/>
  <c r="F53" i="20" s="1"/>
  <c r="F54" i="1" s="1"/>
  <c r="X47" i="3"/>
  <c r="C49" i="20" s="1"/>
  <c r="C50" i="1" s="1"/>
  <c r="AA46" i="3"/>
  <c r="Y43" i="3"/>
  <c r="Y42" i="3"/>
  <c r="AA41" i="3"/>
  <c r="AA39" i="3"/>
  <c r="Y38" i="3"/>
  <c r="X35" i="3"/>
  <c r="X34" i="3"/>
  <c r="Z32" i="3"/>
  <c r="Y31" i="3"/>
  <c r="AA30" i="3"/>
  <c r="X29" i="3"/>
  <c r="AA28" i="3"/>
  <c r="AA27" i="3"/>
  <c r="X21" i="3"/>
  <c r="C23" i="20" s="1"/>
  <c r="C24" i="1" s="1"/>
  <c r="Z16" i="3"/>
  <c r="E18" i="20" s="1"/>
  <c r="E19" i="1" s="1"/>
  <c r="G92" i="20"/>
  <c r="H92" i="20" s="1"/>
  <c r="I92" i="20" s="1"/>
  <c r="G91" i="20"/>
  <c r="H91" i="20" s="1"/>
  <c r="I91" i="20" s="1"/>
  <c r="AA11" i="3"/>
  <c r="F13" i="20" s="1"/>
  <c r="F14" i="1" s="1"/>
  <c r="Z88" i="3"/>
  <c r="E90" i="20" s="1"/>
  <c r="Z86" i="3"/>
  <c r="E88" i="20" s="1"/>
  <c r="Y85" i="3"/>
  <c r="D87" i="20" s="1"/>
  <c r="AA84" i="3"/>
  <c r="F86" i="20" s="1"/>
  <c r="Z82" i="3"/>
  <c r="E84" i="20" s="1"/>
  <c r="AA81" i="3"/>
  <c r="F83" i="20" s="1"/>
  <c r="Y78" i="3"/>
  <c r="D80" i="20" s="1"/>
  <c r="Z77" i="3"/>
  <c r="E79" i="20" s="1"/>
  <c r="Z74" i="3"/>
  <c r="E76" i="20" s="1"/>
  <c r="AA70" i="3"/>
  <c r="F72" i="20" s="1"/>
  <c r="Z69" i="3"/>
  <c r="E71" i="20" s="1"/>
  <c r="Y68" i="3"/>
  <c r="D70" i="20" s="1"/>
  <c r="X66" i="3"/>
  <c r="C68" i="20" s="1"/>
  <c r="Z65" i="3"/>
  <c r="E67" i="20" s="1"/>
  <c r="X64" i="3"/>
  <c r="C66" i="20" s="1"/>
  <c r="Z62" i="3"/>
  <c r="E64" i="20" s="1"/>
  <c r="X61" i="3"/>
  <c r="C63" i="20" s="1"/>
  <c r="X60" i="3"/>
  <c r="C62" i="20" s="1"/>
  <c r="Z58" i="3"/>
  <c r="E60" i="20" s="1"/>
  <c r="X57" i="3"/>
  <c r="C59" i="20" s="1"/>
  <c r="Z56" i="3"/>
  <c r="E58" i="20" s="1"/>
  <c r="AA54" i="3"/>
  <c r="F56" i="20" s="1"/>
  <c r="Y52" i="3"/>
  <c r="D54" i="20" s="1"/>
  <c r="Y49" i="3"/>
  <c r="D51" i="20" s="1"/>
  <c r="D52" i="1" s="1"/>
  <c r="AA48" i="3"/>
  <c r="F50" i="20" s="1"/>
  <c r="F51" i="1" s="1"/>
  <c r="AA45" i="3"/>
  <c r="AA38" i="3"/>
  <c r="Z37" i="3"/>
  <c r="AA36" i="3"/>
  <c r="Y34" i="3"/>
  <c r="X33" i="3"/>
  <c r="C35" i="20" s="1"/>
  <c r="Y30" i="3"/>
  <c r="X16" i="3"/>
  <c r="C18" i="20" s="1"/>
  <c r="C19" i="1" s="1"/>
  <c r="Z30" i="3"/>
  <c r="AA16" i="3"/>
  <c r="F18" i="20" s="1"/>
  <c r="F19" i="1" s="1"/>
  <c r="H16" i="13"/>
  <c r="Y32" i="3"/>
  <c r="Z47" i="3"/>
  <c r="E49" i="20" s="1"/>
  <c r="X63" i="3"/>
  <c r="C65" i="20" s="1"/>
  <c r="X43" i="3"/>
  <c r="Z71" i="3"/>
  <c r="E73" i="20" s="1"/>
  <c r="Z35" i="3"/>
  <c r="H10" i="13"/>
  <c r="C32" i="13"/>
  <c r="E32" i="13" s="1"/>
  <c r="F32" i="13" s="1"/>
  <c r="X44" i="3"/>
  <c r="Y40" i="3"/>
  <c r="X40" i="3"/>
  <c r="AA75" i="3"/>
  <c r="F77" i="20" s="1"/>
  <c r="Y37" i="3"/>
  <c r="Y82" i="3"/>
  <c r="D84" i="20" s="1"/>
  <c r="AA69" i="3"/>
  <c r="F71" i="20" s="1"/>
  <c r="Z31" i="3"/>
  <c r="AA32" i="3"/>
  <c r="Z34" i="3"/>
  <c r="Z54" i="3"/>
  <c r="E56" i="20" s="1"/>
  <c r="AA59" i="3"/>
  <c r="F61" i="20" s="1"/>
  <c r="Z38" i="3"/>
  <c r="Z44" i="3"/>
  <c r="X70" i="3"/>
  <c r="C72" i="20" s="1"/>
  <c r="AA77" i="3"/>
  <c r="F79" i="20" s="1"/>
  <c r="AA85" i="3"/>
  <c r="F87" i="20" s="1"/>
  <c r="AA86" i="3"/>
  <c r="F88" i="20" s="1"/>
  <c r="Y58" i="3"/>
  <c r="D60" i="20" s="1"/>
  <c r="AA74" i="3"/>
  <c r="F76" i="20" s="1"/>
  <c r="X75" i="3"/>
  <c r="C77" i="20" s="1"/>
  <c r="AA82" i="3"/>
  <c r="F84" i="20" s="1"/>
  <c r="X84" i="3"/>
  <c r="C86" i="20" s="1"/>
  <c r="Z59" i="3"/>
  <c r="E61" i="20" s="1"/>
  <c r="Z49" i="3"/>
  <c r="E51" i="20" s="1"/>
  <c r="E52" i="1" s="1"/>
  <c r="X36" i="3"/>
  <c r="Y33" i="3"/>
  <c r="H15" i="13"/>
  <c r="AA61" i="3"/>
  <c r="F63" i="20" s="1"/>
  <c r="Z41" i="3"/>
  <c r="X37" i="3"/>
  <c r="AA33" i="3"/>
  <c r="Y11" i="3"/>
  <c r="D13" i="20" s="1"/>
  <c r="D14" i="1" s="1"/>
  <c r="Y63" i="3"/>
  <c r="D65" i="20" s="1"/>
  <c r="X51" i="3"/>
  <c r="C53" i="20" s="1"/>
  <c r="C54" i="1" s="1"/>
  <c r="X39" i="3"/>
  <c r="H13" i="13"/>
  <c r="Y36" i="3"/>
  <c r="Y79" i="3"/>
  <c r="D81" i="20" s="1"/>
  <c r="Z43" i="3"/>
  <c r="Z85" i="3"/>
  <c r="E87" i="20" s="1"/>
  <c r="X31" i="3"/>
  <c r="X32" i="3"/>
  <c r="Z39" i="3"/>
  <c r="AA63" i="3"/>
  <c r="F65" i="20" s="1"/>
  <c r="AA37" i="3"/>
  <c r="Z40" i="3"/>
  <c r="Y84" i="3"/>
  <c r="D86" i="20" s="1"/>
  <c r="X65" i="3"/>
  <c r="C67" i="20" s="1"/>
  <c r="Z36" i="3"/>
  <c r="Y35" i="3"/>
  <c r="Z42" i="3"/>
  <c r="X38" i="3"/>
  <c r="Z13" i="3"/>
  <c r="E15" i="20" s="1"/>
  <c r="E16" i="1" s="1"/>
  <c r="AA22" i="3"/>
  <c r="F24" i="20" s="1"/>
  <c r="F25" i="1" s="1"/>
  <c r="Y19" i="3"/>
  <c r="D21" i="20" s="1"/>
  <c r="D22" i="1" s="1"/>
  <c r="Z19" i="3"/>
  <c r="E21" i="20" s="1"/>
  <c r="E22" i="1" s="1"/>
  <c r="AA19" i="3"/>
  <c r="F21" i="20" s="1"/>
  <c r="F22" i="1" s="1"/>
  <c r="Y18" i="3"/>
  <c r="D20" i="20" s="1"/>
  <c r="D21" i="1" s="1"/>
  <c r="Y17" i="3"/>
  <c r="D19" i="20" s="1"/>
  <c r="D20" i="1" s="1"/>
  <c r="Z29" i="3"/>
  <c r="Y28" i="3"/>
  <c r="Y29" i="3"/>
  <c r="D31" i="20" s="1"/>
  <c r="Z24" i="3"/>
  <c r="E26" i="20" s="1"/>
  <c r="E27" i="1" s="1"/>
  <c r="Z27" i="3"/>
  <c r="AA25" i="3"/>
  <c r="F27" i="20" s="1"/>
  <c r="F28" i="1" s="1"/>
  <c r="Y24" i="3"/>
  <c r="D26" i="20" s="1"/>
  <c r="D27" i="1" s="1"/>
  <c r="Z18" i="3"/>
  <c r="E20" i="20" s="1"/>
  <c r="E21" i="1" s="1"/>
  <c r="Z17" i="3"/>
  <c r="E19" i="20" s="1"/>
  <c r="E20" i="1" s="1"/>
  <c r="Z26" i="3"/>
  <c r="E28" i="20" s="1"/>
  <c r="E29" i="1" s="1"/>
  <c r="X24" i="3"/>
  <c r="C26" i="20" s="1"/>
  <c r="C27" i="1" s="1"/>
  <c r="Y25" i="3"/>
  <c r="D27" i="20" s="1"/>
  <c r="D28" i="1" s="1"/>
  <c r="H11" i="13"/>
  <c r="AA80" i="3"/>
  <c r="F82" i="20" s="1"/>
  <c r="Z78" i="3"/>
  <c r="E80" i="20" s="1"/>
  <c r="Y77" i="3"/>
  <c r="D79" i="20" s="1"/>
  <c r="Z76" i="3"/>
  <c r="E78" i="20" s="1"/>
  <c r="Y74" i="3"/>
  <c r="D76" i="20" s="1"/>
  <c r="Y73" i="3"/>
  <c r="D75" i="20" s="1"/>
  <c r="Y72" i="3"/>
  <c r="D74" i="20" s="1"/>
  <c r="Z70" i="3"/>
  <c r="E72" i="20" s="1"/>
  <c r="AA68" i="3"/>
  <c r="F70" i="20" s="1"/>
  <c r="X67" i="3"/>
  <c r="C69" i="20" s="1"/>
  <c r="Z66" i="3"/>
  <c r="AA65" i="3"/>
  <c r="AA64" i="3"/>
  <c r="F66" i="20" s="1"/>
  <c r="X62" i="3"/>
  <c r="C64" i="20" s="1"/>
  <c r="Z60" i="3"/>
  <c r="E62" i="20" s="1"/>
  <c r="X55" i="3"/>
  <c r="C57" i="20" s="1"/>
  <c r="AA53" i="3"/>
  <c r="F55" i="20" s="1"/>
  <c r="AA43" i="3"/>
  <c r="AA42" i="3"/>
  <c r="AA40" i="3"/>
  <c r="Y39" i="3"/>
  <c r="AA29" i="3"/>
  <c r="H9" i="13"/>
  <c r="X30" i="3"/>
  <c r="C32" i="20" s="1"/>
  <c r="X11" i="3"/>
  <c r="C13" i="20" s="1"/>
  <c r="C14" i="1" s="1"/>
  <c r="E36" i="13"/>
  <c r="H36" i="13" s="1"/>
  <c r="E38" i="13"/>
  <c r="F38" i="13" s="1"/>
  <c r="H12" i="13"/>
  <c r="E35" i="13"/>
  <c r="D18" i="13"/>
  <c r="G45" i="12"/>
  <c r="I45" i="12" s="1"/>
  <c r="G59" i="12"/>
  <c r="I59" i="12" s="1"/>
  <c r="G42" i="12"/>
  <c r="I42" i="12" s="1"/>
  <c r="G44" i="12"/>
  <c r="I44" i="12" s="1"/>
  <c r="G49" i="12"/>
  <c r="I49" i="12" s="1"/>
  <c r="G43" i="12"/>
  <c r="I43" i="12" s="1"/>
  <c r="G57" i="12"/>
  <c r="I57" i="12" s="1"/>
  <c r="G47" i="12"/>
  <c r="I47" i="12" s="1"/>
  <c r="E37" i="13"/>
  <c r="AA21" i="3"/>
  <c r="F23" i="20" s="1"/>
  <c r="F24" i="1" s="1"/>
  <c r="Y21" i="3"/>
  <c r="D23" i="20" s="1"/>
  <c r="Z21" i="3"/>
  <c r="E23" i="20" s="1"/>
  <c r="E24" i="1" s="1"/>
  <c r="Y20" i="3"/>
  <c r="D22" i="20" s="1"/>
  <c r="D23" i="1" s="1"/>
  <c r="X20" i="3"/>
  <c r="AA20" i="3"/>
  <c r="F22" i="20" s="1"/>
  <c r="F23" i="1" s="1"/>
  <c r="Z20" i="3"/>
  <c r="E22" i="20" s="1"/>
  <c r="E23" i="1" s="1"/>
  <c r="X12" i="3"/>
  <c r="Y12" i="3"/>
  <c r="D14" i="20" s="1"/>
  <c r="D15" i="1" s="1"/>
  <c r="AA12" i="3"/>
  <c r="F14" i="20" s="1"/>
  <c r="F15" i="1" s="1"/>
  <c r="Z12" i="3"/>
  <c r="E14" i="20" s="1"/>
  <c r="E15" i="1" s="1"/>
  <c r="I68" i="12"/>
  <c r="X14" i="3"/>
  <c r="AA14" i="3"/>
  <c r="F16" i="20" s="1"/>
  <c r="F17" i="1" s="1"/>
  <c r="Y14" i="3"/>
  <c r="D16" i="20" s="1"/>
  <c r="D17" i="1" s="1"/>
  <c r="Z14" i="3"/>
  <c r="E16" i="20" s="1"/>
  <c r="E17" i="1" s="1"/>
  <c r="X9" i="3"/>
  <c r="Z9" i="3"/>
  <c r="E11" i="20" s="1"/>
  <c r="E12" i="1" s="1"/>
  <c r="AA9" i="3"/>
  <c r="F11" i="20" s="1"/>
  <c r="F12" i="1" s="1"/>
  <c r="G18" i="13"/>
  <c r="X78" i="3"/>
  <c r="Y70" i="3"/>
  <c r="D72" i="20" s="1"/>
  <c r="AA62" i="3"/>
  <c r="F64" i="20" s="1"/>
  <c r="H17" i="13"/>
  <c r="Y88" i="3"/>
  <c r="AA87" i="3"/>
  <c r="F89" i="20" s="1"/>
  <c r="X86" i="3"/>
  <c r="X83" i="3"/>
  <c r="AA83" i="3"/>
  <c r="F85" i="20" s="1"/>
  <c r="X50" i="3"/>
  <c r="C52" i="20" s="1"/>
  <c r="C53" i="1" s="1"/>
  <c r="Y50" i="3"/>
  <c r="D52" i="20" s="1"/>
  <c r="D53" i="1" s="1"/>
  <c r="Z50" i="3"/>
  <c r="E52" i="20" s="1"/>
  <c r="E53" i="1" s="1"/>
  <c r="AA50" i="3"/>
  <c r="F52" i="20" s="1"/>
  <c r="F53" i="1" s="1"/>
  <c r="AA47" i="3"/>
  <c r="F49" i="20" s="1"/>
  <c r="F50" i="1" s="1"/>
  <c r="Z22" i="3"/>
  <c r="E24" i="20" s="1"/>
  <c r="E25" i="1" s="1"/>
  <c r="X22" i="3"/>
  <c r="Y22" i="3"/>
  <c r="D24" i="20" s="1"/>
  <c r="D25" i="1" s="1"/>
  <c r="Z80" i="3"/>
  <c r="E82" i="20" s="1"/>
  <c r="AA79" i="3"/>
  <c r="F81" i="20" s="1"/>
  <c r="X77" i="3"/>
  <c r="X76" i="3"/>
  <c r="AA76" i="3"/>
  <c r="F78" i="20" s="1"/>
  <c r="Z75" i="3"/>
  <c r="AA73" i="3"/>
  <c r="F75" i="20" s="1"/>
  <c r="X73" i="3"/>
  <c r="X72" i="3"/>
  <c r="Y71" i="3"/>
  <c r="D73" i="20" s="1"/>
  <c r="Y69" i="3"/>
  <c r="D71" i="20" s="1"/>
  <c r="X68" i="3"/>
  <c r="Z68" i="3"/>
  <c r="E70" i="20" s="1"/>
  <c r="Y67" i="3"/>
  <c r="D69" i="20" s="1"/>
  <c r="Y64" i="3"/>
  <c r="D66" i="20" s="1"/>
  <c r="AA60" i="3"/>
  <c r="F62" i="20" s="1"/>
  <c r="X59" i="3"/>
  <c r="AA58" i="3"/>
  <c r="F60" i="20" s="1"/>
  <c r="Z57" i="3"/>
  <c r="E59" i="20" s="1"/>
  <c r="Y57" i="3"/>
  <c r="Y56" i="3"/>
  <c r="D58" i="20" s="1"/>
  <c r="Z55" i="3"/>
  <c r="E57" i="20" s="1"/>
  <c r="AA55" i="3"/>
  <c r="F57" i="20" s="1"/>
  <c r="X54" i="3"/>
  <c r="Z51" i="3"/>
  <c r="E53" i="20" s="1"/>
  <c r="Y48" i="3"/>
  <c r="D50" i="20" s="1"/>
  <c r="Z48" i="3"/>
  <c r="E50" i="20" s="1"/>
  <c r="E51" i="1" s="1"/>
  <c r="X48" i="3"/>
  <c r="C50" i="20" s="1"/>
  <c r="C51" i="1" s="1"/>
  <c r="AA44" i="3"/>
  <c r="Y44" i="3"/>
  <c r="D46" i="20" s="1"/>
  <c r="Y10" i="3"/>
  <c r="D12" i="20" s="1"/>
  <c r="D13" i="1" s="1"/>
  <c r="AA10" i="3"/>
  <c r="F12" i="20" s="1"/>
  <c r="F13" i="1" s="1"/>
  <c r="X10" i="3"/>
  <c r="Z10" i="3"/>
  <c r="E12" i="20" s="1"/>
  <c r="E13" i="1" s="1"/>
  <c r="X80" i="3"/>
  <c r="Y51" i="3"/>
  <c r="D53" i="20" s="1"/>
  <c r="D54" i="1" s="1"/>
  <c r="Z45" i="3"/>
  <c r="Z23" i="3"/>
  <c r="E25" i="20" s="1"/>
  <c r="E26" i="1" s="1"/>
  <c r="AA23" i="3"/>
  <c r="F25" i="20" s="1"/>
  <c r="F26" i="1" s="1"/>
  <c r="Y23" i="3"/>
  <c r="D25" i="20" s="1"/>
  <c r="D26" i="1" s="1"/>
  <c r="X18" i="3"/>
  <c r="AA18" i="3"/>
  <c r="F20" i="20" s="1"/>
  <c r="F21" i="1" s="1"/>
  <c r="H7" i="13"/>
  <c r="X82" i="3"/>
  <c r="X49" i="3"/>
  <c r="C51" i="20" s="1"/>
  <c r="C52" i="1" s="1"/>
  <c r="Z46" i="3"/>
  <c r="X27" i="3"/>
  <c r="C29" i="20" s="1"/>
  <c r="Y27" i="3"/>
  <c r="X23" i="3"/>
  <c r="X19" i="3"/>
  <c r="X15" i="3"/>
  <c r="Z15" i="3"/>
  <c r="E17" i="20" s="1"/>
  <c r="E18" i="1" s="1"/>
  <c r="AA15" i="3"/>
  <c r="F17" i="20" s="1"/>
  <c r="F18" i="1" s="1"/>
  <c r="Y15" i="3"/>
  <c r="D17" i="20" s="1"/>
  <c r="D18" i="1" s="1"/>
  <c r="X69" i="3"/>
  <c r="Z28" i="3"/>
  <c r="AA24" i="3"/>
  <c r="Y16" i="3"/>
  <c r="AA35" i="3"/>
  <c r="X28" i="3"/>
  <c r="C30" i="20" s="1"/>
  <c r="X25" i="3"/>
  <c r="Z25" i="3"/>
  <c r="E27" i="20" s="1"/>
  <c r="E28" i="1" s="1"/>
  <c r="X17" i="3"/>
  <c r="AA17" i="3"/>
  <c r="F19" i="20" s="1"/>
  <c r="F20" i="1" s="1"/>
  <c r="X26" i="3"/>
  <c r="AA26" i="3"/>
  <c r="Y26" i="3"/>
  <c r="D28" i="20" s="1"/>
  <c r="D29" i="1" s="1"/>
  <c r="Y13" i="3"/>
  <c r="D15" i="20" s="1"/>
  <c r="D16" i="1" s="1"/>
  <c r="AA13" i="3"/>
  <c r="F15" i="20" s="1"/>
  <c r="F16" i="1" s="1"/>
  <c r="X13" i="3"/>
  <c r="Z11" i="3"/>
  <c r="E47" i="20" l="1"/>
  <c r="E48" i="1" s="1"/>
  <c r="F46" i="20"/>
  <c r="F47" i="1" s="1"/>
  <c r="F39" i="20"/>
  <c r="F40" i="1" s="1"/>
  <c r="D38" i="20"/>
  <c r="E43" i="20"/>
  <c r="E44" i="1" s="1"/>
  <c r="E46" i="20"/>
  <c r="E47" i="1" s="1"/>
  <c r="D42" i="20"/>
  <c r="G49" i="20"/>
  <c r="H49" i="20" s="1"/>
  <c r="I49" i="20" s="1"/>
  <c r="L49" i="20" s="1"/>
  <c r="E50" i="1"/>
  <c r="G50" i="1" s="1"/>
  <c r="H50" i="1" s="1"/>
  <c r="I50" i="1" s="1"/>
  <c r="Q50" i="1" s="1"/>
  <c r="D36" i="20"/>
  <c r="D37" i="1" s="1"/>
  <c r="E34" i="20"/>
  <c r="E35" i="1" s="1"/>
  <c r="F48" i="20"/>
  <c r="F49" i="1" s="1"/>
  <c r="C48" i="20"/>
  <c r="E31" i="20"/>
  <c r="E32" i="1" s="1"/>
  <c r="C40" i="20"/>
  <c r="F34" i="20"/>
  <c r="F35" i="1" s="1"/>
  <c r="C46" i="20"/>
  <c r="C47" i="1" s="1"/>
  <c r="C31" i="20"/>
  <c r="F43" i="20"/>
  <c r="F44" i="1" s="1"/>
  <c r="C43" i="20"/>
  <c r="F33" i="20"/>
  <c r="F34" i="1" s="1"/>
  <c r="F37" i="20"/>
  <c r="F38" i="1" s="1"/>
  <c r="F44" i="20"/>
  <c r="F45" i="1" s="1"/>
  <c r="E44" i="20"/>
  <c r="E45" i="1" s="1"/>
  <c r="E41" i="20"/>
  <c r="E45" i="20"/>
  <c r="C41" i="20"/>
  <c r="C42" i="1" s="1"/>
  <c r="F35" i="20"/>
  <c r="F36" i="1" s="1"/>
  <c r="E33" i="20"/>
  <c r="C45" i="20"/>
  <c r="C46" i="1" s="1"/>
  <c r="D32" i="20"/>
  <c r="D33" i="1" s="1"/>
  <c r="E39" i="20"/>
  <c r="E40" i="1" s="1"/>
  <c r="F32" i="20"/>
  <c r="F33" i="1" s="1"/>
  <c r="C37" i="20"/>
  <c r="C38" i="1" s="1"/>
  <c r="D44" i="20"/>
  <c r="D45" i="1" s="1"/>
  <c r="C44" i="20"/>
  <c r="C45" i="1" s="1"/>
  <c r="E35" i="20"/>
  <c r="E36" i="1" s="1"/>
  <c r="G53" i="20"/>
  <c r="H53" i="20" s="1"/>
  <c r="I53" i="20" s="1"/>
  <c r="L53" i="20" s="1"/>
  <c r="E54" i="1"/>
  <c r="G54" i="1" s="1"/>
  <c r="H54" i="1" s="1"/>
  <c r="I54" i="1" s="1"/>
  <c r="Q54" i="1" s="1"/>
  <c r="D41" i="20"/>
  <c r="D42" i="1" s="1"/>
  <c r="D30" i="20"/>
  <c r="D31" i="1" s="1"/>
  <c r="E38" i="20"/>
  <c r="E39" i="1" s="1"/>
  <c r="C33" i="20"/>
  <c r="C34" i="1" s="1"/>
  <c r="C38" i="20"/>
  <c r="C39" i="1" s="1"/>
  <c r="E36" i="20"/>
  <c r="E37" i="1" s="1"/>
  <c r="E37" i="20"/>
  <c r="E32" i="20"/>
  <c r="E33" i="1" s="1"/>
  <c r="F47" i="20"/>
  <c r="F48" i="1" s="1"/>
  <c r="F30" i="20"/>
  <c r="F31" i="1" s="1"/>
  <c r="F41" i="20"/>
  <c r="F42" i="1" s="1"/>
  <c r="D43" i="20"/>
  <c r="D44" i="1" s="1"/>
  <c r="E30" i="20"/>
  <c r="E31" i="1" s="1"/>
  <c r="D29" i="20"/>
  <c r="D30" i="1" s="1"/>
  <c r="G32" i="20"/>
  <c r="H32" i="20" s="1"/>
  <c r="I32" i="20" s="1"/>
  <c r="L32" i="20" s="1"/>
  <c r="F42" i="20"/>
  <c r="F43" i="1" s="1"/>
  <c r="E29" i="20"/>
  <c r="E40" i="20"/>
  <c r="E41" i="1" s="1"/>
  <c r="D39" i="20"/>
  <c r="D40" i="1" s="1"/>
  <c r="D34" i="20"/>
  <c r="D35" i="1" s="1"/>
  <c r="F38" i="20"/>
  <c r="F39" i="1" s="1"/>
  <c r="C36" i="20"/>
  <c r="C37" i="1" s="1"/>
  <c r="D48" i="20"/>
  <c r="D49" i="1" s="1"/>
  <c r="F28" i="20"/>
  <c r="F29" i="1" s="1"/>
  <c r="E48" i="20"/>
  <c r="E49" i="1" s="1"/>
  <c r="G46" i="20"/>
  <c r="H46" i="20" s="1"/>
  <c r="I46" i="20" s="1"/>
  <c r="L46" i="20" s="1"/>
  <c r="G50" i="20"/>
  <c r="H50" i="20" s="1"/>
  <c r="I50" i="20" s="1"/>
  <c r="L50" i="20" s="1"/>
  <c r="D51" i="1"/>
  <c r="G51" i="1" s="1"/>
  <c r="H51" i="1" s="1"/>
  <c r="I51" i="1" s="1"/>
  <c r="Q51" i="1" s="1"/>
  <c r="G53" i="1"/>
  <c r="H53" i="1" s="1"/>
  <c r="I53" i="1" s="1"/>
  <c r="Q53" i="1" s="1"/>
  <c r="F31" i="20"/>
  <c r="F32" i="1" s="1"/>
  <c r="F45" i="20"/>
  <c r="F46" i="1" s="1"/>
  <c r="D37" i="20"/>
  <c r="D38" i="1" s="1"/>
  <c r="E42" i="20"/>
  <c r="E43" i="1" s="1"/>
  <c r="C34" i="20"/>
  <c r="C35" i="1" s="1"/>
  <c r="C39" i="20"/>
  <c r="C40" i="1" s="1"/>
  <c r="D35" i="20"/>
  <c r="D36" i="1" s="1"/>
  <c r="C42" i="20"/>
  <c r="C43" i="1" s="1"/>
  <c r="F40" i="20"/>
  <c r="F41" i="1" s="1"/>
  <c r="G54" i="20"/>
  <c r="H54" i="20" s="1"/>
  <c r="I54" i="20" s="1"/>
  <c r="L54" i="20" s="1"/>
  <c r="D55" i="1"/>
  <c r="G55" i="1" s="1"/>
  <c r="H55" i="1" s="1"/>
  <c r="I55" i="1" s="1"/>
  <c r="Q55" i="1" s="1"/>
  <c r="F29" i="20"/>
  <c r="F30" i="1" s="1"/>
  <c r="D33" i="20"/>
  <c r="D34" i="1" s="1"/>
  <c r="D40" i="20"/>
  <c r="D41" i="1" s="1"/>
  <c r="D45" i="20"/>
  <c r="D46" i="1" s="1"/>
  <c r="C47" i="20"/>
  <c r="C48" i="1" s="1"/>
  <c r="D47" i="20"/>
  <c r="G52" i="1"/>
  <c r="H52" i="1" s="1"/>
  <c r="I52" i="1" s="1"/>
  <c r="Q52" i="1" s="1"/>
  <c r="F36" i="20"/>
  <c r="F37" i="1" s="1"/>
  <c r="B90" i="3"/>
  <c r="L92" i="20"/>
  <c r="T92" i="20" s="1"/>
  <c r="U92" i="20" s="1"/>
  <c r="B89" i="3"/>
  <c r="L91" i="20"/>
  <c r="T91" i="20" s="1"/>
  <c r="U91" i="20" s="1"/>
  <c r="G52" i="20"/>
  <c r="H52" i="20" s="1"/>
  <c r="I52" i="20" s="1"/>
  <c r="L52" i="20" s="1"/>
  <c r="G51" i="20"/>
  <c r="H51" i="20" s="1"/>
  <c r="I51" i="20" s="1"/>
  <c r="L51" i="20" s="1"/>
  <c r="I108" i="12"/>
  <c r="G108" i="12"/>
  <c r="G36" i="13"/>
  <c r="G55" i="20"/>
  <c r="H55" i="20" s="1"/>
  <c r="I55" i="20" s="1"/>
  <c r="B53" i="3" s="1"/>
  <c r="G58" i="20"/>
  <c r="H58" i="20" s="1"/>
  <c r="I58" i="20" s="1"/>
  <c r="B56" i="3" s="1"/>
  <c r="G89" i="20"/>
  <c r="H89" i="20" s="1"/>
  <c r="I89" i="20" s="1"/>
  <c r="B87" i="3" s="1"/>
  <c r="AB81" i="3"/>
  <c r="AC81" i="3" s="1"/>
  <c r="J83" i="20" s="1"/>
  <c r="K83" i="20" s="1"/>
  <c r="G86" i="20"/>
  <c r="H86" i="20" s="1"/>
  <c r="I86" i="20" s="1"/>
  <c r="B84" i="3" s="1"/>
  <c r="AB84" i="3"/>
  <c r="AC84" i="3" s="1"/>
  <c r="J86" i="20" s="1"/>
  <c r="K86" i="20" s="1"/>
  <c r="AB32" i="3"/>
  <c r="AC32" i="3" s="1"/>
  <c r="J34" i="20" s="1"/>
  <c r="K34" i="20" s="1"/>
  <c r="G81" i="20"/>
  <c r="H81" i="20" s="1"/>
  <c r="I81" i="20" s="1"/>
  <c r="B79" i="3" s="1"/>
  <c r="AB33" i="3"/>
  <c r="AC33" i="3" s="1"/>
  <c r="J35" i="20" s="1"/>
  <c r="K35" i="20" s="1"/>
  <c r="G76" i="20"/>
  <c r="H76" i="20" s="1"/>
  <c r="I76" i="20" s="1"/>
  <c r="B74" i="3" s="1"/>
  <c r="C33" i="13"/>
  <c r="E33" i="13" s="1"/>
  <c r="F33" i="13" s="1"/>
  <c r="AB74" i="3"/>
  <c r="AC74" i="3" s="1"/>
  <c r="J76" i="20" s="1"/>
  <c r="K76" i="20" s="1"/>
  <c r="G72" i="20"/>
  <c r="H72" i="20" s="1"/>
  <c r="I72" i="20" s="1"/>
  <c r="B70" i="3" s="1"/>
  <c r="AB31" i="3"/>
  <c r="AC31" i="3" s="1"/>
  <c r="J33" i="20" s="1"/>
  <c r="K33" i="20" s="1"/>
  <c r="G65" i="20"/>
  <c r="H65" i="20" s="1"/>
  <c r="I65" i="20" s="1"/>
  <c r="B63" i="3" s="1"/>
  <c r="G87" i="20"/>
  <c r="H87" i="20" s="1"/>
  <c r="I87" i="20" s="1"/>
  <c r="B85" i="3" s="1"/>
  <c r="AB63" i="3"/>
  <c r="AC63" i="3" s="1"/>
  <c r="J65" i="20" s="1"/>
  <c r="K65" i="20" s="1"/>
  <c r="AB39" i="3"/>
  <c r="AC39" i="3" s="1"/>
  <c r="J41" i="20" s="1"/>
  <c r="K41" i="20" s="1"/>
  <c r="C34" i="13"/>
  <c r="E34" i="13" s="1"/>
  <c r="AB37" i="3"/>
  <c r="AC37" i="3" s="1"/>
  <c r="J39" i="20" s="1"/>
  <c r="K39" i="20" s="1"/>
  <c r="AB52" i="3"/>
  <c r="AC52" i="3" s="1"/>
  <c r="J54" i="20" s="1"/>
  <c r="K54" i="20" s="1"/>
  <c r="G63" i="20"/>
  <c r="H63" i="20" s="1"/>
  <c r="I63" i="20" s="1"/>
  <c r="B61" i="3" s="1"/>
  <c r="AB38" i="3"/>
  <c r="AC38" i="3" s="1"/>
  <c r="J40" i="20" s="1"/>
  <c r="K40" i="20" s="1"/>
  <c r="AB61" i="3"/>
  <c r="AC61" i="3" s="1"/>
  <c r="J63" i="20" s="1"/>
  <c r="K63" i="20" s="1"/>
  <c r="G69" i="20"/>
  <c r="H69" i="20" s="1"/>
  <c r="I69" i="20" s="1"/>
  <c r="B67" i="3" s="1"/>
  <c r="AB41" i="3"/>
  <c r="AC41" i="3" s="1"/>
  <c r="J43" i="20" s="1"/>
  <c r="K43" i="20" s="1"/>
  <c r="G83" i="20"/>
  <c r="H83" i="20" s="1"/>
  <c r="I83" i="20" s="1"/>
  <c r="G57" i="20"/>
  <c r="H57" i="20" s="1"/>
  <c r="I57" i="20" s="1"/>
  <c r="B55" i="3" s="1"/>
  <c r="AB85" i="3"/>
  <c r="AC85" i="3" s="1"/>
  <c r="J87" i="20" s="1"/>
  <c r="K87" i="20" s="1"/>
  <c r="AB51" i="3"/>
  <c r="AC51" i="3" s="1"/>
  <c r="J53" i="20" s="1"/>
  <c r="K53" i="20" s="1"/>
  <c r="AB87" i="3"/>
  <c r="AC87" i="3" s="1"/>
  <c r="J89" i="20" s="1"/>
  <c r="K89" i="20" s="1"/>
  <c r="AB56" i="3"/>
  <c r="AC56" i="3" s="1"/>
  <c r="J58" i="20" s="1"/>
  <c r="K58" i="20" s="1"/>
  <c r="AB34" i="3"/>
  <c r="AC34" i="3" s="1"/>
  <c r="J36" i="20" s="1"/>
  <c r="K36" i="20" s="1"/>
  <c r="AB36" i="3"/>
  <c r="AC36" i="3" s="1"/>
  <c r="J38" i="20" s="1"/>
  <c r="K38" i="20" s="1"/>
  <c r="H18" i="13"/>
  <c r="AB64" i="3"/>
  <c r="AC64" i="3" s="1"/>
  <c r="J66" i="20" s="1"/>
  <c r="K66" i="20" s="1"/>
  <c r="AB42" i="3"/>
  <c r="AC42" i="3" s="1"/>
  <c r="J44" i="20" s="1"/>
  <c r="K44" i="20" s="1"/>
  <c r="B22" i="13"/>
  <c r="AB30" i="3"/>
  <c r="AC30" i="3" s="1"/>
  <c r="J32" i="20" s="1"/>
  <c r="K32" i="20" s="1"/>
  <c r="AB40" i="3"/>
  <c r="AC40" i="3" s="1"/>
  <c r="J42" i="20" s="1"/>
  <c r="K42" i="20" s="1"/>
  <c r="AB43" i="3"/>
  <c r="AC43" i="3" s="1"/>
  <c r="J45" i="20" s="1"/>
  <c r="K45" i="20" s="1"/>
  <c r="E68" i="20"/>
  <c r="G68" i="20" s="1"/>
  <c r="H68" i="20" s="1"/>
  <c r="I68" i="20" s="1"/>
  <c r="B66" i="3" s="1"/>
  <c r="AB66" i="3"/>
  <c r="AC66" i="3" s="1"/>
  <c r="J68" i="20" s="1"/>
  <c r="K68" i="20" s="1"/>
  <c r="AB35" i="3"/>
  <c r="AC35" i="3" s="1"/>
  <c r="J37" i="20" s="1"/>
  <c r="K37" i="20" s="1"/>
  <c r="AB21" i="3"/>
  <c r="AC21" i="3" s="1"/>
  <c r="J23" i="20" s="1"/>
  <c r="K23" i="20" s="1"/>
  <c r="AB29" i="3"/>
  <c r="AC29" i="3" s="1"/>
  <c r="J31" i="20" s="1"/>
  <c r="K31" i="20" s="1"/>
  <c r="F67" i="20"/>
  <c r="G67" i="20" s="1"/>
  <c r="H67" i="20" s="1"/>
  <c r="I67" i="20" s="1"/>
  <c r="AB65" i="3"/>
  <c r="AC65" i="3" s="1"/>
  <c r="J67" i="20" s="1"/>
  <c r="K67" i="20" s="1"/>
  <c r="AB53" i="3"/>
  <c r="AC53" i="3" s="1"/>
  <c r="J55" i="20" s="1"/>
  <c r="K55" i="20" s="1"/>
  <c r="F36" i="13"/>
  <c r="G38" i="13"/>
  <c r="H38" i="13"/>
  <c r="H35" i="13"/>
  <c r="G35" i="13"/>
  <c r="F35" i="13"/>
  <c r="C15" i="20"/>
  <c r="AB13" i="3"/>
  <c r="AC13" i="3" s="1"/>
  <c r="J15" i="20" s="1"/>
  <c r="K15" i="20" s="1"/>
  <c r="D18" i="20"/>
  <c r="AB16" i="3"/>
  <c r="AC16" i="3" s="1"/>
  <c r="J18" i="20" s="1"/>
  <c r="K18" i="20" s="1"/>
  <c r="C21" i="20"/>
  <c r="AB19" i="3"/>
  <c r="AC19" i="3" s="1"/>
  <c r="J21" i="20" s="1"/>
  <c r="K21" i="20" s="1"/>
  <c r="AB48" i="3"/>
  <c r="AC48" i="3" s="1"/>
  <c r="J50" i="20" s="1"/>
  <c r="K50" i="20" s="1"/>
  <c r="D59" i="20"/>
  <c r="G59" i="20" s="1"/>
  <c r="H59" i="20" s="1"/>
  <c r="I59" i="20" s="1"/>
  <c r="AB57" i="3"/>
  <c r="AC57" i="3" s="1"/>
  <c r="J59" i="20" s="1"/>
  <c r="K59" i="20" s="1"/>
  <c r="H32" i="13"/>
  <c r="I31" i="13"/>
  <c r="J31" i="13" s="1"/>
  <c r="G32" i="13"/>
  <c r="C28" i="20"/>
  <c r="AB26" i="3"/>
  <c r="AC26" i="3" s="1"/>
  <c r="J28" i="20" s="1"/>
  <c r="K28" i="20" s="1"/>
  <c r="C27" i="20"/>
  <c r="AB25" i="3"/>
  <c r="AC25" i="3" s="1"/>
  <c r="J27" i="20" s="1"/>
  <c r="K27" i="20" s="1"/>
  <c r="F26" i="20"/>
  <c r="AB24" i="3"/>
  <c r="AC24" i="3" s="1"/>
  <c r="J26" i="20" s="1"/>
  <c r="K26" i="20" s="1"/>
  <c r="C25" i="20"/>
  <c r="AB23" i="3"/>
  <c r="AC23" i="3" s="1"/>
  <c r="J25" i="20" s="1"/>
  <c r="K25" i="20" s="1"/>
  <c r="AB49" i="3"/>
  <c r="AC49" i="3" s="1"/>
  <c r="J51" i="20" s="1"/>
  <c r="K51" i="20" s="1"/>
  <c r="C12" i="20"/>
  <c r="AB10" i="3"/>
  <c r="AC10" i="3" s="1"/>
  <c r="J12" i="20" s="1"/>
  <c r="K12" i="20" s="1"/>
  <c r="C74" i="20"/>
  <c r="G74" i="20" s="1"/>
  <c r="H74" i="20" s="1"/>
  <c r="I74" i="20" s="1"/>
  <c r="AB72" i="3"/>
  <c r="AC72" i="3" s="1"/>
  <c r="J74" i="20" s="1"/>
  <c r="K74" i="20" s="1"/>
  <c r="AB50" i="3"/>
  <c r="AC50" i="3" s="1"/>
  <c r="J52" i="20" s="1"/>
  <c r="K52" i="20" s="1"/>
  <c r="C14" i="20"/>
  <c r="AB12" i="3"/>
  <c r="AC12" i="3" s="1"/>
  <c r="J14" i="20" s="1"/>
  <c r="K14" i="20" s="1"/>
  <c r="AB45" i="3"/>
  <c r="AC45" i="3" s="1"/>
  <c r="J47" i="20" s="1"/>
  <c r="K47" i="20" s="1"/>
  <c r="G66" i="20"/>
  <c r="H66" i="20" s="1"/>
  <c r="I66" i="20" s="1"/>
  <c r="H37" i="13"/>
  <c r="G37" i="13"/>
  <c r="F37" i="13"/>
  <c r="AB58" i="3"/>
  <c r="AC58" i="3" s="1"/>
  <c r="J60" i="20" s="1"/>
  <c r="K60" i="20" s="1"/>
  <c r="AB47" i="3"/>
  <c r="AC47" i="3" s="1"/>
  <c r="J49" i="20" s="1"/>
  <c r="K49" i="20" s="1"/>
  <c r="C56" i="20"/>
  <c r="G56" i="20" s="1"/>
  <c r="H56" i="20" s="1"/>
  <c r="I56" i="20" s="1"/>
  <c r="AB54" i="3"/>
  <c r="AC54" i="3" s="1"/>
  <c r="J56" i="20" s="1"/>
  <c r="K56" i="20" s="1"/>
  <c r="AB46" i="3"/>
  <c r="AC46" i="3" s="1"/>
  <c r="J48" i="20" s="1"/>
  <c r="K48" i="20" s="1"/>
  <c r="G73" i="20"/>
  <c r="H73" i="20" s="1"/>
  <c r="I73" i="20" s="1"/>
  <c r="AB28" i="3"/>
  <c r="AC28" i="3" s="1"/>
  <c r="J30" i="20" s="1"/>
  <c r="K30" i="20" s="1"/>
  <c r="C84" i="20"/>
  <c r="G84" i="20" s="1"/>
  <c r="H84" i="20" s="1"/>
  <c r="I84" i="20" s="1"/>
  <c r="AB82" i="3"/>
  <c r="AC82" i="3" s="1"/>
  <c r="J84" i="20" s="1"/>
  <c r="K84" i="20" s="1"/>
  <c r="C82" i="20"/>
  <c r="G82" i="20" s="1"/>
  <c r="H82" i="20" s="1"/>
  <c r="I82" i="20" s="1"/>
  <c r="AB80" i="3"/>
  <c r="AC80" i="3" s="1"/>
  <c r="J82" i="20" s="1"/>
  <c r="K82" i="20" s="1"/>
  <c r="AB44" i="3"/>
  <c r="AC44" i="3" s="1"/>
  <c r="J46" i="20" s="1"/>
  <c r="K46" i="20" s="1"/>
  <c r="G64" i="20"/>
  <c r="H64" i="20" s="1"/>
  <c r="I64" i="20" s="1"/>
  <c r="C70" i="20"/>
  <c r="G70" i="20" s="1"/>
  <c r="H70" i="20" s="1"/>
  <c r="I70" i="20" s="1"/>
  <c r="AB68" i="3"/>
  <c r="AC68" i="3" s="1"/>
  <c r="J70" i="20" s="1"/>
  <c r="K70" i="20" s="1"/>
  <c r="C75" i="20"/>
  <c r="G75" i="20" s="1"/>
  <c r="H75" i="20" s="1"/>
  <c r="I75" i="20" s="1"/>
  <c r="AB73" i="3"/>
  <c r="AC73" i="3" s="1"/>
  <c r="J75" i="20" s="1"/>
  <c r="K75" i="20" s="1"/>
  <c r="C78" i="20"/>
  <c r="G78" i="20" s="1"/>
  <c r="H78" i="20" s="1"/>
  <c r="I78" i="20" s="1"/>
  <c r="AB76" i="3"/>
  <c r="AC76" i="3" s="1"/>
  <c r="J78" i="20" s="1"/>
  <c r="K78" i="20" s="1"/>
  <c r="D90" i="20"/>
  <c r="G90" i="20" s="1"/>
  <c r="H90" i="20" s="1"/>
  <c r="I90" i="20" s="1"/>
  <c r="AB88" i="3"/>
  <c r="AC88" i="3" s="1"/>
  <c r="J90" i="20" s="1"/>
  <c r="K90" i="20" s="1"/>
  <c r="C80" i="20"/>
  <c r="G80" i="20" s="1"/>
  <c r="H80" i="20" s="1"/>
  <c r="I80" i="20" s="1"/>
  <c r="AB78" i="3"/>
  <c r="AC78" i="3" s="1"/>
  <c r="J80" i="20" s="1"/>
  <c r="K80" i="20" s="1"/>
  <c r="AB55" i="3"/>
  <c r="AC55" i="3" s="1"/>
  <c r="J57" i="20" s="1"/>
  <c r="K57" i="20" s="1"/>
  <c r="C11" i="20"/>
  <c r="AB9" i="3"/>
  <c r="AC9" i="3" s="1"/>
  <c r="J11" i="20" s="1"/>
  <c r="K11" i="20" s="1"/>
  <c r="G62" i="20"/>
  <c r="H62" i="20" s="1"/>
  <c r="I62" i="20" s="1"/>
  <c r="AB62" i="3"/>
  <c r="AC62" i="3" s="1"/>
  <c r="J64" i="20" s="1"/>
  <c r="K64" i="20" s="1"/>
  <c r="AB79" i="3"/>
  <c r="AC79" i="3" s="1"/>
  <c r="J81" i="20" s="1"/>
  <c r="K81" i="20" s="1"/>
  <c r="D32" i="1"/>
  <c r="G60" i="20"/>
  <c r="H60" i="20" s="1"/>
  <c r="I60" i="20" s="1"/>
  <c r="E77" i="20"/>
  <c r="G77" i="20" s="1"/>
  <c r="H77" i="20" s="1"/>
  <c r="I77" i="20" s="1"/>
  <c r="AB75" i="3"/>
  <c r="AC75" i="3" s="1"/>
  <c r="J77" i="20" s="1"/>
  <c r="K77" i="20" s="1"/>
  <c r="C88" i="20"/>
  <c r="G88" i="20" s="1"/>
  <c r="H88" i="20" s="1"/>
  <c r="I88" i="20" s="1"/>
  <c r="AB86" i="3"/>
  <c r="AC86" i="3" s="1"/>
  <c r="J88" i="20" s="1"/>
  <c r="K88" i="20" s="1"/>
  <c r="C22" i="20"/>
  <c r="AB20" i="3"/>
  <c r="AC20" i="3" s="1"/>
  <c r="J22" i="20" s="1"/>
  <c r="K22" i="20" s="1"/>
  <c r="E13" i="20"/>
  <c r="AB11" i="3"/>
  <c r="AC11" i="3" s="1"/>
  <c r="J13" i="20" s="1"/>
  <c r="K13" i="20" s="1"/>
  <c r="C19" i="20"/>
  <c r="AB17" i="3"/>
  <c r="AC17" i="3" s="1"/>
  <c r="J19" i="20" s="1"/>
  <c r="K19" i="20" s="1"/>
  <c r="C71" i="20"/>
  <c r="G71" i="20" s="1"/>
  <c r="H71" i="20" s="1"/>
  <c r="I71" i="20" s="1"/>
  <c r="AB69" i="3"/>
  <c r="AC69" i="3" s="1"/>
  <c r="J71" i="20" s="1"/>
  <c r="K71" i="20" s="1"/>
  <c r="C17" i="20"/>
  <c r="AB15" i="3"/>
  <c r="AC15" i="3" s="1"/>
  <c r="J17" i="20" s="1"/>
  <c r="K17" i="20" s="1"/>
  <c r="AB27" i="3"/>
  <c r="AC27" i="3" s="1"/>
  <c r="J29" i="20" s="1"/>
  <c r="K29" i="20" s="1"/>
  <c r="C20" i="20"/>
  <c r="AB18" i="3"/>
  <c r="AC18" i="3" s="1"/>
  <c r="J20" i="20" s="1"/>
  <c r="K20" i="20" s="1"/>
  <c r="C61" i="20"/>
  <c r="G61" i="20" s="1"/>
  <c r="H61" i="20" s="1"/>
  <c r="I61" i="20" s="1"/>
  <c r="AB59" i="3"/>
  <c r="AC59" i="3" s="1"/>
  <c r="J61" i="20" s="1"/>
  <c r="K61" i="20" s="1"/>
  <c r="C79" i="20"/>
  <c r="G79" i="20" s="1"/>
  <c r="H79" i="20" s="1"/>
  <c r="I79" i="20" s="1"/>
  <c r="AB77" i="3"/>
  <c r="AC77" i="3" s="1"/>
  <c r="J79" i="20" s="1"/>
  <c r="K79" i="20" s="1"/>
  <c r="C24" i="20"/>
  <c r="AB22" i="3"/>
  <c r="AC22" i="3" s="1"/>
  <c r="J24" i="20" s="1"/>
  <c r="K24" i="20" s="1"/>
  <c r="C85" i="20"/>
  <c r="G85" i="20" s="1"/>
  <c r="H85" i="20" s="1"/>
  <c r="I85" i="20" s="1"/>
  <c r="AB83" i="3"/>
  <c r="AC83" i="3" s="1"/>
  <c r="J85" i="20" s="1"/>
  <c r="K85" i="20" s="1"/>
  <c r="AB67" i="3"/>
  <c r="AC67" i="3" s="1"/>
  <c r="J69" i="20" s="1"/>
  <c r="K69" i="20" s="1"/>
  <c r="C16" i="20"/>
  <c r="AB14" i="3"/>
  <c r="AC14" i="3" s="1"/>
  <c r="J16" i="20" s="1"/>
  <c r="K16" i="20" s="1"/>
  <c r="D24" i="1"/>
  <c r="G24" i="1" s="1"/>
  <c r="H24" i="1" s="1"/>
  <c r="I24" i="1" s="1"/>
  <c r="Q24" i="1" s="1"/>
  <c r="G23" i="20"/>
  <c r="H23" i="20" s="1"/>
  <c r="I23" i="20" s="1"/>
  <c r="AB70" i="3"/>
  <c r="AC70" i="3" s="1"/>
  <c r="J72" i="20" s="1"/>
  <c r="K72" i="20" s="1"/>
  <c r="AB71" i="3"/>
  <c r="AC71" i="3" s="1"/>
  <c r="J73" i="20" s="1"/>
  <c r="K73" i="20" s="1"/>
  <c r="AB60" i="3"/>
  <c r="AC60" i="3" s="1"/>
  <c r="J62" i="20" s="1"/>
  <c r="K62" i="20" s="1"/>
  <c r="B47" i="3" l="1"/>
  <c r="G47" i="20"/>
  <c r="H47" i="20" s="1"/>
  <c r="I47" i="20" s="1"/>
  <c r="L47" i="20" s="1"/>
  <c r="L86" i="20"/>
  <c r="T86" i="20" s="1"/>
  <c r="U86" i="20" s="1"/>
  <c r="G40" i="1"/>
  <c r="H40" i="1" s="1"/>
  <c r="I40" i="1" s="1"/>
  <c r="Q40" i="1" s="1"/>
  <c r="G29" i="20"/>
  <c r="H29" i="20" s="1"/>
  <c r="I29" i="20" s="1"/>
  <c r="L29" i="20" s="1"/>
  <c r="G31" i="20"/>
  <c r="H31" i="20" s="1"/>
  <c r="I31" i="20" s="1"/>
  <c r="L31" i="20" s="1"/>
  <c r="T31" i="20" s="1"/>
  <c r="U31" i="20" s="1"/>
  <c r="G45" i="1"/>
  <c r="H45" i="1" s="1"/>
  <c r="I45" i="1" s="1"/>
  <c r="Q45" i="1" s="1"/>
  <c r="G37" i="20"/>
  <c r="H37" i="20" s="1"/>
  <c r="I37" i="20" s="1"/>
  <c r="L37" i="20" s="1"/>
  <c r="T37" i="20" s="1"/>
  <c r="U37" i="20" s="1"/>
  <c r="L55" i="20"/>
  <c r="T55" i="20" s="1"/>
  <c r="U55" i="20" s="1"/>
  <c r="G43" i="20"/>
  <c r="H43" i="20" s="1"/>
  <c r="I43" i="20" s="1"/>
  <c r="L43" i="20" s="1"/>
  <c r="G35" i="1"/>
  <c r="H35" i="1" s="1"/>
  <c r="I35" i="1" s="1"/>
  <c r="Q35" i="1" s="1"/>
  <c r="G37" i="1"/>
  <c r="H37" i="1" s="1"/>
  <c r="I37" i="1" s="1"/>
  <c r="Q37" i="1" s="1"/>
  <c r="G45" i="20"/>
  <c r="H45" i="20" s="1"/>
  <c r="I45" i="20" s="1"/>
  <c r="L45" i="20" s="1"/>
  <c r="T45" i="20" s="1"/>
  <c r="U45" i="20" s="1"/>
  <c r="G42" i="20"/>
  <c r="H42" i="20" s="1"/>
  <c r="I42" i="20" s="1"/>
  <c r="E46" i="1"/>
  <c r="G46" i="1" s="1"/>
  <c r="H46" i="1" s="1"/>
  <c r="I46" i="1" s="1"/>
  <c r="Q46" i="1" s="1"/>
  <c r="C44" i="1"/>
  <c r="G44" i="1" s="1"/>
  <c r="H44" i="1" s="1"/>
  <c r="I44" i="1" s="1"/>
  <c r="Q44" i="1" s="1"/>
  <c r="C32" i="1"/>
  <c r="G32" i="1" s="1"/>
  <c r="H32" i="1" s="1"/>
  <c r="I32" i="1" s="1"/>
  <c r="Q32" i="1" s="1"/>
  <c r="D43" i="1"/>
  <c r="G43" i="1" s="1"/>
  <c r="H43" i="1" s="1"/>
  <c r="I43" i="1" s="1"/>
  <c r="Q43" i="1" s="1"/>
  <c r="E30" i="1"/>
  <c r="E38" i="1"/>
  <c r="G38" i="1" s="1"/>
  <c r="H38" i="1" s="1"/>
  <c r="I38" i="1" s="1"/>
  <c r="Q38" i="1" s="1"/>
  <c r="G33" i="20"/>
  <c r="H33" i="20" s="1"/>
  <c r="I33" i="20" s="1"/>
  <c r="G41" i="20"/>
  <c r="H41" i="20" s="1"/>
  <c r="I41" i="20" s="1"/>
  <c r="G40" i="20"/>
  <c r="H40" i="20" s="1"/>
  <c r="I40" i="20" s="1"/>
  <c r="G48" i="20"/>
  <c r="H48" i="20" s="1"/>
  <c r="I48" i="20" s="1"/>
  <c r="G38" i="20"/>
  <c r="H38" i="20" s="1"/>
  <c r="I38" i="20" s="1"/>
  <c r="G39" i="20"/>
  <c r="H39" i="20" s="1"/>
  <c r="I39" i="20" s="1"/>
  <c r="L81" i="20"/>
  <c r="T81" i="20" s="1"/>
  <c r="U81" i="20" s="1"/>
  <c r="B41" i="3"/>
  <c r="D48" i="1"/>
  <c r="G48" i="1" s="1"/>
  <c r="H48" i="1" s="1"/>
  <c r="I48" i="1" s="1"/>
  <c r="Q48" i="1" s="1"/>
  <c r="B52" i="3"/>
  <c r="G35" i="20"/>
  <c r="H35" i="20" s="1"/>
  <c r="I35" i="20" s="1"/>
  <c r="L35" i="20" s="1"/>
  <c r="G36" i="20"/>
  <c r="H36" i="20" s="1"/>
  <c r="I36" i="20" s="1"/>
  <c r="G34" i="20"/>
  <c r="H34" i="20" s="1"/>
  <c r="I34" i="20" s="1"/>
  <c r="G30" i="20"/>
  <c r="H30" i="20" s="1"/>
  <c r="I30" i="20" s="1"/>
  <c r="L30" i="20" s="1"/>
  <c r="G44" i="20"/>
  <c r="H44" i="20" s="1"/>
  <c r="I44" i="20" s="1"/>
  <c r="E34" i="1"/>
  <c r="G34" i="1" s="1"/>
  <c r="H34" i="1" s="1"/>
  <c r="I34" i="1" s="1"/>
  <c r="Q34" i="1" s="1"/>
  <c r="E42" i="1"/>
  <c r="G42" i="1" s="1"/>
  <c r="H42" i="1" s="1"/>
  <c r="I42" i="1" s="1"/>
  <c r="Q42" i="1" s="1"/>
  <c r="C41" i="1"/>
  <c r="G41" i="1" s="1"/>
  <c r="H41" i="1" s="1"/>
  <c r="I41" i="1" s="1"/>
  <c r="Q41" i="1" s="1"/>
  <c r="C49" i="1"/>
  <c r="G49" i="1" s="1"/>
  <c r="H49" i="1" s="1"/>
  <c r="I49" i="1" s="1"/>
  <c r="Q49" i="1" s="1"/>
  <c r="D39" i="1"/>
  <c r="G39" i="1" s="1"/>
  <c r="H39" i="1" s="1"/>
  <c r="I39" i="1" s="1"/>
  <c r="Q39" i="1" s="1"/>
  <c r="D47" i="1"/>
  <c r="G47" i="1" s="1"/>
  <c r="H47" i="1" s="1"/>
  <c r="I47" i="1" s="1"/>
  <c r="Q47" i="1" s="1"/>
  <c r="L57" i="20"/>
  <c r="T57" i="20" s="1"/>
  <c r="U57" i="20" s="1"/>
  <c r="G34" i="13"/>
  <c r="F34" i="13"/>
  <c r="T49" i="20"/>
  <c r="U49" i="20" s="1"/>
  <c r="B33" i="3"/>
  <c r="C36" i="1"/>
  <c r="G36" i="1" s="1"/>
  <c r="H36" i="1" s="1"/>
  <c r="I36" i="1" s="1"/>
  <c r="Q36" i="1" s="1"/>
  <c r="H34" i="13"/>
  <c r="L65" i="20"/>
  <c r="T65" i="20" s="1"/>
  <c r="U65" i="20" s="1"/>
  <c r="J36" i="13"/>
  <c r="K36" i="13" s="1"/>
  <c r="M36" i="13" s="1"/>
  <c r="N36" i="13" s="1"/>
  <c r="L58" i="20"/>
  <c r="T58" i="20" s="1"/>
  <c r="U58" i="20" s="1"/>
  <c r="L63" i="20"/>
  <c r="T63" i="20" s="1"/>
  <c r="U63" i="20" s="1"/>
  <c r="L89" i="20"/>
  <c r="T89" i="20" s="1"/>
  <c r="U89" i="20" s="1"/>
  <c r="L76" i="20"/>
  <c r="T76" i="20" s="1"/>
  <c r="U76" i="20" s="1"/>
  <c r="G33" i="13"/>
  <c r="T43" i="20"/>
  <c r="U43" i="20" s="1"/>
  <c r="L72" i="20"/>
  <c r="T72" i="20" s="1"/>
  <c r="U72" i="20" s="1"/>
  <c r="H33" i="13"/>
  <c r="L68" i="20"/>
  <c r="T68" i="20" s="1"/>
  <c r="U68" i="20" s="1"/>
  <c r="L69" i="20"/>
  <c r="T69" i="20" s="1"/>
  <c r="U69" i="20" s="1"/>
  <c r="T54" i="20"/>
  <c r="U54" i="20" s="1"/>
  <c r="L87" i="20"/>
  <c r="T87" i="20" s="1"/>
  <c r="U87" i="20" s="1"/>
  <c r="B81" i="3"/>
  <c r="L83" i="20"/>
  <c r="T83" i="20" s="1"/>
  <c r="U83" i="20" s="1"/>
  <c r="J38" i="13"/>
  <c r="K38" i="13" s="1"/>
  <c r="M38" i="13" s="1"/>
  <c r="N38" i="13" s="1"/>
  <c r="L67" i="20"/>
  <c r="T67" i="20" s="1"/>
  <c r="U67" i="20" s="1"/>
  <c r="B65" i="3"/>
  <c r="C33" i="1"/>
  <c r="G33" i="1" s="1"/>
  <c r="H33" i="1" s="1"/>
  <c r="I33" i="1" s="1"/>
  <c r="Q33" i="1" s="1"/>
  <c r="B30" i="3"/>
  <c r="J35" i="13"/>
  <c r="K35" i="13" s="1"/>
  <c r="M35" i="13" s="1"/>
  <c r="N35" i="13" s="1"/>
  <c r="B57" i="13"/>
  <c r="L59" i="20"/>
  <c r="T59" i="20" s="1"/>
  <c r="U59" i="20" s="1"/>
  <c r="B57" i="3"/>
  <c r="B83" i="3"/>
  <c r="L85" i="20"/>
  <c r="T85" i="20" s="1"/>
  <c r="U85" i="20" s="1"/>
  <c r="B75" i="3"/>
  <c r="L77" i="20"/>
  <c r="T77" i="20" s="1"/>
  <c r="U77" i="20" s="1"/>
  <c r="B88" i="3"/>
  <c r="L90" i="20"/>
  <c r="T90" i="20" s="1"/>
  <c r="U90" i="20" s="1"/>
  <c r="B82" i="3"/>
  <c r="L84" i="20"/>
  <c r="T84" i="20" s="1"/>
  <c r="U84" i="20" s="1"/>
  <c r="L56" i="20"/>
  <c r="T56" i="20" s="1"/>
  <c r="U56" i="20" s="1"/>
  <c r="B54" i="3"/>
  <c r="C15" i="1"/>
  <c r="G14" i="20"/>
  <c r="H14" i="20" s="1"/>
  <c r="I14" i="20" s="1"/>
  <c r="B50" i="3"/>
  <c r="T52" i="20"/>
  <c r="U52" i="20" s="1"/>
  <c r="D19" i="1"/>
  <c r="G19" i="1" s="1"/>
  <c r="H19" i="1" s="1"/>
  <c r="I19" i="1" s="1"/>
  <c r="Q19" i="1" s="1"/>
  <c r="G18" i="20"/>
  <c r="H18" i="20" s="1"/>
  <c r="I18" i="20" s="1"/>
  <c r="B59" i="3"/>
  <c r="L61" i="20"/>
  <c r="T61" i="20" s="1"/>
  <c r="U61" i="20" s="1"/>
  <c r="C30" i="1"/>
  <c r="B58" i="3"/>
  <c r="L60" i="20"/>
  <c r="T60" i="20" s="1"/>
  <c r="U60" i="20" s="1"/>
  <c r="B60" i="3"/>
  <c r="L62" i="20"/>
  <c r="T62" i="20" s="1"/>
  <c r="U62" i="20" s="1"/>
  <c r="L70" i="20"/>
  <c r="T70" i="20" s="1"/>
  <c r="U70" i="20" s="1"/>
  <c r="B68" i="3"/>
  <c r="B80" i="3"/>
  <c r="L82" i="20"/>
  <c r="T82" i="20" s="1"/>
  <c r="U82" i="20" s="1"/>
  <c r="J37" i="13"/>
  <c r="K37" i="13" s="1"/>
  <c r="M37" i="13" s="1"/>
  <c r="N37" i="13" s="1"/>
  <c r="B51" i="3"/>
  <c r="T53" i="20"/>
  <c r="U53" i="20" s="1"/>
  <c r="C26" i="1"/>
  <c r="G25" i="20"/>
  <c r="H25" i="20" s="1"/>
  <c r="I25" i="20" s="1"/>
  <c r="C29" i="1"/>
  <c r="G28" i="20"/>
  <c r="H28" i="20" s="1"/>
  <c r="I28" i="20" s="1"/>
  <c r="L23" i="20"/>
  <c r="T23" i="20" s="1"/>
  <c r="U23" i="20" s="1"/>
  <c r="B21" i="3"/>
  <c r="C17" i="1"/>
  <c r="G16" i="20"/>
  <c r="H16" i="20" s="1"/>
  <c r="I16" i="20" s="1"/>
  <c r="C18" i="1"/>
  <c r="G17" i="20"/>
  <c r="H17" i="20" s="1"/>
  <c r="I17" i="20" s="1"/>
  <c r="E14" i="1"/>
  <c r="G14" i="1" s="1"/>
  <c r="H14" i="1" s="1"/>
  <c r="I14" i="1" s="1"/>
  <c r="Q14" i="1" s="1"/>
  <c r="G13" i="20"/>
  <c r="H13" i="20" s="1"/>
  <c r="I13" i="20" s="1"/>
  <c r="B45" i="3"/>
  <c r="T47" i="20"/>
  <c r="U47" i="20" s="1"/>
  <c r="B71" i="3"/>
  <c r="L73" i="20"/>
  <c r="T73" i="20" s="1"/>
  <c r="U73" i="20" s="1"/>
  <c r="L79" i="20"/>
  <c r="T79" i="20" s="1"/>
  <c r="U79" i="20" s="1"/>
  <c r="B77" i="3"/>
  <c r="C21" i="1"/>
  <c r="G20" i="20"/>
  <c r="H20" i="20" s="1"/>
  <c r="I20" i="20" s="1"/>
  <c r="C20" i="1"/>
  <c r="G19" i="20"/>
  <c r="H19" i="20" s="1"/>
  <c r="I19" i="20" s="1"/>
  <c r="L88" i="20"/>
  <c r="T88" i="20" s="1"/>
  <c r="U88" i="20" s="1"/>
  <c r="B86" i="3"/>
  <c r="B78" i="3"/>
  <c r="L80" i="20"/>
  <c r="T80" i="20" s="1"/>
  <c r="U80" i="20" s="1"/>
  <c r="B73" i="3"/>
  <c r="L75" i="20"/>
  <c r="T75" i="20" s="1"/>
  <c r="U75" i="20" s="1"/>
  <c r="B62" i="3"/>
  <c r="L64" i="20"/>
  <c r="T64" i="20" s="1"/>
  <c r="U64" i="20" s="1"/>
  <c r="T46" i="20"/>
  <c r="U46" i="20" s="1"/>
  <c r="B44" i="3"/>
  <c r="B64" i="3"/>
  <c r="L66" i="20"/>
  <c r="T66" i="20" s="1"/>
  <c r="U66" i="20" s="1"/>
  <c r="L74" i="20"/>
  <c r="T74" i="20" s="1"/>
  <c r="U74" i="20" s="1"/>
  <c r="B72" i="3"/>
  <c r="T51" i="20"/>
  <c r="U51" i="20" s="1"/>
  <c r="B49" i="3"/>
  <c r="C28" i="1"/>
  <c r="G27" i="20"/>
  <c r="H27" i="20" s="1"/>
  <c r="I27" i="20" s="1"/>
  <c r="J32" i="13"/>
  <c r="K32" i="13" s="1"/>
  <c r="C22" i="1"/>
  <c r="G21" i="20"/>
  <c r="H21" i="20" s="1"/>
  <c r="I21" i="20" s="1"/>
  <c r="C12" i="1"/>
  <c r="G11" i="20"/>
  <c r="H11" i="20" s="1"/>
  <c r="I11" i="20" s="1"/>
  <c r="C25" i="1"/>
  <c r="G24" i="20"/>
  <c r="H24" i="20" s="1"/>
  <c r="I24" i="20" s="1"/>
  <c r="B69" i="3"/>
  <c r="L71" i="20"/>
  <c r="T71" i="20" s="1"/>
  <c r="U71" i="20" s="1"/>
  <c r="C23" i="1"/>
  <c r="G22" i="20"/>
  <c r="H22" i="20" s="1"/>
  <c r="I22" i="20" s="1"/>
  <c r="B76" i="3"/>
  <c r="L78" i="20"/>
  <c r="T78" i="20" s="1"/>
  <c r="U78" i="20" s="1"/>
  <c r="C31" i="1"/>
  <c r="C13" i="1"/>
  <c r="G12" i="20"/>
  <c r="H12" i="20" s="1"/>
  <c r="I12" i="20" s="1"/>
  <c r="F27" i="1"/>
  <c r="G27" i="1" s="1"/>
  <c r="H27" i="1" s="1"/>
  <c r="I27" i="1" s="1"/>
  <c r="Q27" i="1" s="1"/>
  <c r="G26" i="20"/>
  <c r="H26" i="20" s="1"/>
  <c r="I26" i="20" s="1"/>
  <c r="B48" i="3"/>
  <c r="T50" i="20"/>
  <c r="U50" i="20" s="1"/>
  <c r="C16" i="1"/>
  <c r="G15" i="20"/>
  <c r="H15" i="20" s="1"/>
  <c r="I15" i="20" s="1"/>
  <c r="B35" i="3" l="1"/>
  <c r="B43" i="3"/>
  <c r="B29" i="3"/>
  <c r="L36" i="20"/>
  <c r="T36" i="20" s="1"/>
  <c r="U36" i="20" s="1"/>
  <c r="B34" i="3"/>
  <c r="J34" i="13"/>
  <c r="K34" i="13" s="1"/>
  <c r="M34" i="13" s="1"/>
  <c r="N34" i="13" s="1"/>
  <c r="L44" i="20"/>
  <c r="T44" i="20" s="1"/>
  <c r="U44" i="20" s="1"/>
  <c r="B42" i="3"/>
  <c r="L48" i="20"/>
  <c r="T48" i="20" s="1"/>
  <c r="U48" i="20" s="1"/>
  <c r="B46" i="3"/>
  <c r="L42" i="20"/>
  <c r="T42" i="20" s="1"/>
  <c r="U42" i="20" s="1"/>
  <c r="B40" i="3"/>
  <c r="L34" i="20"/>
  <c r="T34" i="20" s="1"/>
  <c r="U34" i="20" s="1"/>
  <c r="B32" i="3"/>
  <c r="L41" i="20"/>
  <c r="T41" i="20" s="1"/>
  <c r="U41" i="20" s="1"/>
  <c r="B39" i="3"/>
  <c r="L38" i="20"/>
  <c r="T38" i="20" s="1"/>
  <c r="U38" i="20" s="1"/>
  <c r="B36" i="3"/>
  <c r="L33" i="20"/>
  <c r="T33" i="20" s="1"/>
  <c r="U33" i="20" s="1"/>
  <c r="B31" i="3"/>
  <c r="L39" i="20"/>
  <c r="T39" i="20" s="1"/>
  <c r="U39" i="20" s="1"/>
  <c r="B37" i="3"/>
  <c r="L40" i="20"/>
  <c r="T40" i="20" s="1"/>
  <c r="U40" i="20" s="1"/>
  <c r="B38" i="3"/>
  <c r="T35" i="20"/>
  <c r="U35" i="20" s="1"/>
  <c r="J33" i="13"/>
  <c r="K33" i="13" s="1"/>
  <c r="M33" i="13" s="1"/>
  <c r="N33" i="13" s="1"/>
  <c r="T32" i="20"/>
  <c r="U32" i="20" s="1"/>
  <c r="L12" i="20"/>
  <c r="T12" i="20" s="1"/>
  <c r="U12" i="20" s="1"/>
  <c r="B10" i="3"/>
  <c r="M32" i="13"/>
  <c r="N32" i="13" s="1"/>
  <c r="L17" i="20"/>
  <c r="T17" i="20" s="1"/>
  <c r="U17" i="20" s="1"/>
  <c r="B15" i="3"/>
  <c r="G13" i="1"/>
  <c r="H13" i="1" s="1"/>
  <c r="I13" i="1" s="1"/>
  <c r="Q13" i="1" s="1"/>
  <c r="G12" i="1"/>
  <c r="H12" i="1" s="1"/>
  <c r="I12" i="1" s="1"/>
  <c r="Q12" i="1" s="1"/>
  <c r="B25" i="3"/>
  <c r="L27" i="20"/>
  <c r="T27" i="20" s="1"/>
  <c r="U27" i="20" s="1"/>
  <c r="G20" i="1"/>
  <c r="H20" i="1" s="1"/>
  <c r="I20" i="1" s="1"/>
  <c r="Q20" i="1" s="1"/>
  <c r="G18" i="1"/>
  <c r="H18" i="1" s="1"/>
  <c r="I18" i="1" s="1"/>
  <c r="Q18" i="1" s="1"/>
  <c r="G26" i="1"/>
  <c r="H26" i="1" s="1"/>
  <c r="I26" i="1" s="1"/>
  <c r="Q26" i="1" s="1"/>
  <c r="B27" i="3"/>
  <c r="T29" i="20"/>
  <c r="U29" i="20" s="1"/>
  <c r="L11" i="20"/>
  <c r="T11" i="20" s="1"/>
  <c r="U11" i="20" s="1"/>
  <c r="B9" i="3"/>
  <c r="L26" i="20"/>
  <c r="T26" i="20" s="1"/>
  <c r="U26" i="20" s="1"/>
  <c r="B24" i="3"/>
  <c r="B20" i="3"/>
  <c r="L22" i="20"/>
  <c r="T22" i="20" s="1"/>
  <c r="U22" i="20" s="1"/>
  <c r="B22" i="3"/>
  <c r="L24" i="20"/>
  <c r="T24" i="20" s="1"/>
  <c r="U24" i="20" s="1"/>
  <c r="L21" i="20"/>
  <c r="T21" i="20" s="1"/>
  <c r="U21" i="20" s="1"/>
  <c r="B19" i="3"/>
  <c r="G28" i="1"/>
  <c r="H28" i="1" s="1"/>
  <c r="I28" i="1" s="1"/>
  <c r="Q28" i="1" s="1"/>
  <c r="B18" i="3"/>
  <c r="L20" i="20"/>
  <c r="T20" i="20" s="1"/>
  <c r="U20" i="20" s="1"/>
  <c r="B11" i="3"/>
  <c r="L13" i="20"/>
  <c r="T13" i="20" s="1"/>
  <c r="U13" i="20" s="1"/>
  <c r="B14" i="3"/>
  <c r="L16" i="20"/>
  <c r="T16" i="20" s="1"/>
  <c r="U16" i="20" s="1"/>
  <c r="L28" i="20"/>
  <c r="T28" i="20" s="1"/>
  <c r="U28" i="20" s="1"/>
  <c r="B26" i="3"/>
  <c r="G30" i="1"/>
  <c r="H30" i="1" s="1"/>
  <c r="I30" i="1" s="1"/>
  <c r="Q30" i="1" s="1"/>
  <c r="L18" i="20"/>
  <c r="T18" i="20" s="1"/>
  <c r="U18" i="20" s="1"/>
  <c r="B16" i="3"/>
  <c r="B12" i="3"/>
  <c r="L14" i="20"/>
  <c r="T14" i="20" s="1"/>
  <c r="U14" i="20" s="1"/>
  <c r="L19" i="20"/>
  <c r="T19" i="20" s="1"/>
  <c r="U19" i="20" s="1"/>
  <c r="B17" i="3"/>
  <c r="L25" i="20"/>
  <c r="T25" i="20" s="1"/>
  <c r="U25" i="20" s="1"/>
  <c r="B23" i="3"/>
  <c r="B13" i="3"/>
  <c r="L15" i="20"/>
  <c r="T15" i="20" s="1"/>
  <c r="U15" i="20" s="1"/>
  <c r="B28" i="3"/>
  <c r="T30" i="20"/>
  <c r="U30" i="20" s="1"/>
  <c r="G16" i="1"/>
  <c r="H16" i="1" s="1"/>
  <c r="I16" i="1" s="1"/>
  <c r="Q16" i="1" s="1"/>
  <c r="G31" i="1"/>
  <c r="H31" i="1" s="1"/>
  <c r="I31" i="1" s="1"/>
  <c r="Q31" i="1" s="1"/>
  <c r="G23" i="1"/>
  <c r="H23" i="1" s="1"/>
  <c r="I23" i="1" s="1"/>
  <c r="Q23" i="1" s="1"/>
  <c r="G25" i="1"/>
  <c r="H25" i="1" s="1"/>
  <c r="I25" i="1" s="1"/>
  <c r="Q25" i="1" s="1"/>
  <c r="G22" i="1"/>
  <c r="H22" i="1" s="1"/>
  <c r="I22" i="1" s="1"/>
  <c r="Q22" i="1" s="1"/>
  <c r="G21" i="1"/>
  <c r="H21" i="1" s="1"/>
  <c r="I21" i="1" s="1"/>
  <c r="Q21" i="1" s="1"/>
  <c r="G17" i="1"/>
  <c r="H17" i="1" s="1"/>
  <c r="I17" i="1" s="1"/>
  <c r="Q17" i="1" s="1"/>
  <c r="G29" i="1"/>
  <c r="H29" i="1" s="1"/>
  <c r="I29" i="1" s="1"/>
  <c r="Q29" i="1" s="1"/>
  <c r="G15" i="1"/>
  <c r="H15" i="1" s="1"/>
  <c r="I15" i="1" s="1"/>
  <c r="Q15" i="1" s="1"/>
  <c r="R17" i="1" l="1"/>
  <c r="R23" i="1"/>
  <c r="R21" i="1"/>
  <c r="R18" i="1"/>
  <c r="R12" i="1"/>
  <c r="R45" i="1"/>
  <c r="R54" i="1"/>
  <c r="R52" i="1"/>
  <c r="R55" i="1"/>
  <c r="R51" i="1"/>
  <c r="R53" i="1"/>
  <c r="R50" i="1"/>
  <c r="R24" i="1"/>
  <c r="R40" i="1"/>
  <c r="R41" i="1"/>
  <c r="R35" i="1"/>
  <c r="R49" i="1"/>
  <c r="R34" i="1"/>
  <c r="R38" i="1"/>
  <c r="R28" i="1"/>
  <c r="R37" i="1"/>
  <c r="R19" i="1"/>
  <c r="R36" i="1"/>
  <c r="R33" i="1"/>
  <c r="R42" i="1"/>
  <c r="R31" i="1"/>
  <c r="R26" i="1"/>
  <c r="R44" i="1"/>
  <c r="R27" i="1"/>
  <c r="R32" i="1"/>
  <c r="R43" i="1"/>
  <c r="R46" i="1"/>
  <c r="R15" i="1"/>
  <c r="R22" i="1"/>
  <c r="R16" i="1"/>
  <c r="R29" i="1"/>
  <c r="R25" i="1"/>
  <c r="R30" i="1"/>
  <c r="R20" i="1"/>
  <c r="R13" i="1"/>
  <c r="R14" i="1"/>
  <c r="R47" i="1"/>
  <c r="R39" i="1"/>
  <c r="R48" i="1"/>
  <c r="N43" i="13"/>
  <c r="B50" i="13" s="1"/>
  <c r="B58" i="13" s="1"/>
  <c r="B60" i="13" s="1"/>
  <c r="K43" i="13"/>
  <c r="B49" i="13" s="1"/>
  <c r="B59" i="13" l="1"/>
  <c r="C59" i="13" s="1"/>
</calcChain>
</file>

<file path=xl/comments1.xml><?xml version="1.0" encoding="utf-8"?>
<comments xmlns="http://schemas.openxmlformats.org/spreadsheetml/2006/main">
  <authors>
    <author/>
  </authors>
  <commentList>
    <comment ref="C9" authorId="0" shapeId="0">
      <text>
        <r>
          <rPr>
            <sz val="11"/>
            <color rgb="FF000000"/>
            <rFont val="Calibri"/>
            <family val="2"/>
          </rPr>
          <t xml:space="preserve">El nivel de riesgos de cada proceso deberá basarse en los mapas de riesgos de los procesos, en caso de no contar con esta información, el auditor interno deberá realizar un análisis del riesgo al cual se enfrenta cada proceso, con el fin de poder realizar la priorización correspondiente.
</t>
        </r>
      </text>
    </comment>
    <comment ref="H9" authorId="0" shapeId="0">
      <text>
        <r>
          <rPr>
            <sz val="11"/>
            <color rgb="FF000000"/>
            <rFont val="Calibri"/>
            <family val="2"/>
          </rPr>
          <t xml:space="preserve">Para comprender esta ponderación revisar las Hoja Orientaciones Grales.
</t>
        </r>
      </text>
    </comment>
  </commentList>
</comments>
</file>

<file path=xl/comments2.xml><?xml version="1.0" encoding="utf-8"?>
<comments xmlns="http://schemas.openxmlformats.org/spreadsheetml/2006/main">
  <authors>
    <author>Diana Karina Ruiz Perilla</author>
  </authors>
  <commentList>
    <comment ref="N11" authorId="0" shapeId="0">
      <text>
        <r>
          <rPr>
            <b/>
            <sz val="9"/>
            <color indexed="81"/>
            <rFont val="Tahoma"/>
            <family val="2"/>
          </rPr>
          <t xml:space="preserve">Inserte el tipo de trabajos de auditoría de su entidad
</t>
        </r>
      </text>
    </comment>
  </commentList>
</comments>
</file>

<file path=xl/comments3.xml><?xml version="1.0" encoding="utf-8"?>
<comments xmlns="http://schemas.openxmlformats.org/spreadsheetml/2006/main">
  <authors>
    <author>Myriam Cubillos Benavides</author>
  </authors>
  <commentList>
    <comment ref="C10" authorId="0" shapeId="0">
      <text>
        <r>
          <rPr>
            <sz val="9"/>
            <color indexed="81"/>
            <rFont val="Tahoma"/>
            <family val="2"/>
          </rPr>
          <t xml:space="preserve">El nivel de riesgos de cada proceso deberá basarse en los mapas de riesgos de los procesos, en caso de no contar con esta información, el auditor interno deberá realizar un análisis del riesgo al cual se enfrenta cada proceso, con el fin de poder realizar la priorización correspondiente.
</t>
        </r>
      </text>
    </comment>
    <comment ref="H10" authorId="0" shapeId="0">
      <text>
        <r>
          <rPr>
            <sz val="9"/>
            <color indexed="81"/>
            <rFont val="Tahoma"/>
            <family val="2"/>
          </rPr>
          <t xml:space="preserve">Para comprender esta ponderación revisar las Hoja Orientaciones Grales.
</t>
        </r>
      </text>
    </comment>
  </commentList>
</comments>
</file>

<file path=xl/sharedStrings.xml><?xml version="1.0" encoding="utf-8"?>
<sst xmlns="http://schemas.openxmlformats.org/spreadsheetml/2006/main" count="1384" uniqueCount="731">
  <si>
    <t>Numero de Riesgos Inherentes por calificación de Impacto y Probabilidad de Ocurrencia</t>
  </si>
  <si>
    <t>Extremo</t>
  </si>
  <si>
    <t>Alto</t>
  </si>
  <si>
    <t>Moderado</t>
  </si>
  <si>
    <t>Bajo</t>
  </si>
  <si>
    <t>Total</t>
  </si>
  <si>
    <t>Ponderación de Riesgos del Proceso</t>
  </si>
  <si>
    <t>Requerimientos del Comité de Auditoria o la Dirección. 
(Si/No)</t>
  </si>
  <si>
    <t>Requerimientos Entes de Control (Aspectos  Críticos)
(S/N)</t>
  </si>
  <si>
    <t>Fecha de Ultima Auditoria
dd-mm-aa</t>
  </si>
  <si>
    <t>Dias transcurridos desde última auditoría</t>
  </si>
  <si>
    <t>FECHA DE CORTE</t>
  </si>
  <si>
    <t>No</t>
  </si>
  <si>
    <t>Valoración Criterio</t>
  </si>
  <si>
    <t>PRIORIZACIÓN</t>
  </si>
  <si>
    <t>UNIDAD AUDITABLE</t>
  </si>
  <si>
    <t>Logo Entidad</t>
  </si>
  <si>
    <t>UNIVERSO DE AUDITORIA
PRIORIZACIÓN</t>
  </si>
  <si>
    <t>LOGO ENTIDAD</t>
  </si>
  <si>
    <t>Unidad Auditable</t>
  </si>
  <si>
    <t>RESULTADO DE LA PRIORIZACIÓN</t>
  </si>
  <si>
    <t>MENU CAJA DE HERRAMIENTAS PARA EL PLAN ANUAL DE AUDITORÍAS DE OFICINAS DE CONTROL INTERNO DISTRITALES</t>
  </si>
  <si>
    <t>UNIVERSO DE AUDITORÍA Y PRIORIZACIÓN DE UNIDADES AUDITABLES</t>
  </si>
  <si>
    <t xml:space="preserve">FORMATO DE PLAN ANUAL DE AUDITORÍA </t>
  </si>
  <si>
    <t>El Director Ejecutivo de Auditoría debe establecer un plan basado en los riesgos, a fin de determinar las prioridades de la actividad de auditoría interna, consistente con las metas de la organización.</t>
  </si>
  <si>
    <t>OBJETIVO</t>
  </si>
  <si>
    <t>ROL</t>
  </si>
  <si>
    <t>GLOSARIO</t>
  </si>
  <si>
    <t xml:space="preserve"> Es una actividad independiente y objetiva de aseguramiento consulta, concebida para agregar valor y mejorar las operaciones de una entidad.</t>
  </si>
  <si>
    <t xml:space="preserve">Mapa de aseguramiento: </t>
  </si>
  <si>
    <t>Es un esquema que muestra visualmente cómo se aplican las actividades de aseguramiento a un riesgo específico dentro de una organización. Implica cotejar la cobertura de las actividades de aseguramiento frente a los riesgos clave a los que se encuentra expuesta en la organización. Este proceso permite a una empresa identificar y comprender las lagunas existentes en el proceso de gestión de riesgos y ofrece a las partes interesadas confianza de que los riesgos están siendo gestionados y comunicados, y de que se cumplen las obligaciones legales y reglamentarias a las que se encuentra sometida la compañía. Una herramienta que contribuye en la formulación del Plan Anual de Auditoría. También permite a la organización identificar y abarcar las lagunas que pudiera haber en el proceso de gestión de riesgos y ofrece a las partes interesadas tranquilidad de que los riesgos estarían siendo gestionados y comunicados, y de que se cumplirían las obligaciones legales/reglamentarias.[1]</t>
  </si>
  <si>
    <t>Es un modelo de Control Interno y Riesgo Operacional usual que  se organiza con tres líneas o barreras de defensa, la 1LD, dentro de las unidades organizativas/áreas; la 2LD un área central por lo general dependiendo de las Direcciones de Riesgo y la 3LD función realizada por el equipo de Auditoría de la organización.</t>
  </si>
  <si>
    <t xml:space="preserve">Plan Anual de Auditoría: </t>
  </si>
  <si>
    <t>Es el documento formulado por el equipo de trabajo de la Oficina de Control Interno o quien haga sus veces en la entidad, cuya finalidad es planificar y establecer los objetivos a cumplir anualmente para evaluar y mejorar la eficacia de los procesos de operación, control y gobierno.[2]  Este documento debe ser aprobado por el Comité Institucional de Coordinación de Control Interno para su ejecución.</t>
  </si>
  <si>
    <t>Recursos humanos, financieros y equipos de que se necesitan para la ejecución de una actividad (Aseguramiento o Consultoría).</t>
  </si>
  <si>
    <t>Riesgo :</t>
  </si>
  <si>
    <t xml:space="preserve">Riesgo de auditoría: </t>
  </si>
  <si>
    <t>Supone la posibilidad de que el auditor no detecte un error significativo que pudiera existir en la unidad auditable, por la falta de evidencia respecto a una determinada partida o por la obtención de una evidencia deficiente o incompleta sobre la misma.[5]</t>
  </si>
  <si>
    <t xml:space="preserve">Riesgo Inherente: </t>
  </si>
  <si>
    <t xml:space="preserve">es aquel al que se enfrenta una entidad en ausencia de acciones de la dirección para modificar su probabilidad o impacto.[4]      </t>
  </si>
  <si>
    <t>Tercera línea de defensa:</t>
  </si>
  <si>
    <t xml:space="preserve">Trabajo de Auditoría (Trabajo de Aseguramiento): </t>
  </si>
  <si>
    <t>Un examen objetivo de evidencias con el propósito de proveer una evaluación independiente de los procesos de gestión de riesgos, control y gobierno de una organización gubernamental. Es parte del Plan Anual de Auditoría y ha sido priorizado desde el Universo de Auditoría en base a factores críticos de riesgo globales y su ponderación estratégica.[6]</t>
  </si>
  <si>
    <t xml:space="preserve">Trabajo de Consultoría: </t>
  </si>
  <si>
    <t>Actividades de asesoramiento y servicios relacionados, proporcionadas a las áreas de la organización gubernamental, cuya naturaleza y alcance estén acordados con los mismos y estén dirigidos a añadir valor y a mejorar los procesos de gobierno, gestión de riesgos y control de una organización, sin que el auditor interno asuma responsabilidades de gestión. Es parte del Plan Anual de Auditoría y puede haber sido priorizado desde el Universo de Auditoría en base a factores críticos de riesgo globales y su ponderación estratégica.[7]</t>
  </si>
  <si>
    <t xml:space="preserve">Universo de auditoría: </t>
  </si>
  <si>
    <t>Un conjunto finito y global de las áreas de auditoría, dependencias y la identificación y ubicación de las funciones de negocios que podrían ser auditadas para proporcionar un aseguramiento adecuado sobre el nivel de gestión de riesgos de la organización.[8]</t>
  </si>
  <si>
    <t>Es un órgano de asesoría y decisión en los asuntos de control interno de (nombre de la entidad). En su rol de responsable y facilitador, hace parte de las instancias de articulación para el funcionamiento armónico del Sistema Institucional de Control Interno.</t>
  </si>
  <si>
    <t xml:space="preserve">Comité Institucional de Coordinación de Control Interno: </t>
  </si>
  <si>
    <t>Auditoría interna:</t>
  </si>
  <si>
    <t xml:space="preserve">Informes de ley: </t>
  </si>
  <si>
    <t xml:space="preserve">Modelo de tres líneas de defensa:  </t>
  </si>
  <si>
    <t xml:space="preserve">Recursos: </t>
  </si>
  <si>
    <t xml:space="preserve">Unidad auditable: </t>
  </si>
  <si>
    <t>Efecto de la incertidumbre sobre los objetivos. [3]</t>
  </si>
  <si>
    <t>Está a cargo de los auditores internos. Estos deben ser independientes en el más alto nivel lo que proporciona una garantía sobre la eficacia del gobierno, la gestión de riesgos y controles internos, incluyendo la manera en que las líneas primeras y segunda de defensa logran los objetivos de gestión de riesgos y control.</t>
  </si>
  <si>
    <t>ANÁLISIS DE RECURSOS DE LA OFICINA DE CONTROL INTERNO</t>
  </si>
  <si>
    <t>CONOCIMIENTO DE LA ENTIDAD OBJETO DE LA AUDITORÍA</t>
  </si>
  <si>
    <t>ITEM</t>
  </si>
  <si>
    <t>DOCUMENTO RELACIONADO</t>
  </si>
  <si>
    <t>FECHA DE ACTUALIZACIÓN</t>
  </si>
  <si>
    <t>NOTAS DEL EQUIPO AUDITOR</t>
  </si>
  <si>
    <t>¿DISPONIBLE? (SI/NO)</t>
  </si>
  <si>
    <t>ÁMBITO</t>
  </si>
  <si>
    <t>ELEMENTOS DE DIRECCIONAMIENTO ESTRATÉGICO</t>
  </si>
  <si>
    <t>Misión</t>
  </si>
  <si>
    <t>Visión</t>
  </si>
  <si>
    <t>Plan prurianual de inversiones</t>
  </si>
  <si>
    <t>Objetivos estratégicos</t>
  </si>
  <si>
    <t>Plan estratégico o lo que haga sus veces</t>
  </si>
  <si>
    <t>Lineamientos éticos</t>
  </si>
  <si>
    <t>Miembros del Equipo Directivo</t>
  </si>
  <si>
    <t>ELEMENTOS DE LA GESTIÓN INSTITUCIONAL U OPERACIONAL</t>
  </si>
  <si>
    <t>Mapa de procesos</t>
  </si>
  <si>
    <t>Gestión documental de procesos</t>
  </si>
  <si>
    <t>Manual de funciones</t>
  </si>
  <si>
    <t>Planta de personal</t>
  </si>
  <si>
    <t>Sedes de la entidad</t>
  </si>
  <si>
    <t xml:space="preserve">Plan de adquisiciones </t>
  </si>
  <si>
    <t>Activos de Información</t>
  </si>
  <si>
    <t>Medios Virtuales de la entidad</t>
  </si>
  <si>
    <t>Indicadores de gestión  o de proceso</t>
  </si>
  <si>
    <t xml:space="preserve">Informes  y reportes de resultados de la  Gestión </t>
  </si>
  <si>
    <t>Políticas Institucionales</t>
  </si>
  <si>
    <t>Planes de Acción o lo que haga sus veces</t>
  </si>
  <si>
    <t xml:space="preserve">MONITOREO Y SUPERVISION </t>
  </si>
  <si>
    <t xml:space="preserve">Resultados de Planes de Mejoramiento suscritos con la Contraloría </t>
  </si>
  <si>
    <t>Resultados de Planes de Mejoramiento derivados de auditorías internas</t>
  </si>
  <si>
    <t xml:space="preserve">GESTIÓN DE RIESGOS </t>
  </si>
  <si>
    <t>Política de Gestión de Riesgos</t>
  </si>
  <si>
    <t>Mapa de riesgos de corrupción</t>
  </si>
  <si>
    <t>Proyectos de Inversión</t>
  </si>
  <si>
    <t>Mapa de Riesgos de Gestión</t>
  </si>
  <si>
    <t xml:space="preserve">Seguimiento de Riesgos </t>
  </si>
  <si>
    <t>Otros Planes de Mejoramiento</t>
  </si>
  <si>
    <t>Aquellos informes que por Ley, Decreto o Resolución debe elaborar la Oficina de Control Interno o quien haga sus veces.</t>
  </si>
  <si>
    <t>Mapas de Aseguramiento</t>
  </si>
  <si>
    <t>PAD Distrital de la vigencia</t>
  </si>
  <si>
    <t>Resultados del Plan de Auditoría anterior</t>
  </si>
  <si>
    <t>Fecha de Corte</t>
  </si>
  <si>
    <t>Estructura Orgánica</t>
  </si>
  <si>
    <t>CALCULO HORAS REQUERIDAS PAAI</t>
  </si>
  <si>
    <t>Registre para cada informe a realizar, las horas estimadas en cada fase o etapa (planeación, ejecucion y elaboracion del informe)</t>
  </si>
  <si>
    <t>Registre el numero de informes que se proyectan realizar en la vigencia según la periodicidad</t>
  </si>
  <si>
    <t>A1</t>
  </si>
  <si>
    <t>A2</t>
  </si>
  <si>
    <t>A3</t>
  </si>
  <si>
    <t>B1</t>
  </si>
  <si>
    <t>B2</t>
  </si>
  <si>
    <t>B3</t>
  </si>
  <si>
    <t>C1</t>
  </si>
  <si>
    <t>D1</t>
  </si>
  <si>
    <t>E1</t>
  </si>
  <si>
    <t>Descripción</t>
  </si>
  <si>
    <t>Planeacion Auditoria/Solicitud de Informaciòn</t>
  </si>
  <si>
    <t>Ejecucion  Auditoria/Análisis de informaciòn</t>
  </si>
  <si>
    <t>Informe de Auditoria /Seguimiento</t>
  </si>
  <si>
    <t># Informes x año</t>
  </si>
  <si>
    <t>Informe de Ley</t>
  </si>
  <si>
    <t>Informe de Seguimiento</t>
  </si>
  <si>
    <t>Informe de Auditoria</t>
  </si>
  <si>
    <t>Calcule las horas requeridas para desarrollar PPAI</t>
  </si>
  <si>
    <t>1.2</t>
  </si>
  <si>
    <t>1.3</t>
  </si>
  <si>
    <t>Estatuto de Auditoría y Código de Ética del Auditor</t>
  </si>
  <si>
    <t>Comité Institucional de Coordinación de Control Interno</t>
  </si>
  <si>
    <r>
      <rPr>
        <b/>
        <sz val="11"/>
        <color rgb="FF0000FF"/>
        <rFont val="Century Gothic"/>
        <family val="2"/>
      </rPr>
      <t>Instrucción:</t>
    </r>
    <r>
      <rPr>
        <sz val="11"/>
        <color theme="1"/>
        <rFont val="Century Gothic"/>
        <family val="2"/>
      </rPr>
      <t xml:space="preserve"> Recopile la mayoría de información posible para mantener un repositorio del conocimiento de la entidad que le permita detectar aspectos a considerar en el ejercicio de auditoría (Tanto para trabajos de  aseguramiento como de  consultoría); como cambios en el  entorno y contexto  de la entidad, vigencia de documentos esenciales, entre otros.  La lista que se presenta a continuación puede ser completada por el equipo de la Oficina de Control Interno  de acuerdo a las variables particulares de la entidad.</t>
    </r>
  </si>
  <si>
    <t>Actividad</t>
  </si>
  <si>
    <t>Registro</t>
  </si>
  <si>
    <t>1.1</t>
  </si>
  <si>
    <t xml:space="preserve">Para el cálculo de las horas requeridas para el desarrollo del PAAI, liste todos los informes de ley que debe realizar la OCI, seguimientos y auditorias priorizadas </t>
  </si>
  <si>
    <t>1. Horas requeridas PAAI'!A1
Columnas A1, A2, A3</t>
  </si>
  <si>
    <t>1. Horas requeridas PAAI'!A1
Columnas B1, B2, B3</t>
  </si>
  <si>
    <t>1. Horas requeridas PAAI'!A1
Columna D1</t>
  </si>
  <si>
    <t>Identifique los dias laborales de la vigencia</t>
  </si>
  <si>
    <t>2.1</t>
  </si>
  <si>
    <t>Identifique los dias laborales en cada vigencia, para esto puede :</t>
  </si>
  <si>
    <t>a. Remitirse a la siguiente pagina web  http://colombia.workingdays.org/, ingresando las fechas entre las cuales requiere calcular los dias hábiles</t>
  </si>
  <si>
    <t xml:space="preserve">http://colombia.workingdays.org/ </t>
  </si>
  <si>
    <t>b. Remitirse a la hoja " Dias - horas habiles x vigencia" para identificar el periodo a calcular</t>
  </si>
  <si>
    <t>2. Días -horas hábiles x vig'!A1</t>
  </si>
  <si>
    <t>Calcule las horas disponibles del equipo auditor</t>
  </si>
  <si>
    <t>3.1</t>
  </si>
  <si>
    <t>Registre el numero de auditores de la OCI, discrimado por tipo de vinculacion ej Carrera Administrativa, Provisional o Contratista</t>
  </si>
  <si>
    <t>3 Horas disponibles E. Auditor'!A1</t>
  </si>
  <si>
    <t>3.2</t>
  </si>
  <si>
    <t>Registre el numero de dias habiles laborables por cada tipo de vinculación según lo identificado en el paso 2</t>
  </si>
  <si>
    <t>3.3</t>
  </si>
  <si>
    <t>Nota 1) En caso de contar con auditores con permiso sindical registrelo de manera independiente, para efectuar el calculo respectivo en la columna B2</t>
  </si>
  <si>
    <t>3.4</t>
  </si>
  <si>
    <t>Registre en la columna D1, "fila 2" el % estimado a actividades administrativas y/o atencion a entes de control</t>
  </si>
  <si>
    <t>3.5</t>
  </si>
  <si>
    <t>Registre en la columna D2 "fila 2" el % estimado a reuniones y/o capacitaciones</t>
  </si>
  <si>
    <t>3.6</t>
  </si>
  <si>
    <t>Registre en la en la columna  E1"fila 2" el % estimado por incapacidades y permisos</t>
  </si>
  <si>
    <t>3.7</t>
  </si>
  <si>
    <t>Registre los 15 dias habiles correspondientes de los auditores con derecho a disfrute a vacaciones</t>
  </si>
  <si>
    <t>TOTAL DIAS DISPONIBLES POR AUDITOR (G1=C1-F1)</t>
  </si>
  <si>
    <t>3.8</t>
  </si>
  <si>
    <t>Registre en la columna G2 el numero de horas laborables por tipo de vinculacion</t>
  </si>
  <si>
    <t>TOTAL HORAS DISPONIBLES POR AUDITOR (G3=G1*G2)</t>
  </si>
  <si>
    <t>TOTAL HORAS DISPONIBLES EQUIPO AUDITOR (H1=G3*A2)</t>
  </si>
  <si>
    <t>4. Resultado'!A1</t>
  </si>
  <si>
    <t>Recursos</t>
  </si>
  <si>
    <t>4.1</t>
  </si>
  <si>
    <t>Idenifique si presenta deficit de recursos humano frente a la necesidad para ejecutar el PAAI</t>
  </si>
  <si>
    <t>http://colombia.workingdays.org/</t>
  </si>
  <si>
    <t>DIAS HABILES</t>
  </si>
  <si>
    <t>HORAS</t>
  </si>
  <si>
    <t>HORA *MES</t>
  </si>
  <si>
    <t>Enero</t>
  </si>
  <si>
    <t>Febrero</t>
  </si>
  <si>
    <t>Marzo</t>
  </si>
  <si>
    <t>Abril</t>
  </si>
  <si>
    <t>Mayo</t>
  </si>
  <si>
    <t>Junio</t>
  </si>
  <si>
    <t>Julio</t>
  </si>
  <si>
    <t>Agosto</t>
  </si>
  <si>
    <t>Septiembre</t>
  </si>
  <si>
    <t>Octubre</t>
  </si>
  <si>
    <t>Noviembre</t>
  </si>
  <si>
    <t>Diciembre</t>
  </si>
  <si>
    <t>PERMISO SINDICAL</t>
  </si>
  <si>
    <t>CALCULO HORAS DISPONIBLES EQUIPO AUDITOR</t>
  </si>
  <si>
    <t>D2</t>
  </si>
  <si>
    <t>E2</t>
  </si>
  <si>
    <t>F1</t>
  </si>
  <si>
    <t>G1</t>
  </si>
  <si>
    <t>G2</t>
  </si>
  <si>
    <t>G3</t>
  </si>
  <si>
    <t>H1</t>
  </si>
  <si>
    <t>OTRAS ACTIVIDADES</t>
  </si>
  <si>
    <t>SITUACIONES ADMINISTRATIVAS</t>
  </si>
  <si>
    <t>TIPO DE VINCULACION</t>
  </si>
  <si>
    <t>No AUDITORES</t>
  </si>
  <si>
    <t>DIAS HÁBILES LABORABLES</t>
  </si>
  <si>
    <t>DIAS HÁBILES DISPONIBLES
(C1=B1-B2)</t>
  </si>
  <si>
    <t>ACTIVIDADES ADMINISTRATIVAS -ATENCION ENTES DE CONTROL)</t>
  </si>
  <si>
    <t>REUNIONES -CAPACITACIONES</t>
  </si>
  <si>
    <t>INCAPACIDADES-PERMISOS</t>
  </si>
  <si>
    <t>VACACIONES</t>
  </si>
  <si>
    <t>TOTAL OTRAS ACTIVIDADES+SITUACIONES ADMINSTRATIVAS
(F1 =C1-D1-D2-E1-E2)</t>
  </si>
  <si>
    <t>TOTAL DIAS DISPONIBLES POR AUDITOR
(G1=C1-F1)</t>
  </si>
  <si>
    <t>HORAS DIARIAS DISPONIBLE POR AUDITOR</t>
  </si>
  <si>
    <t xml:space="preserve">TOTAL HORAS DISPONIBLES POR AUDITOR
(G3=G1*G2)
</t>
  </si>
  <si>
    <t>TOTAL HORAS DISPONIBLES EQUIPO AUDITOR
(H1=G3*A2)</t>
  </si>
  <si>
    <t>NORMATIVIDAD ASOCIADA</t>
  </si>
  <si>
    <t>Evaluación y Seguimiento</t>
  </si>
  <si>
    <t xml:space="preserve">MESES </t>
  </si>
  <si>
    <t>Enfoque de prevención</t>
  </si>
  <si>
    <t>Liderazgo Estratégico</t>
  </si>
  <si>
    <t>Relación con Entes de Control</t>
  </si>
  <si>
    <t>Versión del Plan Anual de Auditorías:</t>
  </si>
  <si>
    <t>Conformación  del Equipo de Control Interno:</t>
  </si>
  <si>
    <t>COORDINADOR DE LA AUDITORÍA (SEGUNDA/TERCERA  LINEA DE DEFENSA)</t>
  </si>
  <si>
    <t>TRABAJO DE AUDITORÍA</t>
  </si>
  <si>
    <t>AUDITORÍAS INTERNAS/SEGUIMIENTOS</t>
  </si>
  <si>
    <t>INFORMES REGLAMENTARIOS</t>
  </si>
  <si>
    <t>ATENCIÓN A ENTES DE CONTROL</t>
  </si>
  <si>
    <t xml:space="preserve">TIPO DE TRABAJO DE AUDITORÍA </t>
  </si>
  <si>
    <t>FASE</t>
  </si>
  <si>
    <t>2.CALCULO DIAS -HORAS LABORALES POR AÑO</t>
  </si>
  <si>
    <t>TOTALES</t>
  </si>
  <si>
    <t>Total horas por trabajo de auditoría</t>
  </si>
  <si>
    <t>Horas x trabajo de auditoría</t>
  </si>
  <si>
    <t>MES</t>
  </si>
  <si>
    <t>DIAS PERMISO SINDICAL</t>
  </si>
  <si>
    <t>HORAS DISPONIBLES POR MES</t>
  </si>
  <si>
    <t>DIAS HABILES DISPONIBLES</t>
  </si>
  <si>
    <t>HORAS HÁBILES DISPONIBLES</t>
  </si>
  <si>
    <t>2.CALCULO HORAS DISPONIBLES EQUIPO AUDITOR</t>
  </si>
  <si>
    <t>RESULTADOS .CALCULO DIAS -HORAS LABORALES POR AÑO</t>
  </si>
  <si>
    <t xml:space="preserve"> RESULTADOS CALCULO HORAS DISPONIBLES EQUIPO AUDITOR</t>
  </si>
  <si>
    <t>HORAS HÁBILES DISPONIBLES POR EQUIPO AUDITOR</t>
  </si>
  <si>
    <t>Miembros de la Junta Directiva</t>
  </si>
  <si>
    <t>RELACIÓN CON EL MARCO INTERNACIONAL DE PRÁCTICA DE AUDITORÍA</t>
  </si>
  <si>
    <t>Administración de la Actividad de Auditoría Interna</t>
  </si>
  <si>
    <t xml:space="preserve">NORMA 2000: </t>
  </si>
  <si>
    <t>2.CALCULO DIAS -HORAS LABORALES POR AÑO Y POR AUDITOR</t>
  </si>
  <si>
    <t>1.CÁLCULO DE HORAS REQUERIDAS PARA EL PAA</t>
  </si>
  <si>
    <t xml:space="preserve">ANÁLISIS DE RECURSOS PARA EL PLAN ANUAL DE AUDITORÍAS
PLANTILLA  1
</t>
  </si>
  <si>
    <t xml:space="preserve">ANÁLISIS DE RECURSOS PARA EL PLAN ANUAL DE AUDITORÍAS
PLANTILLA 2
</t>
  </si>
  <si>
    <r>
      <rPr>
        <b/>
        <sz val="11"/>
        <color theme="1"/>
        <rFont val="Century Gothic"/>
        <family val="2"/>
      </rPr>
      <t>Introducción</t>
    </r>
    <r>
      <rPr>
        <sz val="11"/>
        <color theme="1"/>
        <rFont val="Century Gothic"/>
        <family val="2"/>
      </rPr>
      <t xml:space="preserve">
La Norma 2000 indica varios aspectos fundamentales para cumplir el principio de que la actividad de Auditoría Interna añada valor a la organización. El DAI puede comenzar por revisar el propósito y responsabilidad de la actividad de Auditoría Interna, acordado por el DAI, la alta dirección y el Consejo de Administración, y recogido en el
estatuto de Auditoría Interna. El DAI puede analizar el organigrama de la organización para identificar los stakeholders o grupos de interés de la organización, la estructura y las líneas jerárquicas. También puede analizar el plan estratégico de la organización para conocer sus estrategias, objetivos y riesgos. Los riesgos que se hayan tenido en cuenta en la organización deberían incluir tendencias y problemas emergentes, como los relacionados con el sector de la entidad, la propia profesión de Auditoría Interna, requerimientos regulatorios y contextos políticos y económicos. Además de las fuentes de riesgos que pueda deducir el DAI de sus conversaciones sobre el plan estratégico de la organización con la alta dirección y el Consejo. Este trabajo preliminar prepara el terreno para que el DAI gestione la actividad de Auditoría Interna de forma que añada valor mejorando los procesos de gobierno, gestión de riesgos y control de la organización, y proporcionando un aseguramiento relevante.</t>
    </r>
  </si>
  <si>
    <t>Tomado de : Marco Internacional para la Práctica Profesional de la Auditoría Interna
Norma 2000</t>
  </si>
  <si>
    <t>RESUMEN DE HORAS REQUERIDAS POR TIPO DE TRABAJO</t>
  </si>
  <si>
    <t>TIPOS DE TRABAJO DE AUDITORÍA</t>
  </si>
  <si>
    <t>Consultoría Procesos</t>
  </si>
  <si>
    <t>Capacitaciones</t>
  </si>
  <si>
    <t>Etiquetas de fila</t>
  </si>
  <si>
    <t>Total general</t>
  </si>
  <si>
    <t>Cuenta de # Informes x año</t>
  </si>
  <si>
    <t>Suma de Total horas por trabajo de auditoría</t>
  </si>
  <si>
    <t>RESULTADOS SOBRE  CAPACIDAD Y DISPONIBILIDAD DEL EQUIPO AUDITOR</t>
  </si>
  <si>
    <t>¿PRESENTA DÉFICIT DE PERSONAL?</t>
  </si>
  <si>
    <t>HORAS DEFICIT/SUPERAVIT</t>
  </si>
  <si>
    <t>Para realizar el análisis de recursos se realizarán los siguientes cáculos por vigencia   y obtendfra al final del análisis si rpesenta déficit o disponibilidad suficiente de recurso humano para la realización del PAA.(Seleccione el hipervínculo que requiera):</t>
  </si>
  <si>
    <t xml:space="preserve">NORMA 2020: </t>
  </si>
  <si>
    <r>
      <rPr>
        <b/>
        <sz val="11"/>
        <color theme="1"/>
        <rFont val="Century Gothic"/>
        <family val="2"/>
      </rPr>
      <t>Consideraciones para la implementación</t>
    </r>
    <r>
      <rPr>
        <sz val="11"/>
        <color theme="1"/>
        <rFont val="Century Gothic"/>
        <family val="2"/>
      </rPr>
      <t xml:space="preserve">
,,,Las limitaciones de recursos afectan a las prioridades del plan de Auditoría Interna. Por
ejemplo, si los recursos no son suficientes para completar todos los trabajos propuestos en el plan, algunos de ellos pueden ser aplazados y algunos riesgos puede que no
sean revisados por Auditoría Interna. Durante la presentación al Consejo, el DAI tratará la propuesta de plan de Auditoría Interna y la evaluación de riesgos en la que está
basado, indicando tanto los riesgos que serán revisados, como los que no podrán ser
abordados por la restricción de recursos. Los miembros del Consejo pueden comentar
esta información y hacer recomendaciones antes de aprobar finalmente el plan de
Auditoría Interna</t>
    </r>
  </si>
  <si>
    <r>
      <rPr>
        <b/>
        <sz val="11"/>
        <color theme="1"/>
        <rFont val="Century Gothic"/>
        <family val="2"/>
      </rPr>
      <t xml:space="preserve">Consideraciones para la demostración de conformidad
</t>
    </r>
    <r>
      <rPr>
        <sz val="11"/>
        <color theme="1"/>
        <rFont val="Century Gothic"/>
        <family val="2"/>
      </rPr>
      <t>El DAI puede demostrar conformidad con la Norma conservando los registros de la distribución del plan de Auditoría Interna. La conformidad también puede ser evidenciada con copias de los materiales que se hayan preparado para las reuniones del Consejo, incluyendo tanto el plan de Auditoría Interna como las propuestas de revisión y aprobación. Las conversaciones con miembros de la alta dirección pueden ser documentadas en memorándums, correos electrónicos o notas realizadas durante el proceso de evaluación de riesgos de la actividad de Auditoría Interna.
Además, en las actas de las reuniones del Consejo suelen constar el debate sobre el
plan de auditoría y su posterior aprobación, cualquier cambio que se haya producido
una vez iniciado su desarrollo y/o el impacto que cualquier limitación de recursos</t>
    </r>
    <r>
      <rPr>
        <b/>
        <sz val="11"/>
        <color theme="1"/>
        <rFont val="Century Gothic"/>
        <family val="2"/>
      </rPr>
      <t xml:space="preserve">. </t>
    </r>
  </si>
  <si>
    <r>
      <rPr>
        <b/>
        <sz val="11"/>
        <color theme="1"/>
        <rFont val="Century Gothic"/>
        <family val="2"/>
      </rPr>
      <t>2020 – Comunicación y aprobación</t>
    </r>
    <r>
      <rPr>
        <sz val="11"/>
        <color theme="1"/>
        <rFont val="Century Gothic"/>
        <family val="2"/>
      </rPr>
      <t xml:space="preserve">
El Director de Auditoría Interna debe comunicar los planes y requerimientos de recursos
de la actividad de Auditoría Interna, incluyendo los cambios provisionales significativos,
a la alta dirección y al Consejo para la adecuada revisión y aprobación. El Director de
Auditoría Interna también debe comunicar el impacto de cualquier limitación de recursos.
</t>
    </r>
    <r>
      <rPr>
        <b/>
        <sz val="11"/>
        <color theme="1"/>
        <rFont val="Century Gothic"/>
        <family val="2"/>
      </rPr>
      <t>Introducción</t>
    </r>
    <r>
      <rPr>
        <sz val="11"/>
        <color theme="1"/>
        <rFont val="Century Gothic"/>
        <family val="2"/>
      </rPr>
      <t xml:space="preserve">
Previamente a la comunicación del plan de auditoría, las necesidades de recursos de
la actividad de Auditoría Interna y el impacto de una posible limitación de recursos a
la alta dirección y al Consejo, el Director de Auditoría Interna (DAI) fijará los recursos
necesarios para implementar el plan, definido según las prioridades derivadas de los
riesgos, identificadas durante el proceso de planificación (Norma 2010).
Los recursos necesarios pueden ser de personas (p.e. horas de trabajo y habilidades),
tecnológicos (por ejemplo, herramientas y técnicas de auditoría), de plazos y agenda
(disponibilidad de recursos) y de fondos. Una parte de los recursos se reserva normalmente para introducir posibles cambios en el plan de auditoría que puedan derivarse
de riesgos que no se hayan identificado anticipadamente y que podrían afectar a la
organización, o de nuevos trabajos de consultoría solicitados por la alta dirección y/o
el Consejo. Por ejemplo, puede surgir la necesidad de un nuevo proyecto de Auditoría
Interna cuando surjan nuevos riesgos derivados de fusiones o desinversiones en otras
compañías, de un contexto de incertidumbre política o de cambios en los requerimientos regulatorios.</t>
    </r>
  </si>
  <si>
    <t xml:space="preserve"> Comunicación y aprobación</t>
  </si>
  <si>
    <t xml:space="preserve">NORMA 2030: </t>
  </si>
  <si>
    <t>Administración de Recursos</t>
  </si>
  <si>
    <r>
      <rPr>
        <b/>
        <sz val="11"/>
        <color theme="1"/>
        <rFont val="Century Gothic"/>
        <family val="2"/>
      </rPr>
      <t xml:space="preserve">2030 – Administración de recursos
</t>
    </r>
    <r>
      <rPr>
        <sz val="11"/>
        <color theme="1"/>
        <rFont val="Century Gothic"/>
        <family val="2"/>
      </rPr>
      <t xml:space="preserve">El director de Auditoría Interna debe asegurar que los recursos de Auditoría Interna sean
apropiados, suficientes y eficazmente asignados para cumplir con el plan aprobado.
Interpretación:
“Apropiados” se refiere a la mezcla de conocimientos, aptitudes y otras competencias necesarias para llevar a cabo el plan. “Suficientes” se refiere a la cantidad
de recursos necesarios para cumplir con el plan. Los recursos están eficazmente
asignados cuando se utilizan de forma tal que optimizan el cumplimiento del plan
aprobado.
</t>
    </r>
  </si>
  <si>
    <r>
      <t xml:space="preserve">
</t>
    </r>
    <r>
      <rPr>
        <b/>
        <sz val="11"/>
        <color theme="1"/>
        <rFont val="Century Gothic"/>
        <family val="2"/>
      </rPr>
      <t>Introducción</t>
    </r>
    <r>
      <rPr>
        <sz val="11"/>
        <color theme="1"/>
        <rFont val="Century Gothic"/>
        <family val="2"/>
      </rPr>
      <t xml:space="preserve">
Al desarrollar el plan de Auditoría Interna (Norma 2010) y revisarlo con el Consejo y
la alta dirección (Norma 2020), el Director de Auditoría Interna (DAI) tendrá en cuenta y tratará el tema de los recursos necesarios para cumplir las prioridades del plan.
Para implementar la Norma 2030, el DAI normalmente comienza por conocer en
mayor profundidad los recursos disponibles para la actividad de auditoría de interna,
incluidos en el plan de Auditoría Interna aprobado por el Consejo.
El DAI puede estimar en detalle el número de auditores internos y horas de Auditoría
Interna productivas disponibles para implementar el plan dentro de los límites del
calendario programado en la organización. Las horas de trabajo productivas generalmente excluyen factores como el descanso remunerado y el tiempo dedicado a formación y tareas administrativas. Para tener una visión general de los conocimientos, capacidades y otras competencias que reúne en su conjunto la actividad de Auditoría Interna, el DAI puede repasar evaluaciones documentadas sobre las capacidades de su equipo, en caso de estar disponibles, o recopilar información de evaluaciones del rendimiento de los trabajadores y de las encuestas posteriores a las auditorías.
El DAI también puede revisar y analizar el presupuesto ya aprobado para sopesar los
fondos disponibles para formación, tecnología o contratación de nuevos auditores
para cumplir el plan.</t>
    </r>
  </si>
  <si>
    <r>
      <rPr>
        <b/>
        <sz val="11"/>
        <color theme="1"/>
        <rFont val="Century Gothic"/>
        <family val="2"/>
      </rPr>
      <t>Consideraciones para la implementación</t>
    </r>
    <r>
      <rPr>
        <sz val="11"/>
        <color theme="1"/>
        <rFont val="Century Gothic"/>
        <family val="2"/>
      </rPr>
      <t xml:space="preserve">
Al asignar recursos específicos a los trabajos identificados en el plan de Auditoría
Interna aprobado, el DAI puede ponderar cómo los recursos disponibles se corresponden con las capacidades específicas y los plazos que se requieren para realizar los trabajos. Durante este proceso, el DAI habitualmente trabaja para suplir cualquier deficiencia que pueda haber identificado.
Para suplir las deficiencias relacionadas con los conocimientos, capacidades y competencias del equipo de Auditoría Interna, el DAI puede proporcionar formación al equipo actual, pedirle a un experto de la organización que actúe como “auditor invitado”,
contratar nuevos auditores internos o contratar un proveedor de servicios externo. Si
la cantidad de recursos es insuficiente para realizar los trabajos planificados de forma
eficaz y eficiente, el DAI puede contratar más auditores, externalizar trabajos o realizarlos conjuntamente con un proveedor externo, utilizar uno o más “auditores invitados” o desarrollar un programa de auditoría rotatorio.
</t>
    </r>
  </si>
  <si>
    <t>Para elaborar el calendario de los trabajos de Auditoría Interna, el DAI tendrán en
cuenta el programa de la organización, las agendas de los auditores internos individuales y la disponibilidad de los departamentos auditables. Por ejemplo, si un trabajo
de auditoría tiene que ser realizado en unas fechas concretas del año, los recursos
necesarios para realizarlo también tienen que estar disponibles en esas fechas. De la
misma forma, si un departamento auditable no está disponible o tiene limitaciones
durante un periodo concreto del año, debido a necesidades del negocio, el trabajo de
auditoría debe ser planificado en otras fechas.
Es importante que el DAI compruebe continuamente que sus recursos son adecuados
en general, ya que debe informar sobre el impacto de la limitación de recursos (Norma
2020) y sobre el desempeño de la actividad de Auditoría Interna en lo tocante al cumplimiento de su plan (Norma 2060). Para poder afirmar que los recursos son apropiados, suficientes y asignados de forma eficaz, el DAI utiliza distintas métricas que evalúan el desempeño de la actividad de Auditoría Interna y solicita el feedback de sus clientes</t>
  </si>
  <si>
    <r>
      <rPr>
        <b/>
        <sz val="11"/>
        <color theme="1"/>
        <rFont val="Century Gothic"/>
        <family val="2"/>
      </rPr>
      <t xml:space="preserve">Consideraciones para la demostración de conformidad
</t>
    </r>
    <r>
      <rPr>
        <sz val="11"/>
        <color theme="1"/>
        <rFont val="Century Gothic"/>
        <family val="2"/>
      </rPr>
      <t>La documentación que evidencia la conformidad con la Norma 2030 puede incluir el
propio plan de Auditoría Interna, que contiene el calendario previsto para la realiza-
ción de los trabajos de auditoría y los recursos asignados. Además, se puede documentar la comparación de las horas presupuestadas con las horas reales para validar que
los recursos han sido asignados de forma eficaz. A menudo, los resultados de las evaluaciones de los clientes relacionados con el desempeño de la actividad de Auditoría
Interna y con el de los auditores internos individuales, son anotados en los informes
posteriores a las auditorías, encuestas y en informes anuales.</t>
    </r>
  </si>
  <si>
    <t xml:space="preserve">NORMA 2010: </t>
  </si>
  <si>
    <r>
      <rPr>
        <b/>
        <sz val="11"/>
        <color theme="1"/>
        <rFont val="Century Gothic"/>
        <family val="2"/>
      </rPr>
      <t>Norma principalmente relacionada
2010 – Planificación</t>
    </r>
    <r>
      <rPr>
        <sz val="11"/>
        <color theme="1"/>
        <rFont val="Century Gothic"/>
        <family val="2"/>
      </rPr>
      <t xml:space="preserve">
El Director de Auditoría Interna debe establecer un plan basado en los riesgos, a fin de
determinar las prioridades de la actividad de Auditoría Interna. Dichos planes deberán
ser consistentes con las metas de la organización.
</t>
    </r>
    <r>
      <rPr>
        <b/>
        <sz val="11"/>
        <color theme="1"/>
        <rFont val="Century Gothic"/>
        <family val="2"/>
      </rPr>
      <t>Interpretación:</t>
    </r>
    <r>
      <rPr>
        <sz val="11"/>
        <color theme="1"/>
        <rFont val="Century Gothic"/>
        <family val="2"/>
      </rPr>
      <t xml:space="preserve">
Para desarrollar un plan basado en riesgos, el Director de Auditoría Interna primero consulta con la alta dirección y el Consejo y para entender las estrategias de la organización, los objetivos clave del negocio, los riesgos asociados y los procesos de gestión de riesgos. El Director de Auditoría Interna debe revisar y ajustar el plan, cuando sea necesario, como respuesta a los cambios en la organización, los riesgos, las operaciones, los programas, los sistemas y los controles.</t>
    </r>
  </si>
  <si>
    <r>
      <rPr>
        <b/>
        <sz val="11"/>
        <color theme="1"/>
        <rFont val="Century Gothic"/>
        <family val="2"/>
      </rPr>
      <t>Consideraciones para la implementación</t>
    </r>
    <r>
      <rPr>
        <sz val="11"/>
        <color theme="1"/>
        <rFont val="Century Gothic"/>
        <family val="2"/>
      </rPr>
      <t xml:space="preserve">
Esta revisión del enfoque con que la organización aborde la gestión de riesgos, puede
ayudar al DAI a decidir cómo organizar o actualizar el universo auditable, que consiste en todas las áreas de riesgos que podrían ser objeto de auditoría, y que se materializa en la lista de los posibles trabajos de auditoría que se pueden realizar. El universo auditable incluye proyectos e iniciativas relacionadas con el plan estratégico de
la organización, y puede ser estructurado en unidades de negocio, líneas de productos o servicios, procesos, programas, sistemas o controles.
Para estructurar el universo auditable y priorizar riesgos, se aconseja al DAI que vincule los riesgos críticos con objetivos específicos y con procesos de negocio. El DAI
empleará un enfoque de factor de riesgo para tener en cuenta los riesgos tanto internos, como externos. Los riesgos internos pueden afectar a productos y servicios clave,
al personal y a los sistemas. Los factores de riesgo relevantes relacionados con riesgos
internos incluyen la magnitud de los cambios habidos en un riesgo determinado desde
la última vez que fue auditado, la calidad de los controles y otros. Los riesgos externos pueden estar relacionados con los competidores, los proveedores u otros aspectos del sector. Los factores de riesgo relevantes en los riesgos externos pueden incluir
cambios legales o regulatorios pendientes y otros factores políticos y económicos.
</t>
    </r>
  </si>
  <si>
    <r>
      <rPr>
        <b/>
        <sz val="11"/>
        <color theme="1"/>
        <rFont val="Century Gothic"/>
        <family val="2"/>
      </rPr>
      <t>Consideraciones para la demostración de conformidad</t>
    </r>
    <r>
      <rPr>
        <sz val="11"/>
        <color theme="1"/>
        <rFont val="Century Gothic"/>
        <family val="2"/>
      </rPr>
      <t xml:space="preserve">
La evidencia de conformidad con la Norma 2010 está en el plan de Auditoría Interna
documentado, así como en la evaluación de riesgos en la que se basa el plan. También
se puede obtener una evidencia de respaldo en las actas de las reuniones en las que
el DAI haya tratado el universo auditable y la evaluación de riesgos con el Consejo y
la alta dirección. Además, los memorándums que se conserven en el archivo podrían
ser empleados para documentar conversaciones similares con miembros individuales
de la dirección en distintos niveles de la organización.</t>
    </r>
  </si>
  <si>
    <t>Para asegurar que el universo auditable cubre todos los riesgos de la organización (hasta la extensión posible), la actividad de Auditoría Interna normalmente revisa de forma independiente y confirma los riesgos clave identificados por la alta dirección. De acuerdo con la Norma 2010.A1, el plan de Auditoría Interna debe basarse en una evaluación de riesgos documentada, realizada al menos anualmente, que tenga en cuenta las indicaciones de la alta dirección y el Consejo. Como se indica en el Glosario, los riesgos se miden en términos de impacto y probabilidad.
Al desarrollar el plan de Auditoría Interna, el DAI también tiene en cuenta cualquier solicitud que le haga el Consejo y/o la alta dirección, así como la capacidad de la actividad de Auditoría Interna de confiar en el trabajo de otros proveedores de aseguramiento interno y externo (según la Norma 2050).</t>
  </si>
  <si>
    <t xml:space="preserve">Una vez obtenida y revisada la citada información, el DAI desarrolla un plan de Auditoría Interna que normalmente incluye:
- Una lista con la propuesta de trabajos de Auditoría Interna (especificando si se trata
de trabajos de aseguramiento o consultoría).
- Los argumentos por los que se selecciona cada uno de los trabajos propuestos (por
ejemplo, rating de riesgos, tiempo transcurrido desde la última auditoría, cambios en la gestión, etc.).
- Objetivos y alcance de cada trabajo propuesto.
- Una lista de iniciativas o proyectos relacionados con la estrategia de Auditoría Interna, pero que pueden no estar directamente relacionados con un trabajo de auditoría.
Aunque los planes de auditoría habitualmente se elaboran anualmente, pueden ser desarrollados con otra periodicidad. Por ejemplo, la actividad de Auditoría Interna puede mantener una rotación del plan de auditoría de 12 meses y revaluar proyectos trimestralmente. O la actividad de Auditoría Interna puede desarrollar un plan de auditoría para varios años y evaluar el plan anualmente.
</t>
  </si>
  <si>
    <t>El DAI comentará el plan de Auditoría Interna con el Consejo, la alta dirección y otros grupos de interés para lograr alinearlo con las prioridades de varios stakeholders. El DAI también debe ser consciente de las áreas de riesgo que no están incluidas en el plan.
En este sentido, las reuniones en las que se trate el tema del plan de auditoría pueden ser una oportunidad para que el DAI repase los roles y responsabilidades del Consejo y la alta dirección relacionadas con la gestión de riesgos y las normas relacionadas con mantener la independencia y la objetividad de la actividad de Auditoría Interna (Normas de la 1100 a la 1130.C2). El DAI reflexionará sobre cualquier feedback que reciba de los grupos de interés antes de dar por finalizada la elaboración del plan.
El plan de Auditoría Interna debe ser suficientemente flexible para permitir al DAI revisarlo y ajustarlo, si es necesario, para responder a los cambios que se produzcan en
los negocios, riesgos, operaciones, programas, sistemas y controles de la organización.
Los cambios significativos deben ser comunicados al Consejo y a la alta dirección para
su revisión y aprobación, de acuerdo con la Norma 2020</t>
  </si>
  <si>
    <t>2010 – Planificación</t>
  </si>
  <si>
    <t>Cada uno de los posibles elementos o actividades a auditar. Pueden ser procesos, proyectos, dependencias y/o puntos  críticos  identificados en  ejercicios de  auditoría previos.</t>
  </si>
  <si>
    <t>ANÁLISIS OFICINA DE CONTROL INTERNO</t>
  </si>
  <si>
    <t>ANÁLISIS OFICINA DE CONTROL INTERNO
PRIORIZACIÓN</t>
  </si>
  <si>
    <t>TOTAL</t>
  </si>
  <si>
    <t>PONDERACIÓN</t>
  </si>
  <si>
    <t>AFECTACIÓN PRESUPUESTAL DEL:</t>
  </si>
  <si>
    <t>POSIBLE INTERRUPCIÓN OPERACIÓN</t>
  </si>
  <si>
    <t xml:space="preserve">PERDIDA DE COBERTURA SERVICIOS </t>
  </si>
  <si>
    <t>SANCIONES ECONOMICAS (Afectación en el presupuesto)</t>
  </si>
  <si>
    <t xml:space="preserve">AFECTACIÓN IMAGEN INSTITUCIONAL </t>
  </si>
  <si>
    <t>PLANES DE MEJORAMIENTO -PARTICIPACIÓN</t>
  </si>
  <si>
    <t>PERDIDA DE INFORMACIÓN</t>
  </si>
  <si>
    <t>Incluir en ciclos posteriores de auditoría</t>
  </si>
  <si>
    <t xml:space="preserve">Incluir en el ciclo de auditorías de la vigencia </t>
  </si>
  <si>
    <t xml:space="preserve">Incluir en el ciclo vigente de acuerdo a disponibilidad de recursos </t>
  </si>
  <si>
    <t>Unidad Auditable 43</t>
  </si>
  <si>
    <t>Unidad Auditable 44</t>
  </si>
  <si>
    <t>Unidad Auditable 45</t>
  </si>
  <si>
    <t>Unidad Auditable 46</t>
  </si>
  <si>
    <t>Unidad Auditable 47</t>
  </si>
  <si>
    <t>Unidad Auditable 48</t>
  </si>
  <si>
    <t>Unidad Auditable 49</t>
  </si>
  <si>
    <t>Unidad Auditable 50</t>
  </si>
  <si>
    <t>Unidad Auditable 51</t>
  </si>
  <si>
    <t>Unidad Auditable 52</t>
  </si>
  <si>
    <t>Unidad Auditable 53</t>
  </si>
  <si>
    <t>Unidad Auditable 54</t>
  </si>
  <si>
    <t>Unidad Auditable 55</t>
  </si>
  <si>
    <t>Unidad Auditable 56</t>
  </si>
  <si>
    <t>Unidad Auditable 57</t>
  </si>
  <si>
    <t>Unidad Auditable 58</t>
  </si>
  <si>
    <t>Unidad Auditable 59</t>
  </si>
  <si>
    <t>Unidad Auditable 60</t>
  </si>
  <si>
    <t>Unidad Auditable 61</t>
  </si>
  <si>
    <t>Unidad Auditable 62</t>
  </si>
  <si>
    <t>Unidad Auditable 63</t>
  </si>
  <si>
    <t>Unidad Auditable 64</t>
  </si>
  <si>
    <t>Unidad Auditable 65</t>
  </si>
  <si>
    <t>Unidad Auditable 66</t>
  </si>
  <si>
    <t>Unidad Auditable 67</t>
  </si>
  <si>
    <t>Unidad Auditable 68</t>
  </si>
  <si>
    <t>Unidad Auditable 69</t>
  </si>
  <si>
    <t>Unidad Auditable 70</t>
  </si>
  <si>
    <t>Unidad Auditable 71</t>
  </si>
  <si>
    <t>Unidad Auditable 72</t>
  </si>
  <si>
    <t>Unidad Auditable 73</t>
  </si>
  <si>
    <t>Unidad Auditable 74</t>
  </si>
  <si>
    <t>Unidad Auditable 75</t>
  </si>
  <si>
    <t>Unidad Auditable 76</t>
  </si>
  <si>
    <t>Unidad Auditable 77</t>
  </si>
  <si>
    <t>Unidad Auditable 78</t>
  </si>
  <si>
    <t>Unidad Auditable 79</t>
  </si>
  <si>
    <t>Unidad Auditable 80</t>
  </si>
  <si>
    <t>Unidades Auditables</t>
  </si>
  <si>
    <t>UNIVERSO DE AUDITORIA Y PRIORIZACIÓN DE UNIDADES AUDITABLES</t>
  </si>
  <si>
    <t>NOTA SOBRE DILIGENCIAMIENTO</t>
  </si>
  <si>
    <t>YA CUENTA CON PONDERACIÓN DE RIESGOS, NO DILIGENCIAR ANALISIS OCI</t>
  </si>
  <si>
    <t>DILIGENCIE ANALISIS OCI PARA ESTA UNIDAD AUDITABLE</t>
  </si>
  <si>
    <t>CALIFICACIÓN</t>
  </si>
  <si>
    <t>DESDE</t>
  </si>
  <si>
    <t>HASTA</t>
  </si>
  <si>
    <t>≤10%</t>
  </si>
  <si>
    <t>&gt;10%</t>
  </si>
  <si>
    <t>≤20%</t>
  </si>
  <si>
    <t>&gt;20%</t>
  </si>
  <si>
    <t>≤30%</t>
  </si>
  <si>
    <t>&gt;30%</t>
  </si>
  <si>
    <t>BAJA</t>
  </si>
  <si>
    <t>MEDIA</t>
  </si>
  <si>
    <t xml:space="preserve">ALTA </t>
  </si>
  <si>
    <t>EXTREMA</t>
  </si>
  <si>
    <t>N/A</t>
  </si>
  <si>
    <t>Si</t>
  </si>
  <si>
    <t>Sí</t>
  </si>
  <si>
    <t>JANETH VILLALBA MAHECHA</t>
  </si>
  <si>
    <t xml:space="preserve">Realizar un examen sistemático, objetivo e independiente de los procesos, actividades, operaciones y resultados de las áreas de la empresa; que permita emitir juicios basados en evidencias sobre los aspectos más importantes de la gestión, formular recomendaciones de ajuste y mejoramiento, a fin de que se obtengan los resultados esperados. </t>
  </si>
  <si>
    <t>Seguimiento Comité de Sostenibilidad Contable</t>
  </si>
  <si>
    <t>Campaña de fomento de Autocontrol</t>
  </si>
  <si>
    <t>Trasmisión Cuenta Mensual Contraloría</t>
  </si>
  <si>
    <t>Ley 1474 de 2011</t>
  </si>
  <si>
    <t>Presentación y Aprobación programa de Auditorías</t>
  </si>
  <si>
    <t>Coordinar y Ejecutar Sesiones del  Comité Institucional de Coordinación de Control Interno</t>
  </si>
  <si>
    <t>Asistencia y Participación en los Comités Institucionales</t>
  </si>
  <si>
    <t>X</t>
  </si>
  <si>
    <t>Seguimientos a publicaciones de la Contratación en la Plataforma SECOP</t>
  </si>
  <si>
    <t>Seguimiento Comité de Defensa Judicial, Conciliación y Repetición y SIPROJ</t>
  </si>
  <si>
    <t xml:space="preserve">Seguimiento a Verificación, Recomendaciones y Resultados sobre Cumplimiento de normas en materia de Derechos de Autor sobre Software </t>
  </si>
  <si>
    <t>Seguimiento a la Austeridad en el Gasto</t>
  </si>
  <si>
    <t>Evaluación de los Riesgos  de Corrupción</t>
  </si>
  <si>
    <t>Evaluación de los Riesgos  de Gestión</t>
  </si>
  <si>
    <t>Seguimiento Plan de Mejoramiento Contraloría</t>
  </si>
  <si>
    <t>Prestar los servicios de asesoría y acompañamiento requeridos</t>
  </si>
  <si>
    <t>Seguimiento Estado de Cumplimiento Metas Plan de Desarrollo e Indicadores</t>
  </si>
  <si>
    <t>Reparto, seguimiento, revisión y registro de respuestas a Entes Externos de Control</t>
  </si>
  <si>
    <t>Fortalecer los mecanismos de
prevención, investigación y sanción de actos de corrupción y la efectividad
del control de la gestión pública.</t>
  </si>
  <si>
    <t>Decreto Distrital No. 061 del 14 de febrero de 2007</t>
  </si>
  <si>
    <t>Por el cual se reglamenta el funcionamiento de las Cajas Menores y los Avances en Efectivo</t>
  </si>
  <si>
    <t>Decreto 648 de 2017</t>
  </si>
  <si>
    <t>Decreto 648 de 2017 Capitulo 3 Artículo  2.2.21.4.9</t>
  </si>
  <si>
    <t xml:space="preserve">Fortalecer el control interno en los organismos y entidades del Estado. </t>
  </si>
  <si>
    <t>Propiciar el desarrollo pleno del potencial de los habitantes de la ciudad, para alcanzar la felicidad de todos en su condición de individuos, miembros de familia y de la sociedad.</t>
  </si>
  <si>
    <t>Fortalecer el Sistema de Control Interno</t>
  </si>
  <si>
    <t>Lineamientos generales sobre austeridad y transparencia del gasto público en las entidades y organismos del orden distrital.</t>
  </si>
  <si>
    <t>Resolución Nº 357 de 2008</t>
  </si>
  <si>
    <t>Lograr una información contable con las características de confiabilidad, relevancia y comprensibilidad,</t>
  </si>
  <si>
    <t>Ley 87 de 1993</t>
  </si>
  <si>
    <t>Prescribir los métodos, la forma y términos de rendir la cuenta por parte de los responsables del manejo de fondos, bienes o recursos públicos del Distrito Capital y unificar la información que se presenta a la Contraloría de Bogotá, D.C.</t>
  </si>
  <si>
    <t>Trabajador Oficial</t>
  </si>
  <si>
    <t>Decreto 648 de 2017, artículo 4
Decreto Nacional No. 1083 de 2015 artículos 2.2.21.1.5 y 2.2.21.1.6</t>
  </si>
  <si>
    <t xml:space="preserve"> </t>
  </si>
  <si>
    <t>Asesoría, acompañamiento  y Trasmisión Cuenta Anual Contraloría</t>
  </si>
  <si>
    <t>Cumplimiento Normas ISO</t>
  </si>
  <si>
    <t>Seguimiento Cajas Menores (SE EFECTUAN SIN PREVIO AVISO)</t>
  </si>
  <si>
    <t>Dirigir la gestión pública al mejor desempeño institucional</t>
  </si>
  <si>
    <t>Evidencia</t>
  </si>
  <si>
    <t>Observación</t>
  </si>
  <si>
    <t>Activos de Información y Funcionamiento Software que maneja la Empresa</t>
  </si>
  <si>
    <t>Evaluación de Riesgos</t>
  </si>
  <si>
    <t xml:space="preserve"> ley 1474 de 2011</t>
  </si>
  <si>
    <t>Revisar y actualizar los instrumentos básicos de la actividad de auditoria interna</t>
  </si>
  <si>
    <t>Resolución Orgánica 5544 de 2003
Resolución 5580 de 2004
Resolución 003 de 2005</t>
  </si>
  <si>
    <t>Permite el mejoramiento continuo y cumplimiento de los objetivos institucionales de la entidad pública</t>
  </si>
  <si>
    <t>Fortalecer el control interno en los organismos y entidades del Estado</t>
  </si>
  <si>
    <t>Directiva 017 de 2018</t>
  </si>
  <si>
    <t>Revisión y actualización del Proceso Evaluación y Seguimiento: Revisión procedimientos, instructivos, formatos, indicadores y riesgos del proceso, asignación y seguimiento  de tareas y actividades programadas, determinación de directrices e instrucciones al grupo de trabajo</t>
  </si>
  <si>
    <t>Contratista Profesional</t>
  </si>
  <si>
    <t>Observaciones</t>
  </si>
  <si>
    <t>Constitución Política de 1991, artículos 119 y 267
Ley 42 de 1993
Decreto Nacional No. 403 de 2020</t>
  </si>
  <si>
    <t>Según plan de auditoria de organismo de control</t>
  </si>
  <si>
    <t>Subgerencia de Planeación y administración de proyectos</t>
  </si>
  <si>
    <t>2020 - 2023</t>
  </si>
  <si>
    <t>Informe de evaluación del Sistema de Control Interno Contable</t>
  </si>
  <si>
    <t>Resolución de la Contaduría General de la Nación No. 193 de 2016</t>
  </si>
  <si>
    <t>Informe Semestral de Evaluación Independiente del Sistema de Control Interno</t>
  </si>
  <si>
    <t>Decreto 648 de 2017 - Artículo 2.2.21.4.8 y Resolución ERU No. 054 de 2018.</t>
  </si>
  <si>
    <t>Convenciones</t>
  </si>
  <si>
    <t>Seguimiento Plan de Mejoramiento por Procesos</t>
  </si>
  <si>
    <t>Resolución 5580 de 2004
Resolución Orgánica 5544 de 2003
Resolución 003 de 2005</t>
  </si>
  <si>
    <t>Inscripción del soporte lógico (software) en el Registro Nacional del derecho de Autor</t>
  </si>
  <si>
    <t>Decreto Ley 2106 de 2019, Artículo 156
Circular Externa No. 100-006 de 2019 del DAFP.</t>
  </si>
  <si>
    <t>Ley 1150 de 2007
Ley 87 de 1993
Decreto Único Reglamentario No. 1082 de 2015</t>
  </si>
  <si>
    <t>Ley 1474 de 2011 Art 76 - 
Decreto Distrital No. 371 de 2010</t>
  </si>
  <si>
    <t>Decreto Distrital No. 807 de 2019</t>
  </si>
  <si>
    <t xml:space="preserve">Decreto Único Reglamentario No. 1082 de 2015 </t>
  </si>
  <si>
    <t>Ley 87 de 1993
Ley 489 de 1998</t>
  </si>
  <si>
    <t xml:space="preserve">Decreto Nacional No. 492 de 2019 </t>
  </si>
  <si>
    <t>Decreto 1499 de 2017</t>
  </si>
  <si>
    <t>Decreto 648 de 2017 artículo 4, artículo 16 , artículo 17
Decreto Distrital No. 807 de 2019 numeral 4 artículo 38, parágrafo 1
numeral 5 artículo 37
numeral 6 artículo 20</t>
  </si>
  <si>
    <t>Acuerdo del Concejo de Bogotá No. 761 de 2020 "Un nuevo contrato social y ambiental para la Bogotá del Siglo XXI"
Decreto Distrital No. 807 de 2019</t>
  </si>
  <si>
    <t>Resolución 080 de 2018 - "Por la cual se adopta el Código de Integridad del Servicio Público en la Empresa de Renovación y Desarrollo Urbano de Bogotá D.C. y se dictan otras disposiciones"</t>
  </si>
  <si>
    <t>Seguimiento Reporte - Ley e índice de Transparencia y Acceso a la Información - ITA.</t>
  </si>
  <si>
    <t>Seguimiento a la actualización de bases de datos en RNBD</t>
  </si>
  <si>
    <t>Actualización de la información contenida en el Registro Nacional de Bases de Datos</t>
  </si>
  <si>
    <t>Presentar el estado del Sistema de Control Interno de la Empresa de Renovación y Desarrollo Urbano de Bogotá, en cumplimiento de lo dispuesto en la Ley 1774 de 2011 y los
lineamientos impartidos por el Departamento Administrativo de la Función Pública en el Manual Operativo del Modelo Integrado de Planeación y Gestión – MIPG</t>
  </si>
  <si>
    <t>Evaluación y Seguimiento Implementación MIPG  7 dimensiones y 18 políticas - e informes FURAG.</t>
  </si>
  <si>
    <t>Actividad En proceso</t>
  </si>
  <si>
    <t>N°</t>
  </si>
  <si>
    <t>Ejecutado</t>
  </si>
  <si>
    <t>Contratista tecnico</t>
  </si>
  <si>
    <r>
      <t xml:space="preserve">CONOCIMIENTO DE LA ENTIDAD
</t>
    </r>
    <r>
      <rPr>
        <sz val="11"/>
        <color rgb="FF0000FF"/>
        <rFont val="Century Gothic"/>
        <family val="2"/>
      </rPr>
      <t>EMPRESA DE RENOVACION Y DESARROLLO URBANO DE BOGOTA D.C.</t>
    </r>
    <r>
      <rPr>
        <b/>
        <sz val="11"/>
        <color theme="1"/>
        <rFont val="Century Gothic"/>
        <family val="2"/>
      </rPr>
      <t xml:space="preserve">
</t>
    </r>
  </si>
  <si>
    <t>Seguimiento líneas de Defensa</t>
  </si>
  <si>
    <t>Normas concordantes con el objeto y alcance la Auditoría</t>
  </si>
  <si>
    <t>Seguimiento a Peticiones, Quejas, Reclamos, Sugerencias y Felicitaciones - Derechos de Petición</t>
  </si>
  <si>
    <t>Seguimiento a Directrices para Prevenir Conductas Irregulares sobre Incumplimiento de Manuales de Funciones y de Procedimientos y Pérdida de Elementos y Documentos Público. Directiva 008 de 2021</t>
  </si>
  <si>
    <t>Directiva Distrital No. 008 de 2021</t>
  </si>
  <si>
    <t>Asesoria y seguimiento a la Implementación del Sistema de Gestión de Calidad bajo concepto del estándar NTC ISO 9001:2015</t>
  </si>
  <si>
    <t>NTC ISO 9001:2015</t>
  </si>
  <si>
    <t>Prestar la asesoría, asistencia técnica y seguimiento al estado de implementación del Sistema de Gestión de la Calidad bajo el concepto del estándar NTC ISO 9001:2015 en todo el cilo PHVA.</t>
  </si>
  <si>
    <t>Verificacion de la Conformidad del  Sistema de Gestión de la Calidad bajo el concepto del estándar NTC ISO 9001:2015 de la Empresa (Ciclo  Auditorias Internas de Calidad 2022).</t>
  </si>
  <si>
    <t>Evaluar  la conformidad de los procesos a auditar del Sistema de Gestión de la Calidad de la Empresa con los requisitos del estándar NTC ISO 9001:2015</t>
  </si>
  <si>
    <t>Modelo Integrado de Planeación y Gestión, actualizado: MIPG – Decreto 1499</t>
  </si>
  <si>
    <t>Evaluar la  efectiva gestión de riesgos: Las funciones que son propietarias de los riesgos y los gestionan. Las funciones que supervisan los riesgos. Las funciones que proporcionan aseguramiento independiente.</t>
  </si>
  <si>
    <t>Programa Aseguramiento Calidad de la Auditoria</t>
  </si>
  <si>
    <t>Determinar cumplimiento de la Norma NIA 1300.</t>
  </si>
  <si>
    <t>Actividad fuera de términos o no comunicada</t>
  </si>
  <si>
    <t>http://10.115.245.74/node/4683</t>
  </si>
  <si>
    <t>http://10.115.245.74/marco-estrategico</t>
  </si>
  <si>
    <t>http://10.115.245.74/node/3488</t>
  </si>
  <si>
    <t>https://www.renobo.com.co/transparencia/planeacion-presupuesto-e-informes</t>
  </si>
  <si>
    <t>http://10.115.245.74/organigrama</t>
  </si>
  <si>
    <t>https://www.renobo.com.co/index.php/es/search/content?keys=politicas+institucionales</t>
  </si>
  <si>
    <t>http://10.115.245.74/search/content?keys=proyectos+de+inversion</t>
  </si>
  <si>
    <t>http://10.115.245.74/mipg-sig/mapa-procesos</t>
  </si>
  <si>
    <t>http://10.115.245.74/search/content?keys=gesti%C3%B3n+documental</t>
  </si>
  <si>
    <t>http://10.115.245.74/node/1625</t>
  </si>
  <si>
    <t>http://10.115.245.74/node/1607</t>
  </si>
  <si>
    <t>Calle 100, Fontibon</t>
  </si>
  <si>
    <t>https://www.renobo.com.co/es/search/content?keys=plan+anual+de+adquisiciones</t>
  </si>
  <si>
    <t>https://www.renobo.com.co/es/search/content?keys=activos+de+informaci%C3%B3n</t>
  </si>
  <si>
    <t>https://www.renobo.com.co/
http://10.115.245.74/</t>
  </si>
  <si>
    <t>http://10.115.245.74/search/content?keys=indicadores+de+gesti%C3%B3n</t>
  </si>
  <si>
    <t>http://10.115.245.74/search/content?keys=planes+de+accion</t>
  </si>
  <si>
    <t>http://10.115.245.74/node/2395</t>
  </si>
  <si>
    <t>https://renobo.com.co/es/node/3703</t>
  </si>
  <si>
    <t>https://renobo.com.co/es/search/content?keys=mapa+riesgos+de+gesti%C3%B3n</t>
  </si>
  <si>
    <t>https://www.renobo.com.co/es/node/3444</t>
  </si>
  <si>
    <t>https://www.renobo.com.co/es/node/3536</t>
  </si>
  <si>
    <t>https://www.renobo.com.co/es/node/3537</t>
  </si>
  <si>
    <t>http://10.115.245.74/node/4089</t>
  </si>
  <si>
    <t>http://10.115.245.74/node/2309</t>
  </si>
  <si>
    <t>Alcaldía los Mártires - Avance Obra - Cumplimiento cronogramas y ejecución presupuestal</t>
  </si>
  <si>
    <t>Bronx Distrito Creativo  - Avance Obra - Cumplimiento cronogramas y ejecución presupuestal</t>
  </si>
  <si>
    <t>Centro de Formación para el trabajo (SENA)  - Avance Obra - Cumplimiento cronogramas y ejecución presupuestal</t>
  </si>
  <si>
    <t>Direccionamiento Estratégico y Gobierno Corporativo</t>
  </si>
  <si>
    <t>Seguimiento Cumplimiento Norma Archivística ERU</t>
  </si>
  <si>
    <t xml:space="preserve">Auditoria Gestión Suelo </t>
  </si>
  <si>
    <t xml:space="preserve">Sistema de Información Misional </t>
  </si>
  <si>
    <t>Contratación transversal (Incluye San Victorino y Optimización Nuevo Manual de Contratación)</t>
  </si>
  <si>
    <t>Seguimiento Ejecución y avance de proyectos</t>
  </si>
  <si>
    <t>Varias horas</t>
  </si>
  <si>
    <t>Hechos de Corrupción</t>
  </si>
  <si>
    <t>Falta de oportunidad para gestión de los procesos</t>
  </si>
  <si>
    <t>Incumplimiento de servicios</t>
  </si>
  <si>
    <t>Falta de oportunidad para atención usuarios</t>
  </si>
  <si>
    <t>Retrasos en los servicios</t>
  </si>
  <si>
    <t>VIGENCIA 2024</t>
  </si>
  <si>
    <t>El Plan Anual de Auditoria contempla los trabajos de auditoria interna, evaluaciones y seguimientos a realizar durante la vigencia 2024, a través de las cuales se evaluará la gestión institucional, el cumplimiento de objetivos,  la administración del riesgo, los planes de mejoramiento, la aplicación de procedimientos y normas legales vigentes, entre otros criterios.</t>
  </si>
  <si>
    <t>CRONOGRAMA VIGENCIA AÑO 2024</t>
  </si>
  <si>
    <t>Auditoria Contratos arrendamiento - Predios San Victorino</t>
  </si>
  <si>
    <t>Voto Nacional (Incluye Edificio Formación para el Trabajo)</t>
  </si>
  <si>
    <t>Auditoria Proceso Terceros Concurrentes</t>
  </si>
  <si>
    <t>Sistemas de Información Misionales de la Empresa (Contratación)</t>
  </si>
  <si>
    <t>Servicios Administrativos y de apoyo - PIGA - Talento Humano -  Servicios Logísticos</t>
  </si>
  <si>
    <t>Costeo de los proyectos y rentabilidad de la Empresa</t>
  </si>
  <si>
    <t>Seguimiento Resolución 1519 de 2021  y acceso a la Información</t>
  </si>
  <si>
    <t>Seguimiento Auditoria de Fiducias (Plan de Mejoramiento y Contratación por vencimiento de términos Fiducias actuales)</t>
  </si>
  <si>
    <t>Seguimiento Comités Institucionales (Actividad pendiente de finalizar de la Vigencia 2021)</t>
  </si>
  <si>
    <t>Seguimiento Plan de Mejoramiento Archivística</t>
  </si>
  <si>
    <t>Evaluación del Estatuto de Auditoria, Código de Ética del Auditor y Plan de Mejoramiento de las Auditorias Cruzadas</t>
  </si>
  <si>
    <t>Factores de Gestión Prioritarias para la Empresa (análisis OCI) y Fortalecimiento Institucional</t>
  </si>
  <si>
    <t>Auditoria de Fiducias. Alcance por muestra confiable.</t>
  </si>
  <si>
    <t>Auditoria Plan estratégico y gestión Tecnología y Comunicaciones</t>
  </si>
  <si>
    <t>Proyecto: Formulación, Gestión y Estructuración de Proyectos de Desarrollo, Revitalización o Renovación Urbana. Incluido aspecto contractual</t>
  </si>
  <si>
    <t>Auditoria Gestión Social asociada a la Adquisición Predial y grupos de interés</t>
  </si>
  <si>
    <t>Auditoria Proceso Evaluación y seguimiento - Normas Internacionales de Auditoria - Oficina PAD
Auditorias cruzadas OCI - Alcaldia.</t>
  </si>
  <si>
    <t>2 días</t>
  </si>
  <si>
    <t>Quejas por incumplimientos o retrasos</t>
  </si>
  <si>
    <t>Critica con recuperación parcial</t>
  </si>
  <si>
    <t>PLAN ANUAL DE AUDITORIA : Empresa de Renovación y Desarrollo Urbano de Bogotá D.C.
Vigencia:2024</t>
  </si>
  <si>
    <t>Revisión de Polizas de Seguro Corporativa</t>
  </si>
  <si>
    <t>Fortalecer los mecanismos de prevención, investigación y sanción de actos de corrupción y la efectividad del control de la gestión pública.</t>
  </si>
  <si>
    <t>Permite a las entidades estatales cumplir con las obligaciones de publicidad de los diferentes actos expedidos en los procesos contractuales y permite a los interesados en participar en los procesos de contratación, proponentes, veedurías y a la ciudadanía.</t>
  </si>
  <si>
    <t>Medir la efectividad de las acciones mínimas de control que deben realizar los responsables de la información financiera de las entidades públicas y garantizar, razonablemente, la producción de información financiera con las características fundamentales de relevancia y representación fiel, definidas en el marco conceptual de! marco normativo que le sea aplicable a la entidad, de acuerdo con lo establecido en el Régimen de Contabilidad Pública.</t>
  </si>
  <si>
    <t>Orientar, liderar la formulación y seguimiento de las políticas para el fortalecimiento de la función administrativa de los organismos y entidades de Bogotá, Distrito Capital, mediante el diseño e implementación de instrumentos de coordinación y gestión, la promoción del desarrollo institucional, el mejoramiento del servicio a la ciudadana y ciudadano, la protección de recursos documentales de interés público y la coordinación de las políticas del sistema integral de información y desarrollo tecnológico.</t>
  </si>
  <si>
    <t>Establecen directrices y lineamientos en materia de conciliación y Comités de Conciliación en el Distrito Capital.</t>
  </si>
  <si>
    <t>Directrices para prevenir conductas irregulares relacionadas con incumplimiento de los manuales de funciones y de procedimientos y la pérdida de elementos y documentos públicos.</t>
  </si>
  <si>
    <t>Seguimiento Cuadro resumen auditorías externas e internas  realizadas</t>
  </si>
  <si>
    <t>Orientar la implementación del SIGD y la operación del MIPG, en su respectiva entidad u organismo.</t>
  </si>
  <si>
    <t>Adopta la metodología e instrumentos para la evaluación de la Gestión del Rendimiento de los Gerentes Públicos.</t>
  </si>
  <si>
    <t>Ley 23 de 1982
Decreto 1360 de 1989
Directiva Presidencial 02 de  2002
Circular 1000-06 de 22 de junio de 2004
Circular 07 de diciembre 28 de 2005
Circular 04 de 22 de diciembre de 2006</t>
  </si>
  <si>
    <t xml:space="preserve">Informe Integral de Gestión OCI </t>
  </si>
  <si>
    <t>Verificar el cumplimiento del Plan de Acción establecido para la implementación del Código de Integridad de la Empresa, durante la vigencia 2021.</t>
  </si>
  <si>
    <t>Ley 1712 de 2014 - Res 1519 de 2020
Directiva 006 de 14 de mayo de 2019
Directiva 026 de 25 de agosto de 2020
Directiva 029 de 13 de octubre de 2020</t>
  </si>
  <si>
    <t>Medir el nivel de cumplimiento de la Ley por parte de cada sujeto obligado y generar el indicador denominado índice de Transparencia y Acceso a la Información Pública ITA.</t>
  </si>
  <si>
    <t>Fomentar en toda la institución la formación de una cultura de propio control o autocontrol que contribuya al mejoramiento continúo en el cumplimiento de la misión institucional</t>
  </si>
  <si>
    <t>NIA - Autodiagnóstico aseguramiento de la Calidad del ejercicio de las auditorias internas</t>
  </si>
  <si>
    <t>Verificar el mejoramiento continuo y cumplimiento de los objetivos institucionales de la entidad pública.</t>
  </si>
  <si>
    <t>Seguimiento Directiva 015 de 2022</t>
  </si>
  <si>
    <t>Directiva 015 de 2022</t>
  </si>
  <si>
    <t>Obligaciones relacionadas con el fortalecimiento de la meritocracia, del empleo y la función pública en el estado colombiano.</t>
  </si>
  <si>
    <t>ACTIVIDADES DE CONSULTORÍA-ASESORIA Y ACOMPAÑAMIENTO</t>
  </si>
  <si>
    <t>Resolución 002 de 2022</t>
  </si>
  <si>
    <t>Seguimiento a la implementación  del Código de Integridad de la Empresa vigencia 2024</t>
  </si>
  <si>
    <t>Plan Institucional de Archivos de la Entidad PINAR - Plan Estratégico de Talento Humano - Plan de Trabajo Anual en Seguridad y Salud en el Trabajo - Sistema de Gestión de Seguridad y Salud en el Trabajo</t>
  </si>
  <si>
    <t>Plan de Participación Ciudadana - Estrategia rendición de cuentas - Control documental según la ISO 9001 - Política operativa de integridad, conflicto de interés y gestión anti soborno - Política administración del riesgo - Auditorías procesos SIG según requisitos norma ISO 9001</t>
  </si>
  <si>
    <t>Plan Estratégico de Tecnologías de la Información y las Comunicaciones ­ PETI - Plan de Tratamiento de Riesgos de Seguridad y Privacidad de la Información - Plan de Seguridad y Privacidad de la Información</t>
  </si>
  <si>
    <t>Decreto 612 de 2018</t>
  </si>
  <si>
    <t>Decreto 612 de 2018 - Decreto 1072 de 2015</t>
  </si>
  <si>
    <t>Seguimiento adjudicación San Victorino</t>
  </si>
  <si>
    <t>Proceso adquisición de suelo por enajenación voluntaria, expropiación administrativa o judicial - Adquisición proyectos Tercera Concurrencia - Adquisición proyecto San Bernardo Tercer Milenio AMD 1 – Convenio 3151-2019 suscrito con el IDRD.</t>
  </si>
  <si>
    <t xml:space="preserve">Normas concordantes con el objeto y alcance la Auditoría - Politica de riesgos </t>
  </si>
  <si>
    <t>Dar cumplimiento a lo requerido por parte de la Revisoría Físcal en cuanto a resguardo de los activos y recursos de la Empresa</t>
  </si>
  <si>
    <t>Seguimiento a actos administrativos Internos</t>
  </si>
  <si>
    <t>Efectuar verificación y cumplimiento del esquema asociado conforme en lo establecido en las normas legales vigentes</t>
  </si>
  <si>
    <t>Realizar el seguimiento del proceso especifico citado</t>
  </si>
  <si>
    <t>Dar cumplimiento a las nortmas legales vigentes</t>
  </si>
  <si>
    <t xml:space="preserve">Efectuar verificación y cumplimiento del proceso de evaluación </t>
  </si>
  <si>
    <t>Maduración y Calidad en la construccion del anexo técnico para los proyectos - gestión contractual</t>
  </si>
  <si>
    <t xml:space="preserve">Realizar la revisión del avance del anexo técnico citado en el proceso evaluado. </t>
  </si>
  <si>
    <t>Auditoria de Gestión Contractual</t>
  </si>
  <si>
    <t xml:space="preserve">Efectuar el seguimiento de la Implementación y puesta en producción del sistema SIM </t>
  </si>
  <si>
    <t>Auditoria implementación sistema de información SIM</t>
  </si>
  <si>
    <t>Realizar la revisión, estudio, análisis, de la ejecución de la contratación conforme el alcance determinado vigencia 2024</t>
  </si>
  <si>
    <t>Decreto 1081 de 2015</t>
  </si>
  <si>
    <t>Auditor Lider</t>
  </si>
  <si>
    <t>Critica no recuperable</t>
  </si>
  <si>
    <t>Seguimiento Proceso Armonización Planes de Desarrollo - continuidad proyectos</t>
  </si>
  <si>
    <t>Normas concordantes funcinamiento plataformas digitales</t>
  </si>
  <si>
    <t>Eficiencia administrativa, participación y servicios automatizados Empresa y medios electrónicos</t>
  </si>
  <si>
    <t>Actividad programada</t>
  </si>
  <si>
    <t>Actividad POR CONFIRMAR TIEMPO EXACTO EJECUCION - ENTE EXTERNO</t>
  </si>
  <si>
    <t>Cierre Gestión Contractual 2023</t>
  </si>
  <si>
    <t>Realizar la revisión, estudio, análisis, de la ejecución de la contratación conforme el alcance determinado vigencia 2023</t>
  </si>
  <si>
    <t>Reuniones mensuales</t>
  </si>
  <si>
    <t>Asesoría y acompañamiento en la identificación de riesgos y cumplimiento tareas asignadas</t>
  </si>
  <si>
    <t>Constitución Política de 1991, artículos 268 y 272
Ley 42 de 1993
Ley 1474 de 2011</t>
  </si>
  <si>
    <t>Seguimiento estado Obra Alcaldia Mártires</t>
  </si>
  <si>
    <t>Seguimiento rol Empresa Ciudadela del Cuidado</t>
  </si>
  <si>
    <t xml:space="preserve">Apoyo realización comité de auditoría y seguimiento de los compromisos establecidos </t>
  </si>
  <si>
    <t>Actividad que no aplica para ese período</t>
  </si>
  <si>
    <t>Revisó y aprobó :Jefe Oficina de Control Interno</t>
  </si>
  <si>
    <t>Auditoría DRI - Actuación Especial Fiscalización - Contrato 430 de 2023</t>
  </si>
  <si>
    <t>Seguimiento a SARLAFT</t>
  </si>
  <si>
    <t>Auditoría de Control Fiscal en Modalidad de Actuación Especial de Fiscalización - San Victorino y Fondo de Cargas 2019 - 2023</t>
  </si>
  <si>
    <t>Seguimiento Acuerdos de Gestión</t>
  </si>
  <si>
    <t>Seguimiento y Control al Programa de Transparencia y Etica Pública</t>
  </si>
  <si>
    <t>Alberto Florez - Javier Rincon</t>
  </si>
  <si>
    <t>Jpablo Contreras - Javier Rincon, JRamon Santis</t>
  </si>
  <si>
    <t>Ernesto Quintana - Javier Rincon</t>
  </si>
  <si>
    <t>Lily Moreno - JRamon Santis</t>
  </si>
  <si>
    <t>JEdwin Lozano</t>
  </si>
  <si>
    <t>Ernesto Quintana</t>
  </si>
  <si>
    <t>Alberto Florez - Grupo auditor</t>
  </si>
  <si>
    <t>JRamon Santis - Grupo auditor</t>
  </si>
  <si>
    <t>JEdwin Lozano - Lily Moreno</t>
  </si>
  <si>
    <t>JPablo Contreras - Orlando Torres</t>
  </si>
  <si>
    <t>JPablo Contreras - JRamon Santis</t>
  </si>
  <si>
    <t>Orlando Torres - JPablo Contreras</t>
  </si>
  <si>
    <t>Orlando Torres - Javier Rincon, JRamon Santis</t>
  </si>
  <si>
    <t>Janeth Villalba</t>
  </si>
  <si>
    <t>Karina Córdoba - Alberto Florez, Grupo auditor</t>
  </si>
  <si>
    <t>Grupo auditor</t>
  </si>
  <si>
    <t xml:space="preserve">Diagnóstico implementación NIAS </t>
  </si>
  <si>
    <t>Juan P Contreras - Orlando Torres</t>
  </si>
  <si>
    <t>´DIC-23</t>
  </si>
  <si>
    <t xml:space="preserve">Reuniones de Autoevaluación Proceso </t>
  </si>
  <si>
    <t>Auditoría Financiera y de Gestión PAD 2024 Vigencia 2023</t>
  </si>
  <si>
    <t>Visitas Administrativas Entes de Control ( a demanda)</t>
  </si>
  <si>
    <t>Informes gestión OCI 2023</t>
  </si>
  <si>
    <t>Procentaje</t>
  </si>
  <si>
    <t>Vigencia</t>
  </si>
  <si>
    <t xml:space="preserve">El Comité Distrital de Auditoría, consciente de la importancia de la labor de las Oficinas de Control Interno o quien haga sus veces,  en el mejoramiento de la gestión y desempeño de las entidades distritales, ha tomado la decisión de incorporar buenas prácticas internacionales en el ejercicio de la auditoría  y brindar orientaciones que faciliten el desarrollo de los roles que le han sido designados por ley, considerando el contexto y particularidades del distrito y basados en los instrumentos establecidos por el Departamento Administrativo de la Función Pública.
Con este fin, se conformaron equipos de trabajo voluntarios que tienen como finalidad estandarizar algunos de los métodos y herramientas del trabajo de las Oficinas de Control Interno tendiente a buscar una gestión pública orientada al cumplimiento de los fines esenciales del Estado.
Se presenta a continuación la caja de herramientas para la elaboración del Plan Anual de Auditorías de las Oficinas de Control Interno de Distrito que responde a las fases establecidas por las Normas Internacionales para el Ejercicio Profesional de Auditoría.
Frente a cada plantilla o formato, encontrará el marco de referencia aplicable de la Norma Internacional como guía y soporte para su ejecución.
</t>
  </si>
  <si>
    <r>
      <rPr>
        <b/>
        <sz val="11"/>
        <color theme="1"/>
        <rFont val="Century Gothic"/>
        <family val="2"/>
      </rPr>
      <t>Consideraciones para la implementación</t>
    </r>
    <r>
      <rPr>
        <sz val="11"/>
        <color theme="1"/>
        <rFont val="Century Gothic"/>
        <family val="2"/>
      </rPr>
      <t xml:space="preserve">
Después de tener en cuenta la información referida, el DAI desarrolla una estrategia de Auditoría Interna y un enfoque que la alinea con los objetivos y expectativas de la dirección de la organización. Además, como se indica en la Norma 2010, el DAI elabora un plan de Auditoría Interna basado en riesgos para establecer las prioridades de los trabajos de aseguramiento y consultoría de la actividad de Auditoría Interna. Este proceso tiene en cuenta tanto las indicaciones de la alta dirección y el Consejo, como los datos que se deriven de una evaluación de riesgos anual documentada (Norma
2010.A1)</t>
    </r>
  </si>
  <si>
    <t>Acuerdo 047 de 2022</t>
  </si>
  <si>
    <t>2020-2023</t>
  </si>
  <si>
    <t>01/012024</t>
  </si>
  <si>
    <t>2023-2024</t>
  </si>
  <si>
    <t>SI</t>
  </si>
  <si>
    <t>Para 6 Procesos Estrategicos</t>
  </si>
  <si>
    <t xml:space="preserve">En proceso de actualizacion miembros comité </t>
  </si>
  <si>
    <t>Efectuar el seguimiento de SARLAFT conforme lo establecido en la Empresa</t>
  </si>
  <si>
    <t>Se traslado cierre al mes de Enero de 2023  (cesión del contrato de auditor Líder-proceso contratacion auditor).</t>
  </si>
  <si>
    <t>Navis Florez - Juan P Contreras</t>
  </si>
  <si>
    <t>Navis Florez  - Javier Rincon</t>
  </si>
  <si>
    <t>Ernesto Quintana - Alberto Florez - Javier Rincon</t>
  </si>
  <si>
    <t>Janeth Villalba - Orlando Torres, JPablo Contreras</t>
  </si>
  <si>
    <t>Orlando Torres - Jpablo Contreras - Alberto Florez</t>
  </si>
  <si>
    <t>JEdwin Lozano - Auditor de apoyo</t>
  </si>
  <si>
    <t>JPablo Contreras - Orlando Torres - Jose R Santis</t>
  </si>
  <si>
    <t>Janeth Villalba - Auditores de apoyo</t>
  </si>
  <si>
    <t>JEdwin Lozano - Auditor 2 de apoyo</t>
  </si>
  <si>
    <t>Janeth Villalba - Apoyo auditor</t>
  </si>
  <si>
    <t>Orlando Torres - Jpablo Contreras - JRamon Santis</t>
  </si>
  <si>
    <t>JP Contreras - Orlando Torres</t>
  </si>
  <si>
    <t>Lily Moreno - Auditor de apoyo 1</t>
  </si>
  <si>
    <t>JPablo Contreras - Javier Rincon, JRamon Santis - Auditor2</t>
  </si>
  <si>
    <t>Edgar Mogollón - Orlando Torres - JRamon Santis - Auditor 2</t>
  </si>
  <si>
    <t>Lily Moreno - Auditor 2</t>
  </si>
  <si>
    <t>Lily Moreno - JEdwin Lozano - Apoyo Auditor 2</t>
  </si>
  <si>
    <t>Ernesto Quintana - Auditor 2 de Apoyo</t>
  </si>
  <si>
    <t>Lily Moreno - Auditor de apoyo 2</t>
  </si>
  <si>
    <t xml:space="preserve"> Vigencia 2024:  Jefe Oficina OCI,Un (1) Gestor Senior 3 de planta, Ocho (8) contratistas de apoyo.
  Tecnológicos: Equipo de cómputo, sistemas de información, sistemas de redes y correo electrónico de la empresa.</t>
  </si>
  <si>
    <t>Informe Presentado el 28 de febrero de 2024. Radicado 
I2024000433</t>
  </si>
  <si>
    <t>Informe Presentado el 28 de febrero de 2024. Radicado 
S2024000867</t>
  </si>
  <si>
    <t>Certificado generado el 14 de febrero de 2024</t>
  </si>
  <si>
    <t>I2024000555 Informe Seguimiento Implementación y Puesta en producción SIM - 13/03/2024</t>
  </si>
  <si>
    <t>* I2024000487 Informe inicial cumplimiento normas en materia de DDA sobre software 2023 - 06/03/2024
* I2024000623 Informe final cumplimiento normas en materia de DDA sobre software 2023 - 15/03/2024
* Confirmación Presentación Informe software legal 2023 - 15/03/2024</t>
  </si>
  <si>
    <t>Esta actividad no se encuentra programada en el PAA para la vigencia 2024.</t>
  </si>
  <si>
    <t>Se dará inicio en la segunda semana de abril de 2024, al seguimiento de las bases de datos personales de la Empresa registradas en la RNBD a corte marzo 31 de 2024.</t>
  </si>
  <si>
    <t xml:space="preserve">Mediante la Resolución 104 del 13 de marzo de 2024, por la cual se modifica parcialmente  la Resolución 195 del 14 de junio de  2018, por la cual se crea y reglamenta el funcionamiento del Comité Institucional de Coordinación de Control Interno de la Empresa de Renovación y desarrollo Urbano de Bogotá. D:C  </t>
  </si>
  <si>
    <t>Se presento el informe de peticiones , quejas y reclamos correspondiente al segundo semestre de del año 2023</t>
  </si>
  <si>
    <t>Radicado bajo el No. I2024000111</t>
  </si>
  <si>
    <t>Matriz Programa de Aseguramiento y Mejora de la Calidad.</t>
  </si>
  <si>
    <t>Seguimiento Plan Anticorrupción y de atención al Ciudadano corte Septiembre - diciembre 2023 publicado el 16 de enero de 2024 en  link: www.renobo.com.co/transparencia/planeacion-presupuesto-e-informes/informes-oficina-control-interno</t>
  </si>
  <si>
    <t>Informe Presentado el 28 de febrero de 2024. Radicado 
I2024000438</t>
  </si>
  <si>
    <t>Visita Administrativa realizada por la Contraloría de Bogotá, al Proyecto Alcaldía Local de Los Mártires, del 29/02/2024. Como constancia de lo anterior, remito la lista de asistencia a dicha visita.
Visitas Administrativas de Entes de Control recibidas durante el primer trimestre de 2024, asistí como apoyo a los auditores asignados para la atención.</t>
  </si>
  <si>
    <t>Navis Alberto Florez - Fernando Sanchez</t>
  </si>
  <si>
    <t>Ernesto Quintana - Javier Rincon- Navis Florez</t>
  </si>
  <si>
    <t>Jose Edwin Lozano  - Ruben Mauricio Gonzalez - Fernando Sanchez - Jose Ramon Santis</t>
  </si>
  <si>
    <t>Pendiente identificacion Auditoria</t>
  </si>
  <si>
    <t>Se reprograma conforme al contrato que esta acargo de la Oficina Asesora de Planeacion</t>
  </si>
  <si>
    <t>Dos reportes con corte a Diciembre 31 de 2023 y Marzo 31 de 2024 (VAC)</t>
  </si>
  <si>
    <t>Se elaboró el respectivo informe para el cuarto trimestre de 2023 (preguntar a Miguel)</t>
  </si>
  <si>
    <t xml:space="preserve">Actividad reprogramada </t>
  </si>
  <si>
    <t>Auditoria Externa de Seguimiento a la Certificacion bajo la norma</t>
  </si>
  <si>
    <t>Identificar la conformidad, capacidad, eficacia con los requisitos de la norma del Sistema de Gestion y las areas de mejora- ente certificador ICONTEC</t>
  </si>
  <si>
    <t xml:space="preserve">Version 2-Marzo 13 de 2024 </t>
  </si>
  <si>
    <t>Version 3-Mayo 29 de 2024</t>
  </si>
  <si>
    <t>Version 1-Diciembre 28 de 2023</t>
  </si>
  <si>
    <t>Reprogramacion para verificar el avance de los planes</t>
  </si>
  <si>
    <t>Reprogramado según la aprobacion PDD</t>
  </si>
  <si>
    <t>Orlando Torres Malaver - Juan Pablo Contreras - Javier Rincon</t>
  </si>
  <si>
    <t>Alberto Florez - Ruben Mauricio Gonzalez- Fernando Sanchez - Javier Rincon</t>
  </si>
  <si>
    <t>Edgar Mogollón - Orlando Torres - Fernando Sanchez Jacobo</t>
  </si>
  <si>
    <t>Lily Moreno - Orlando Torres Malaver- Juan Pablo Contreras - JRamon Santis</t>
  </si>
  <si>
    <t>JPablo Contreras - Javier Rincon - Orlando Torres Malaver</t>
  </si>
  <si>
    <t>Radicado No . I2024000987 del 02 de mayo de 2024</t>
  </si>
  <si>
    <t>JRamon Santis - Fernando Sanchez Jacobo</t>
  </si>
  <si>
    <t>I2024000442 Informe bases de datos personales OCI - 29/02/2024
I2024000966 abril 30 de 2024</t>
  </si>
  <si>
    <t>Las actividades programadas en el PAMC, para el primer cuatrimestre del año 2024, se ejecutaron, tal como se puede evidenciar en la matriz del Programa de Aseguramiento y Mejora de la Calidad.</t>
  </si>
  <si>
    <t>Auditoría DRI -Alcaldia Local de Martires  IP- 18000- 0002 - 24</t>
  </si>
  <si>
    <t>Versión 3 - 2024</t>
  </si>
  <si>
    <t>Oficina Asesora de Planeacion</t>
  </si>
  <si>
    <t>Auditoria proyecto misional 1 (proyecto san Bernardo)</t>
  </si>
  <si>
    <t>Auditoria proyecto misional 2 (Actuaciones Estrategicas)</t>
  </si>
  <si>
    <t>Auditoria proceso administrativo 1 (Esquema Fiduciario)</t>
  </si>
  <si>
    <t>Jose Edwin Lozano- Auditor de Apoyo</t>
  </si>
  <si>
    <t>Jose Edwin Lozano - Auditores de apoyo</t>
  </si>
  <si>
    <t>Orlando Torres - Auditores de apoyo</t>
  </si>
  <si>
    <t>Verificar el marco administrativo establecido en la Entidad, conforme a su estructura y normas legales vigentes</t>
  </si>
  <si>
    <t>Informe remitifo a Jefe de Control Interno por correo el 3 de mayo de 2024 para revisión. Avance 90%.</t>
  </si>
  <si>
    <t>Certificado Enero generado el 9 de febrero de 2024
Certificado Febrero generado el 11 de marzo de 2024
Certificado Marzo generado el 9 de abril 2024
Certificado abril generado el 10 de mayo de 2024
Certificado mayo generado el 13 de junio de 2024</t>
  </si>
  <si>
    <t>Se realizaron cuatro (4) de las cinco (5) mesas de trabajo programadas para el primer semestre de 2024, con colaboradores del proceso de Gestión de TIC, para evaluar el estado del PETI (16/02/2024 y 14/06/2024) y el Plan de Tratamiento de Riesgos de Seguridad y Privacidad de la Información (15/03/2024 y 11/04/2024), previo al Trabajo de Auditoría a realizarse en el cuarto bimestre de 2024.</t>
  </si>
  <si>
    <t>Se presentará en la cuarta semana del mes de junio de 2024, el informe con los resultados de la evaluación del estado de operatividad y usabilidad del SIM de la Empresa.</t>
  </si>
  <si>
    <t>Se elaboró el instrumento de control para evaluar el comportamiento de los hallazgos referidos por la Contraloría de Bogotá en los informes finales de auditoría allegados a la Empresa, el cual fue remitido a la jefe de la Oficina el 21 de mayo de 2024 para su revisión y comentarios.
Se elaboró el Informe de Seguimiento a los hallazgos presentados por la Contraloría de Bogotá en los Informes de auditoría realizados en el periodo comprendido entre 2019 y 2024, el cual fue remitido a la jefe de la Oficina el 14 de junio de 2024 para su revisión y comentarios.</t>
  </si>
  <si>
    <t>Se realizará una auditoría express en la tercera semana del mes de junio de 2024, a una muestra representativa de los equipos de cómputo de la Empresa, para evaluar el software instalado y su licenciamiento.</t>
  </si>
  <si>
    <t>Se presentará en la cuarta semana del mes de junio de 2024, el informe con los resultados de la evaluación integral del sitio web de la Empresa, en el marco de la Ley 1712 de 2014 y la Resolución MINTIC 1519 de 2020.</t>
  </si>
  <si>
    <t>Actas del CICCI , No. 5 de diciembre 28 de 2023 y Acta No.1 de 13 de marzo de 2024</t>
  </si>
  <si>
    <t xml:space="preserve">Se presentó y se aprobó  el PAA  a las administraciones de la ERU del momento. De igual manera ,Se implementó </t>
  </si>
  <si>
    <t xml:space="preserve">Resolución 104 del 13 de marzo de 2024. Actas del CICCI NO. 1 del 13 de marzo de 2024 y Acta No. 2 del 28  de mayo de 2024.
</t>
  </si>
  <si>
    <t xml:space="preserve"> Estado de avance al 15 de junio de 2024 del 90%. Se entregará dentro del plazo establecido, antes del 30 de junio</t>
  </si>
  <si>
    <t>Se está realizando el informe de seguimiento a las lineas de defensa. Se entregará dentro del plazo establecido, antes del 30 de junio</t>
  </si>
  <si>
    <t xml:space="preserve">Informe Presentado el 31 de mayo de 2024. Radicado I2024001202 </t>
  </si>
  <si>
    <t>Informe en Revision de la Jefatura OCI</t>
  </si>
  <si>
    <t>Certificado de diligenciamiento expedido el dia 07/05/2024 a las 15:07 PM</t>
  </si>
  <si>
    <t>Se diligenció el formulario y se remitieron los comprobantes via correo electronico el dia miércoles 8 mayo a las  13:41 PM</t>
  </si>
  <si>
    <t>Avance 50%</t>
  </si>
  <si>
    <t>Informe Entregado y ajustado pendiente por publicación Jefe Oficina de Control Interno</t>
  </si>
  <si>
    <t>Matriz de Seguimiento Mapa de Riesgos por Procesos y corrupción corte septiembre - diciembre 2023 publicado el 16 de enero de 2024 en  link: https://www.renobo.com.co/transparencia/planeacion-presupuesto-e-informes/informes-oficina-control-interno.
INFORME DE SEGUIMIENTO MAPA DE RIESGOS INSTITUCIONAL - CORTE SEPTIEMBRE – DICIEMBRE DE 2023 – RADICADO I2024000635.
Matriz de Seguimiento Mapa de Riesgos por Procesos y corrupción corte enero - abril 2024 publicado el 16 de mayo de 2024 en  link: https://www.renobo.com.co/transparencia/planeacion-presupuesto-e-informes/informes-oficina-control-interno.</t>
  </si>
  <si>
    <t>Informe Ejecutivo pendiente por radicar por parte de la Jefe de Control Interno</t>
  </si>
  <si>
    <t>Campaña de autocontrol Programada para el 26 de Junio de 2024</t>
  </si>
  <si>
    <t>Matriz de Seguimiento Plan de Mejoramiento octubre- diciembre 2023 publicada en la pagina Web  link: Matriz de seguimiento Plan de Mejoramiento por Procesos octubre - diciembre 2023 el 24  de enero de 2024
INFORME PLAN DE MEJORAMIENTO POR PROCESOS DICIEMBRE 2023 – RADICADO I2024000217
Informe Plan de Mejoramiento corte marzo de 2024- I2024001014 de mayo 08 de 2024
Matriz de Seguimiento Plan de Mejoramiento enero - abril 2024 publicada en la pagina Web  https://renobo.com.co/transparencia/planeacion-presupuesto-e-informes/informes-de-gestion-evaluacion-y-auditoria/planes-de-mejoramiento</t>
  </si>
  <si>
    <t>Se encuentra en aprobación el programa de auditoria por parte del Jefe de Control Interno.</t>
  </si>
  <si>
    <r>
      <rPr>
        <b/>
        <u/>
        <sz val="18"/>
        <rFont val="Calibri"/>
        <family val="2"/>
        <scheme val="minor"/>
      </rPr>
      <t xml:space="preserve">Corte 14 de junio de 2024.
</t>
    </r>
    <r>
      <rPr>
        <sz val="18"/>
        <rFont val="Calibri"/>
        <family val="2"/>
        <scheme val="minor"/>
      </rPr>
      <t>1 - Reunión Líderes Operativos 1 del 20/02/2024 (Invitación Registro de Asistencia y Material).
2 - Reunión Líderes Operativos 2 del 19/03/2024 (Invitación Registro de Asistencia y Material).
3 - Reunión Líderes Operativos 3 del 11/04/2024 (Invitación Registro de Asistencia y Material).
4 - Reunión Líderes Operativos 4 del 30/05/2024 (Invitación Registro de Asistencia y Material).</t>
    </r>
  </si>
  <si>
    <r>
      <rPr>
        <b/>
        <u/>
        <sz val="18"/>
        <rFont val="Calibri"/>
        <family val="2"/>
        <scheme val="minor"/>
      </rPr>
      <t xml:space="preserve">Corte 14 de junio de 2024.
</t>
    </r>
    <r>
      <rPr>
        <sz val="18"/>
        <rFont val="Calibri"/>
        <family val="2"/>
        <scheme val="minor"/>
      </rPr>
      <t xml:space="preserve">Se asistió a las reuniones de Líderes Operativos en representación del Proceso de Evaluación y seguimiento, realizadas así: 
</t>
    </r>
    <r>
      <rPr>
        <b/>
        <sz val="18"/>
        <rFont val="Calibri"/>
        <family val="2"/>
        <scheme val="minor"/>
      </rPr>
      <t xml:space="preserve">Reunión No 1 - 20/02/2024 </t>
    </r>
    <r>
      <rPr>
        <sz val="18"/>
        <rFont val="Calibri"/>
        <family val="2"/>
        <scheme val="minor"/>
      </rPr>
      <t xml:space="preserve">Temas a tratar: 1. Bienvenida, 2. Rol líderes operativos, 3. Gestión de cambio nuevo mapa de procesos, 4. Seguimientos Segunda Línea de Defensa 5. Varios.
</t>
    </r>
    <r>
      <rPr>
        <b/>
        <sz val="18"/>
        <rFont val="Calibri"/>
        <family val="2"/>
        <scheme val="minor"/>
      </rPr>
      <t xml:space="preserve">Reunión No 2  - 19/03/2024 </t>
    </r>
    <r>
      <rPr>
        <sz val="18"/>
        <rFont val="Calibri"/>
        <family val="2"/>
        <scheme val="minor"/>
      </rPr>
      <t xml:space="preserve">Temas a tratar: 1. Directiva 008-2021, 2. Socialización PD-17 Planes de Mejoramiento, 3. Agendas Abiertas, 4. Avances Plan de Gestión del Cambio nuevo Mapa de procesos, 5. Reporte de materialización de riesgos, 6. Varios
</t>
    </r>
    <r>
      <rPr>
        <b/>
        <sz val="18"/>
        <rFont val="Calibri"/>
        <family val="2"/>
        <scheme val="minor"/>
      </rPr>
      <t xml:space="preserve">Reunión No 3  - 11/04/2024 </t>
    </r>
    <r>
      <rPr>
        <sz val="18"/>
        <rFont val="Calibri"/>
        <family val="2"/>
        <scheme val="minor"/>
      </rPr>
      <t xml:space="preserve">Temas a tratar:Socialización GI-49 Guía de Gestión Integral de Proyectos.
</t>
    </r>
    <r>
      <rPr>
        <b/>
        <sz val="18"/>
        <rFont val="Calibri"/>
        <family val="2"/>
        <scheme val="minor"/>
      </rPr>
      <t>Reunión No 4  - 30/05/2024</t>
    </r>
    <r>
      <rPr>
        <sz val="18"/>
        <rFont val="Calibri"/>
        <family val="2"/>
        <scheme val="minor"/>
      </rPr>
      <t xml:space="preserve"> Temas a tratar: - Rol como Segunda Línea de Defensa de Líderes de la implementación de las Políticas establecidas en el MIPG y Líderes o Coordinadores de otros sistemas de gestión de la Empresa
- Reporte materialización riesgos - Balance
- Resultados del seguimiento a indicadores
- Avances del Plan de Gestión del Cambio
- Resultados del seguimiento a la Estrategia de Participación
- Plan GESCO+I
- Actualización activos de información</t>
    </r>
  </si>
  <si>
    <t>NO APLICA PARA EL CORTE DEL REPORTE</t>
  </si>
  <si>
    <r>
      <t xml:space="preserve">Informe elaborado por el funcionario Edgar Mogollon, enviado a la Gerencia
</t>
    </r>
    <r>
      <rPr>
        <b/>
        <sz val="18"/>
        <rFont val="Calibri"/>
        <family val="2"/>
        <scheme val="minor"/>
      </rPr>
      <t>EL SEGUNDO INFORME NO APLICA PARA EL CORTE DEL REPORTE</t>
    </r>
  </si>
  <si>
    <t xml:space="preserve">
1 - INFORME DE GESTIÓN DE LA OFICINA DE CONTROL INTERNO VIGENCIA 2023 CORTE A 31 DE DICIEMBRE DE 2023 - RADICADO I2024000289.</t>
  </si>
  <si>
    <r>
      <rPr>
        <b/>
        <u/>
        <sz val="18"/>
        <rFont val="Calibri"/>
        <family val="2"/>
        <scheme val="minor"/>
      </rPr>
      <t xml:space="preserve">
</t>
    </r>
    <r>
      <rPr>
        <sz val="18"/>
        <rFont val="Calibri"/>
        <family val="2"/>
        <scheme val="minor"/>
      </rPr>
      <t>Se elaboró el Informe de Gestión de la Oficina de Control Interno vigencia 2023 Corte a 31 de diciembre de 2023, el cual fue radicado bajo radicado I2024000289 del 14/02/2024.</t>
    </r>
  </si>
  <si>
    <r>
      <t xml:space="preserve">Corte 14  de junio de 2024
</t>
    </r>
    <r>
      <rPr>
        <sz val="18"/>
        <rFont val="Calibri"/>
        <family val="2"/>
        <scheme val="minor"/>
      </rPr>
      <t>1 - Acta Autoevaluación No 1 del 31/01/2024.
2 - Acta Autoevaluación No 2 del 15/03/2024.
2 - Acta Autoevaluación No 3 del 22/04/2024.</t>
    </r>
  </si>
  <si>
    <r>
      <rPr>
        <b/>
        <u/>
        <sz val="18"/>
        <rFont val="Calibri"/>
        <family val="2"/>
        <scheme val="minor"/>
      </rPr>
      <t>Corte 14 de junio de 2024</t>
    </r>
    <r>
      <rPr>
        <sz val="18"/>
        <rFont val="Calibri"/>
        <family val="2"/>
        <scheme val="minor"/>
      </rPr>
      <t xml:space="preserve">
1 - Reunión de Autoevaluación No 1 del 31/01/2024: Orden del día: SEGUIMIENTO AL PAA 2024, SEGUIMIENTO A REQUERIMIENTOS DE ENTES EXTERNOS DE CONTROL ASIGNADOS,  Y SEGUIMIENTO A TAREAS ASIGNADAS.
2 - Reunión de Autoevaluación No 2 del 15/03/2024: Socialización de la Actualización - Caracterización del Proceso de Evaluación y Seguimiento, Seguimiento al PAA 2024, Labores Generales Programadas, y Temas Varios.
3 - Reunión de Autoevaluación No 2 del 22/04/2024: Seguimiento, Seguimiento al PAA 2024, Labores Generales Programadas, y Temas Varios.</t>
    </r>
  </si>
  <si>
    <r>
      <rPr>
        <b/>
        <u/>
        <sz val="18"/>
        <rFont val="Calibri"/>
        <family val="2"/>
        <scheme val="minor"/>
      </rPr>
      <t xml:space="preserve">Corte 14 de junio de 2024
</t>
    </r>
    <r>
      <rPr>
        <sz val="18"/>
        <rFont val="Calibri"/>
        <family val="2"/>
        <scheme val="minor"/>
      </rPr>
      <t>1 - Correo electrónico de socialización grupo de trabajo OCI - Documentos del proceso.
2 - Correo electrónico a la OAP - Act. cracterización del Proceso.
3 - Solicitud Caracterización del Proceso por Azsing.
4 - Aprobación Caracterización del Proceso por Azsing.
5 - Correo electrónico de socialización grupo de trabajo OCI - Caracterizaación de Proceso.
6 - Correo electrónico de socialización partes interesadas - Caracterización delProceso.
7 - PROPUESTA - ACTUALIZACIÓN PROCEDIMIENTO PD 55 - RELACIÓN CON ENTES EXTERNOS DE CONTROL</t>
    </r>
  </si>
  <si>
    <r>
      <rPr>
        <b/>
        <u/>
        <sz val="18"/>
        <rFont val="Calibri"/>
        <family val="2"/>
        <scheme val="minor"/>
      </rPr>
      <t xml:space="preserve">Corte 14 de junio de 2024.
</t>
    </r>
    <r>
      <rPr>
        <sz val="18"/>
        <rFont val="Calibri"/>
        <family val="2"/>
        <scheme val="minor"/>
      </rPr>
      <t xml:space="preserve">
</t>
    </r>
    <r>
      <rPr>
        <sz val="14"/>
        <rFont val="Calibri"/>
        <family val="2"/>
        <scheme val="minor"/>
      </rPr>
      <t xml:space="preserve">1 - SOCIALIZACIÓN DE DOCUMENTOS DEL PROCESO DE EVALUACIÓN Y SEGUIMIENTO USO Y REVISIÓN.
• Remisión vía correo electrónico al grupo de trabajo OCI, los documentos del proceso de evaluación y seguimiento, para su debido uso en los
trabajos de auditoría que implementamos desde la Oficina de Control Interno, en el marco del Plan Anual de Auditoría. Igualmente, si se tienen
sugerencias de cambio o actualizaciones proceder con el trámite correspondiente.
2 - ACTUALIZACIÓN DE DOCUMENTOS DEL PROCESO DE EVALUACIÓN Y SEGUIMIENTO.
•CP-17 Caracterización Evaluación y Seguimiento V5 (en versión remitida por la SPAP). Construcción del primer documento de la actualización de la
caracterización de nuestro proceso, teniendo en cuenta que la misma no se ve afectada por la nueva estructura organizacional de la Empresa, con
ajustes de forma, e incluyendo en sus actividades del ciclo PHVA, los roles de la oficina que corresponden. Dicho documento fue remitido vía correo
electrónico a la jefatura de la oficina, para revisión y VoBo. Lo anterior, en atención del requerimiento que, sobre el asunto, fue remitido por la Oficina
Asesora de Planeación.
3 - ACTUALIZACIÓN DE DOCUMENTOS DEL PROCESO DE EVALUACIÓN Y SEGUIMIENTO.
•Actualización del documento - CP-17 Caracterización Evaluación y Seguimiento V5 (en versión remitida por la SPAP) y aprobación de la
misma por medio de azsign@analitica.com.co.
•Socialización a nuestro grupo de trabajo – Actualización del documento - CP-17 Caracterización Evaluación y Seguimiento V5.
•Socialización a partes interesadas - Actualización del documento - CP-17 Caracterización Evaluación y Seguimiento V5.
*PROPUESTA - ACTUALIZACIÓN PROCEDIMIENTO PD 55 - RELACIÓN CON ENTES EXTERNOS DE CONTROL	</t>
    </r>
  </si>
  <si>
    <r>
      <rPr>
        <b/>
        <u/>
        <sz val="18"/>
        <rFont val="Calibri"/>
        <family val="2"/>
        <scheme val="minor"/>
      </rPr>
      <t>Corte 14 de junio de 2024.</t>
    </r>
    <r>
      <rPr>
        <sz val="18"/>
        <rFont val="Calibri"/>
        <family val="2"/>
        <scheme val="minor"/>
      </rPr>
      <t xml:space="preserve">
1 - Cuadro Atención Requerimientos - Primer Trimestre 2024.</t>
    </r>
  </si>
  <si>
    <r>
      <t xml:space="preserve">
</t>
    </r>
    <r>
      <rPr>
        <b/>
        <u/>
        <sz val="18"/>
        <rFont val="Calibri"/>
        <family val="2"/>
        <scheme val="minor"/>
      </rPr>
      <t xml:space="preserve">Corte 14 de junio de 2024.
</t>
    </r>
    <r>
      <rPr>
        <sz val="18"/>
        <rFont val="Calibri"/>
        <family val="2"/>
        <scheme val="minor"/>
      </rPr>
      <t xml:space="preserve">Requerimientos en Gestión: 6
Requerimientos Atendidos: 441
</t>
    </r>
    <r>
      <rPr>
        <sz val="22"/>
        <rFont val="Calibri"/>
        <family val="2"/>
        <scheme val="minor"/>
      </rPr>
      <t>Total de Requerimientos Recibidos: 447</t>
    </r>
  </si>
  <si>
    <t>Trabajo de Auditoría en ejecución mayo a julio de 2024. Avance 40%
Plan de trabajo de la auditoría.
Reunión de apertura del 29/05/2024.
Elaboración de listas de chequeo.
Solicitud de información.</t>
  </si>
  <si>
    <t>Informo que los informes fueron radicados bajo los siguientes números, 
I2024001122 del 22/05/2024 - Informe Seguimiento Metas PDD con corte a diciembre 31 de 2023
I2024001124 del 22/05/2024 - Informe Seguimiento Metas PDD con corte a marzo 31 de 2024
Los próximos reportes se tienen programados para agosto - septiembre y noviembre - diciembre de 2024.</t>
  </si>
  <si>
    <t xml:space="preserve">
El trabajo de auditoría se tiene programado para junio y julio de 2024.</t>
  </si>
  <si>
    <t>Informe Final - Dirección de Reacción Inmediata - Actuación Especial Fiscalización Aud 197- Ciudadela Educativa y del Cuidado - Contrato 430 de 2023 - Radicado E2024004279. Certificado de Transmisión - Plan de Mejoramiento: Consecutivo: 102625015712024-05-20.</t>
  </si>
  <si>
    <t xml:space="preserve">Se atendieron las Solicitudes de Información de la Contraloría de Bogotá - IP-18000-0002-24 - Convenio No. 134 de 2016 y Contratos Derivados – Radicados E2024005033 y S2024002307. </t>
  </si>
  <si>
    <t xml:space="preserve">Se solicitó información correspondiente a seguimiento el día 14 de junio  de 2024 co n vencimiento el día 21 de junio de 2024. </t>
  </si>
  <si>
    <t>El documento fue radicado bajo numero No I2024000985 del 30/04/2024</t>
  </si>
  <si>
    <t>Decreto 073 de 2023 y Resolución 385 de 2023</t>
  </si>
  <si>
    <t>Se elaboró el Informe Preliminar del Trabajo de Auditoría al Plan Parcial de Renovación Urbana Voto Nacional - AMD2 Alcaldía Local de Mártires, el cual fue remitido a la jefe de la Oficina el 24 de mayo de 2024 para su revisión y comentarios y, posterior presentación en la reunión de cierre.</t>
  </si>
  <si>
    <t>I2024000270 Informe Seguimiento Plan Mejoramiento Contraloría a corte 31 diciembre 2023 - 13/02/2024
I2024000968 Informe Seguimiento Plan Mejoramiento Contraloría a corte 31 marzo 2024 - 30/04/2024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</si>
</sst>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1" formatCode="_-* #,##0_-;\-* #,##0_-;_-* &quot;-&quot;_-;_-@_-"/>
    <numFmt numFmtId="43" formatCode="_-* #,##0.00_-;\-* #,##0.00_-;_-* &quot;-&quot;??_-;_-@_-"/>
    <numFmt numFmtId="164" formatCode="_(&quot;$&quot;\ * #,##0.00_);_(&quot;$&quot;\ * \(#,##0.00\);_(&quot;$&quot;\ * &quot;-&quot;??_);_(@_)"/>
    <numFmt numFmtId="165" formatCode="[$-C0A]dd\-mmm\-yy;@"/>
    <numFmt numFmtId="166" formatCode="[$-C0A]d\-mmm\-yyyy;@"/>
    <numFmt numFmtId="167" formatCode="0.0"/>
    <numFmt numFmtId="168" formatCode="#,###\ &quot;COP&quot;"/>
    <numFmt numFmtId="169" formatCode="_-* #,##0.0_-;\-* #,##0.0_-;_-* &quot;-&quot;_-;_-@_-"/>
  </numFmts>
  <fonts count="74" x14ac:knownFonts="1">
    <font>
      <sz val="11"/>
      <color theme="1"/>
      <name val="Calibri"/>
      <family val="2"/>
      <scheme val="minor"/>
    </font>
    <font>
      <sz val="11"/>
      <color theme="1"/>
      <name val="Calibri"/>
      <family val="2"/>
      <scheme val="minor"/>
    </font>
    <font>
      <sz val="10"/>
      <color theme="1"/>
      <name val="Arial"/>
      <family val="2"/>
    </font>
    <font>
      <b/>
      <sz val="11"/>
      <name val="Calibri"/>
      <family val="2"/>
    </font>
    <font>
      <sz val="9"/>
      <color indexed="81"/>
      <name val="Tahoma"/>
      <family val="2"/>
    </font>
    <font>
      <sz val="10"/>
      <name val="Calibri"/>
      <family val="2"/>
    </font>
    <font>
      <sz val="10"/>
      <color theme="1"/>
      <name val="Calibri"/>
      <family val="2"/>
    </font>
    <font>
      <b/>
      <sz val="10"/>
      <name val="Calibri"/>
      <family val="2"/>
    </font>
    <font>
      <b/>
      <sz val="10"/>
      <color theme="1"/>
      <name val="Arial"/>
      <family val="2"/>
    </font>
    <font>
      <sz val="10"/>
      <name val="Arial"/>
      <family val="2"/>
    </font>
    <font>
      <b/>
      <sz val="11"/>
      <color theme="1"/>
      <name val="Calibri"/>
      <family val="2"/>
      <scheme val="minor"/>
    </font>
    <font>
      <b/>
      <sz val="11"/>
      <name val="Calibri"/>
      <family val="2"/>
      <scheme val="minor"/>
    </font>
    <font>
      <sz val="10"/>
      <color theme="1"/>
      <name val="Calibri"/>
      <family val="2"/>
      <scheme val="minor"/>
    </font>
    <font>
      <u/>
      <sz val="11"/>
      <color theme="10"/>
      <name val="Calibri"/>
      <family val="2"/>
      <scheme val="minor"/>
    </font>
    <font>
      <b/>
      <sz val="15"/>
      <color theme="1"/>
      <name val="Calibri"/>
      <family val="2"/>
      <scheme val="minor"/>
    </font>
    <font>
      <sz val="11"/>
      <color rgb="FF000000"/>
      <name val="Calibri"/>
      <family val="2"/>
      <scheme val="minor"/>
    </font>
    <font>
      <sz val="11"/>
      <color theme="1"/>
      <name val="Century Gothic"/>
      <family val="2"/>
    </font>
    <font>
      <b/>
      <sz val="11"/>
      <color theme="1"/>
      <name val="Century Gothic"/>
      <family val="2"/>
    </font>
    <font>
      <b/>
      <sz val="14"/>
      <color theme="1"/>
      <name val="Century Gothic"/>
      <family val="2"/>
    </font>
    <font>
      <i/>
      <sz val="11"/>
      <color theme="1"/>
      <name val="Century Gothic"/>
      <family val="2"/>
    </font>
    <font>
      <b/>
      <sz val="22"/>
      <color rgb="FF000000"/>
      <name val="Calibri"/>
      <family val="2"/>
      <scheme val="minor"/>
    </font>
    <font>
      <sz val="22"/>
      <color theme="1"/>
      <name val="Calibri"/>
      <family val="2"/>
      <scheme val="minor"/>
    </font>
    <font>
      <sz val="22"/>
      <name val="Calibri"/>
      <family val="2"/>
      <scheme val="minor"/>
    </font>
    <font>
      <b/>
      <sz val="22"/>
      <name val="Calibri"/>
      <family val="2"/>
      <scheme val="minor"/>
    </font>
    <font>
      <b/>
      <sz val="22"/>
      <color theme="1"/>
      <name val="Calibri"/>
      <family val="2"/>
      <scheme val="minor"/>
    </font>
    <font>
      <u/>
      <sz val="11"/>
      <color theme="10"/>
      <name val="Calibri"/>
      <family val="2"/>
    </font>
    <font>
      <sz val="11"/>
      <color indexed="8"/>
      <name val="Calibri"/>
      <family val="2"/>
    </font>
    <font>
      <b/>
      <sz val="35"/>
      <color rgb="FF000000"/>
      <name val="Calibri Light"/>
      <family val="2"/>
      <scheme val="major"/>
    </font>
    <font>
      <sz val="14"/>
      <color rgb="FF000000"/>
      <name val="Century Gothic"/>
      <family val="2"/>
    </font>
    <font>
      <sz val="11"/>
      <color rgb="FF000000"/>
      <name val="Century Gothic"/>
      <family val="2"/>
    </font>
    <font>
      <sz val="8"/>
      <color theme="0"/>
      <name val="Calibri"/>
      <family val="2"/>
      <scheme val="minor"/>
    </font>
    <font>
      <sz val="11"/>
      <color rgb="FF0000FF"/>
      <name val="Century Gothic"/>
      <family val="2"/>
    </font>
    <font>
      <b/>
      <sz val="11"/>
      <color rgb="FF0000FF"/>
      <name val="Century Gothic"/>
      <family val="2"/>
    </font>
    <font>
      <b/>
      <i/>
      <sz val="11"/>
      <color theme="1"/>
      <name val="Century Gothic"/>
      <family val="2"/>
    </font>
    <font>
      <u/>
      <sz val="11"/>
      <color theme="10"/>
      <name val="Century Gothic"/>
      <family val="2"/>
    </font>
    <font>
      <sz val="8"/>
      <color theme="1"/>
      <name val="Calibri"/>
      <family val="2"/>
      <scheme val="minor"/>
    </font>
    <font>
      <b/>
      <sz val="8"/>
      <color theme="1"/>
      <name val="Calibri"/>
      <family val="2"/>
      <scheme val="minor"/>
    </font>
    <font>
      <sz val="8"/>
      <color rgb="FF9C0006"/>
      <name val="Calibri"/>
      <family val="2"/>
      <scheme val="minor"/>
    </font>
    <font>
      <b/>
      <sz val="22"/>
      <color rgb="FF000000"/>
      <name val="Century Gothic"/>
      <family val="2"/>
    </font>
    <font>
      <b/>
      <sz val="22"/>
      <name val="Century Gothic"/>
      <family val="2"/>
    </font>
    <font>
      <b/>
      <sz val="22"/>
      <color theme="1"/>
      <name val="Century Gothic"/>
      <family val="2"/>
    </font>
    <font>
      <sz val="9"/>
      <name val="Century Gothic"/>
      <family val="2"/>
    </font>
    <font>
      <sz val="8"/>
      <name val="Century Gothic"/>
      <family val="2"/>
    </font>
    <font>
      <sz val="11"/>
      <name val="Century Gothic"/>
      <family val="2"/>
    </font>
    <font>
      <b/>
      <sz val="11"/>
      <name val="Century Gothic"/>
      <family val="2"/>
    </font>
    <font>
      <b/>
      <sz val="12"/>
      <name val="Century Gothic"/>
      <family val="2"/>
    </font>
    <font>
      <b/>
      <sz val="8"/>
      <color theme="1"/>
      <name val="Century Gothic"/>
      <family val="2"/>
    </font>
    <font>
      <sz val="8"/>
      <color theme="1"/>
      <name val="Century Gothic"/>
      <family val="2"/>
    </font>
    <font>
      <b/>
      <sz val="9"/>
      <color indexed="81"/>
      <name val="Tahoma"/>
      <family val="2"/>
    </font>
    <font>
      <b/>
      <sz val="12"/>
      <color rgb="FF9C0006"/>
      <name val="Century Gothic"/>
      <family val="2"/>
    </font>
    <font>
      <b/>
      <u/>
      <sz val="14"/>
      <color rgb="FF0000FF"/>
      <name val="Calibri"/>
      <family val="2"/>
      <scheme val="minor"/>
    </font>
    <font>
      <sz val="11"/>
      <color rgb="FF000000"/>
      <name val="Calibri"/>
      <family val="2"/>
    </font>
    <font>
      <b/>
      <sz val="11"/>
      <color rgb="FF000000"/>
      <name val="Century Gothic"/>
      <family val="2"/>
    </font>
    <font>
      <sz val="10"/>
      <color rgb="FF000000"/>
      <name val="Century Gothic"/>
      <family val="2"/>
    </font>
    <font>
      <b/>
      <sz val="10"/>
      <name val="Century Gothic"/>
      <family val="2"/>
    </font>
    <font>
      <b/>
      <sz val="10"/>
      <color rgb="FF000000"/>
      <name val="Century Gothic"/>
      <family val="2"/>
    </font>
    <font>
      <b/>
      <sz val="10"/>
      <color theme="1"/>
      <name val="Calibri"/>
      <family val="2"/>
    </font>
    <font>
      <b/>
      <sz val="16"/>
      <color theme="1"/>
      <name val="Century Gothic"/>
      <family val="2"/>
    </font>
    <font>
      <sz val="8"/>
      <name val="Calibri"/>
      <family val="2"/>
      <scheme val="minor"/>
    </font>
    <font>
      <sz val="11"/>
      <name val="Century Gothic"/>
      <family val="2"/>
    </font>
    <font>
      <b/>
      <sz val="11"/>
      <color theme="1"/>
      <name val="Arial"/>
      <family val="2"/>
    </font>
    <font>
      <b/>
      <sz val="10"/>
      <color theme="1"/>
      <name val="Verdana"/>
      <family val="2"/>
    </font>
    <font>
      <sz val="10"/>
      <color theme="1"/>
      <name val="Verdana"/>
      <family val="2"/>
    </font>
    <font>
      <b/>
      <sz val="14"/>
      <color theme="1"/>
      <name val="Calibri"/>
      <family val="2"/>
      <scheme val="minor"/>
    </font>
    <font>
      <sz val="18"/>
      <color theme="1"/>
      <name val="Calibri"/>
      <family val="2"/>
      <scheme val="minor"/>
    </font>
    <font>
      <sz val="18"/>
      <name val="Calibri"/>
      <family val="2"/>
      <scheme val="minor"/>
    </font>
    <font>
      <b/>
      <sz val="18"/>
      <color theme="1"/>
      <name val="Calibri"/>
      <family val="2"/>
      <scheme val="minor"/>
    </font>
    <font>
      <b/>
      <sz val="18"/>
      <name val="Calibri"/>
      <family val="2"/>
      <scheme val="minor"/>
    </font>
    <font>
      <i/>
      <sz val="18"/>
      <color theme="1"/>
      <name val="Calibri"/>
      <family val="2"/>
      <scheme val="minor"/>
    </font>
    <font>
      <sz val="11"/>
      <name val="Century Gothic"/>
      <family val="2"/>
    </font>
    <font>
      <sz val="18"/>
      <color rgb="FFFF0000"/>
      <name val="Calibri"/>
      <family val="2"/>
      <scheme val="minor"/>
    </font>
    <font>
      <b/>
      <u/>
      <sz val="18"/>
      <name val="Calibri"/>
      <family val="2"/>
      <scheme val="minor"/>
    </font>
    <font>
      <sz val="14"/>
      <name val="Calibri"/>
      <family val="2"/>
      <scheme val="minor"/>
    </font>
    <font>
      <sz val="22"/>
      <color rgb="FFFF0000"/>
      <name val="Calibri"/>
      <family val="2"/>
      <scheme val="minor"/>
    </font>
  </fonts>
  <fills count="46">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indexed="9"/>
        <bgColor indexed="64"/>
      </patternFill>
    </fill>
    <fill>
      <patternFill patternType="solid">
        <fgColor theme="0"/>
        <bgColor indexed="64"/>
      </patternFill>
    </fill>
    <fill>
      <patternFill patternType="solid">
        <fgColor theme="3" tint="0.79998168889431442"/>
        <bgColor theme="0"/>
      </patternFill>
    </fill>
    <fill>
      <patternFill patternType="solid">
        <fgColor theme="3" tint="0.7999816888943144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bgColor rgb="FFD9D9D9"/>
      </patternFill>
    </fill>
    <fill>
      <patternFill patternType="solid">
        <fgColor theme="8" tint="0.79998168889431442"/>
        <bgColor rgb="FFD9D9D9"/>
      </patternFill>
    </fill>
    <fill>
      <patternFill patternType="solid">
        <fgColor rgb="FFFFC7CE"/>
      </patternFill>
    </fill>
    <fill>
      <patternFill patternType="solid">
        <fgColor theme="4"/>
      </patternFill>
    </fill>
    <fill>
      <patternFill patternType="solid">
        <fgColor theme="5"/>
      </patternFill>
    </fill>
    <fill>
      <patternFill patternType="solid">
        <fgColor theme="9" tint="0.39997558519241921"/>
        <bgColor indexed="64"/>
      </patternFill>
    </fill>
    <fill>
      <patternFill patternType="solid">
        <fgColor rgb="FF002060"/>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6"/>
        <bgColor indexed="64"/>
      </patternFill>
    </fill>
    <fill>
      <patternFill patternType="solid">
        <fgColor rgb="FF00B050"/>
        <bgColor indexed="64"/>
      </patternFill>
    </fill>
    <fill>
      <patternFill patternType="solid">
        <fgColor rgb="FFD6DCE4"/>
        <bgColor rgb="FFD6DCE4"/>
      </patternFill>
    </fill>
    <fill>
      <patternFill patternType="solid">
        <fgColor rgb="FFCCCCFF"/>
        <bgColor indexed="64"/>
      </patternFill>
    </fill>
    <fill>
      <patternFill patternType="solid">
        <fgColor rgb="FFFF0000"/>
        <bgColor rgb="FFFF0000"/>
      </patternFill>
    </fill>
    <fill>
      <patternFill patternType="solid">
        <fgColor rgb="FFFFFF00"/>
        <bgColor rgb="FFFFFF00"/>
      </patternFill>
    </fill>
    <fill>
      <patternFill patternType="solid">
        <fgColor rgb="FFFFC000"/>
        <bgColor rgb="FFFFC000"/>
      </patternFill>
    </fill>
    <fill>
      <patternFill patternType="solid">
        <fgColor rgb="FF92D050"/>
        <bgColor rgb="FF92D050"/>
      </patternFill>
    </fill>
    <fill>
      <patternFill patternType="solid">
        <fgColor rgb="FFFFFFFF"/>
        <bgColor rgb="FFFFFFFF"/>
      </patternFill>
    </fill>
    <fill>
      <patternFill patternType="solid">
        <fgColor theme="3" tint="0.59999389629810485"/>
        <bgColor indexed="64"/>
      </patternFill>
    </fill>
    <fill>
      <patternFill patternType="solid">
        <fgColor theme="1"/>
        <bgColor indexed="64"/>
      </patternFill>
    </fill>
    <fill>
      <patternFill patternType="solid">
        <fgColor theme="2" tint="-9.9978637043366805E-2"/>
        <bgColor indexed="64"/>
      </patternFill>
    </fill>
    <fill>
      <patternFill patternType="solid">
        <fgColor theme="8" tint="0.39997558519241921"/>
        <bgColor indexed="64"/>
      </patternFill>
    </fill>
    <fill>
      <patternFill patternType="solid">
        <fgColor theme="7"/>
        <bgColor indexed="64"/>
      </patternFill>
    </fill>
    <fill>
      <patternFill patternType="solid">
        <fgColor rgb="FFDBE5F1"/>
        <bgColor indexed="64"/>
      </patternFill>
    </fill>
    <fill>
      <patternFill patternType="solid">
        <fgColor rgb="FFFFFF00"/>
        <bgColor rgb="FFFFFFFF"/>
      </patternFill>
    </fill>
    <fill>
      <patternFill patternType="solid">
        <fgColor rgb="FF99CC00"/>
        <bgColor indexed="64"/>
      </patternFill>
    </fill>
    <fill>
      <patternFill patternType="solid">
        <fgColor theme="2" tint="-0.249977111117893"/>
        <bgColor indexed="64"/>
      </patternFill>
    </fill>
    <fill>
      <patternFill patternType="solid">
        <fgColor theme="5" tint="0.59999389629810485"/>
        <bgColor indexed="64"/>
      </patternFill>
    </fill>
  </fills>
  <borders count="113">
    <border>
      <left/>
      <right/>
      <top/>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auto="1"/>
      </left>
      <right style="medium">
        <color auto="1"/>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thin">
        <color auto="1"/>
      </left>
      <right style="medium">
        <color indexed="64"/>
      </right>
      <top/>
      <bottom style="thin">
        <color auto="1"/>
      </bottom>
      <diagonal/>
    </border>
    <border>
      <left style="hair">
        <color indexed="64"/>
      </left>
      <right style="hair">
        <color indexed="64"/>
      </right>
      <top/>
      <bottom/>
      <diagonal/>
    </border>
    <border>
      <left style="hair">
        <color indexed="64"/>
      </left>
      <right/>
      <top/>
      <bottom/>
      <diagonal/>
    </border>
    <border>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bottom/>
      <diagonal/>
    </border>
    <border>
      <left style="medium">
        <color rgb="FF000000"/>
      </left>
      <right style="thin">
        <color rgb="FF000000"/>
      </right>
      <top/>
      <bottom style="thin">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medium">
        <color rgb="FF000000"/>
      </right>
      <top/>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auto="1"/>
      </left>
      <right/>
      <top style="thin">
        <color auto="1"/>
      </top>
      <bottom/>
      <diagonal/>
    </border>
    <border>
      <left style="thin">
        <color indexed="64"/>
      </left>
      <right/>
      <top style="medium">
        <color indexed="64"/>
      </top>
      <bottom style="thin">
        <color indexed="64"/>
      </bottom>
      <diagonal/>
    </border>
    <border>
      <left/>
      <right style="thin">
        <color auto="1"/>
      </right>
      <top style="thin">
        <color auto="1"/>
      </top>
      <bottom/>
      <diagonal/>
    </border>
    <border>
      <left style="thin">
        <color indexed="64"/>
      </left>
      <right/>
      <top/>
      <bottom style="thin">
        <color indexed="64"/>
      </bottom>
      <diagonal/>
    </border>
    <border>
      <left style="medium">
        <color indexed="64"/>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right style="medium">
        <color rgb="FF000000"/>
      </right>
      <top/>
      <bottom style="thin">
        <color rgb="FF000000"/>
      </bottom>
      <diagonal/>
    </border>
    <border>
      <left style="medium">
        <color rgb="FF000000"/>
      </left>
      <right/>
      <top style="medium">
        <color rgb="FF000000"/>
      </top>
      <bottom/>
      <diagonal/>
    </border>
    <border>
      <left/>
      <right style="thin">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thin">
        <color rgb="FF000000"/>
      </left>
      <right style="medium">
        <color rgb="FF000000"/>
      </right>
      <top style="medium">
        <color indexed="64"/>
      </top>
      <bottom style="medium">
        <color indexed="64"/>
      </bottom>
      <diagonal/>
    </border>
    <border>
      <left style="medium">
        <color rgb="FF000000"/>
      </left>
      <right style="thin">
        <color rgb="FF000000"/>
      </right>
      <top style="medium">
        <color indexed="64"/>
      </top>
      <bottom style="medium">
        <color indexed="64"/>
      </bottom>
      <diagonal/>
    </border>
    <border>
      <left style="medium">
        <color indexed="64"/>
      </left>
      <right style="medium">
        <color indexed="64"/>
      </right>
      <top style="thin">
        <color indexed="64"/>
      </top>
      <bottom/>
      <diagonal/>
    </border>
    <border>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auto="1"/>
      </right>
      <top style="medium">
        <color indexed="64"/>
      </top>
      <bottom/>
      <diagonal/>
    </border>
    <border>
      <left style="thin">
        <color indexed="64"/>
      </left>
      <right/>
      <top/>
      <bottom style="medium">
        <color auto="1"/>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style="thin">
        <color auto="1"/>
      </right>
      <top style="thin">
        <color auto="1"/>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s>
  <cellStyleXfs count="19">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9" fillId="0" borderId="0"/>
    <xf numFmtId="0" fontId="13" fillId="0" borderId="0" applyNumberFormat="0" applyFill="0" applyBorder="0" applyAlignment="0" applyProtection="0"/>
    <xf numFmtId="0" fontId="25" fillId="0" borderId="0" applyNumberFormat="0" applyFill="0" applyBorder="0" applyAlignment="0" applyProtection="0">
      <alignment vertical="top"/>
      <protection locked="0"/>
    </xf>
    <xf numFmtId="164" fontId="26" fillId="0" borderId="0" applyFont="0" applyFill="0" applyBorder="0" applyAlignment="0" applyProtection="0"/>
    <xf numFmtId="164" fontId="1" fillId="0" borderId="0" applyFont="0" applyFill="0" applyBorder="0" applyAlignment="0" applyProtection="0"/>
    <xf numFmtId="0" fontId="9" fillId="0" borderId="0"/>
    <xf numFmtId="0" fontId="1" fillId="0" borderId="0"/>
    <xf numFmtId="0" fontId="30" fillId="15" borderId="0" applyNumberFormat="0" applyBorder="0" applyAlignment="0" applyProtection="0"/>
    <xf numFmtId="0" fontId="30" fillId="16" borderId="0" applyNumberFormat="0" applyBorder="0" applyAlignment="0" applyProtection="0"/>
    <xf numFmtId="0" fontId="37" fillId="14" borderId="0" applyNumberFormat="0" applyBorder="0" applyAlignment="0" applyProtection="0"/>
    <xf numFmtId="0" fontId="51" fillId="0" borderId="0"/>
    <xf numFmtId="0" fontId="61" fillId="41" borderId="0" applyNumberFormat="0" applyBorder="0" applyProtection="0">
      <alignment horizontal="center" vertical="center"/>
    </xf>
    <xf numFmtId="49" fontId="62" fillId="0" borderId="0" applyFill="0" applyBorder="0" applyProtection="0">
      <alignment horizontal="left" vertical="center"/>
    </xf>
    <xf numFmtId="168" fontId="2" fillId="0" borderId="0" applyFont="0" applyFill="0" applyBorder="0" applyAlignment="0" applyProtection="0"/>
    <xf numFmtId="41" fontId="1" fillId="0" borderId="0" applyFont="0" applyFill="0" applyBorder="0" applyAlignment="0" applyProtection="0"/>
  </cellStyleXfs>
  <cellXfs count="744">
    <xf numFmtId="0" fontId="0" fillId="0" borderId="0" xfId="0"/>
    <xf numFmtId="0" fontId="0" fillId="0" borderId="1" xfId="0" applyBorder="1"/>
    <xf numFmtId="0" fontId="0" fillId="0" borderId="16" xfId="0" applyBorder="1"/>
    <xf numFmtId="0" fontId="0" fillId="0" borderId="17" xfId="0" applyBorder="1"/>
    <xf numFmtId="9" fontId="0" fillId="0" borderId="18" xfId="2" applyFont="1" applyBorder="1"/>
    <xf numFmtId="0" fontId="0" fillId="0" borderId="19" xfId="0" applyBorder="1"/>
    <xf numFmtId="9" fontId="0" fillId="0" borderId="20" xfId="2" applyFont="1" applyBorder="1"/>
    <xf numFmtId="0" fontId="0" fillId="0" borderId="23" xfId="0" applyBorder="1"/>
    <xf numFmtId="0" fontId="0" fillId="0" borderId="12" xfId="0" applyBorder="1"/>
    <xf numFmtId="0" fontId="10" fillId="9" borderId="26" xfId="0" applyFont="1" applyFill="1" applyBorder="1" applyAlignment="1">
      <alignment horizontal="center"/>
    </xf>
    <xf numFmtId="0" fontId="0" fillId="0" borderId="0" xfId="0" applyAlignment="1">
      <alignment wrapText="1"/>
    </xf>
    <xf numFmtId="0" fontId="0" fillId="7" borderId="32" xfId="0" applyFill="1" applyBorder="1"/>
    <xf numFmtId="0" fontId="0" fillId="7" borderId="33" xfId="0" applyFill="1" applyBorder="1"/>
    <xf numFmtId="0" fontId="0" fillId="7" borderId="34" xfId="0" applyFill="1" applyBorder="1"/>
    <xf numFmtId="0" fontId="0" fillId="7" borderId="13" xfId="0" applyFill="1" applyBorder="1"/>
    <xf numFmtId="0" fontId="0" fillId="7" borderId="0" xfId="0" applyFill="1"/>
    <xf numFmtId="0" fontId="0" fillId="7" borderId="14" xfId="0" applyFill="1" applyBorder="1"/>
    <xf numFmtId="0" fontId="0" fillId="7" borderId="7" xfId="0" applyFill="1" applyBorder="1"/>
    <xf numFmtId="0" fontId="0" fillId="7" borderId="4" xfId="0" applyFill="1" applyBorder="1"/>
    <xf numFmtId="0" fontId="0" fillId="7" borderId="8" xfId="0" applyFill="1" applyBorder="1"/>
    <xf numFmtId="0" fontId="15" fillId="7" borderId="13" xfId="0" applyFont="1" applyFill="1" applyBorder="1" applyAlignment="1">
      <alignment horizontal="justify" vertical="center"/>
    </xf>
    <xf numFmtId="0" fontId="18" fillId="7" borderId="0" xfId="0" applyFont="1" applyFill="1"/>
    <xf numFmtId="0" fontId="15" fillId="7" borderId="7" xfId="0" applyFont="1" applyFill="1" applyBorder="1" applyAlignment="1">
      <alignment horizontal="justify" vertical="center"/>
    </xf>
    <xf numFmtId="0" fontId="17" fillId="0" borderId="26" xfId="0" applyFont="1" applyBorder="1"/>
    <xf numFmtId="14" fontId="16" fillId="0" borderId="28" xfId="0" applyNumberFormat="1" applyFont="1" applyBorder="1"/>
    <xf numFmtId="0" fontId="16" fillId="0" borderId="0" xfId="0" applyFont="1"/>
    <xf numFmtId="9" fontId="0" fillId="0" borderId="38" xfId="2" applyFont="1" applyBorder="1"/>
    <xf numFmtId="0" fontId="0" fillId="0" borderId="25" xfId="0" applyBorder="1" applyAlignment="1">
      <alignment horizontal="center"/>
    </xf>
    <xf numFmtId="9" fontId="0" fillId="7" borderId="33" xfId="0" applyNumberFormat="1" applyFill="1" applyBorder="1"/>
    <xf numFmtId="9" fontId="0" fillId="7" borderId="0" xfId="0" applyNumberFormat="1" applyFill="1"/>
    <xf numFmtId="0" fontId="21" fillId="0" borderId="0" xfId="0" applyFont="1" applyAlignment="1">
      <alignment horizontal="center" vertical="center" wrapText="1"/>
    </xf>
    <xf numFmtId="0" fontId="21" fillId="7" borderId="0" xfId="0" applyFont="1" applyFill="1" applyAlignment="1">
      <alignment horizontal="center" vertical="center"/>
    </xf>
    <xf numFmtId="0" fontId="21" fillId="0" borderId="0" xfId="0" applyFont="1" applyAlignment="1">
      <alignment horizontal="center" vertical="center"/>
    </xf>
    <xf numFmtId="0" fontId="21" fillId="7" borderId="0" xfId="0" applyFont="1" applyFill="1" applyAlignment="1">
      <alignment horizontal="left" vertical="top"/>
    </xf>
    <xf numFmtId="0" fontId="21" fillId="7" borderId="0" xfId="0" applyFont="1" applyFill="1"/>
    <xf numFmtId="0" fontId="21" fillId="0" borderId="0" xfId="0" applyFont="1"/>
    <xf numFmtId="0" fontId="21" fillId="0" borderId="0" xfId="0" applyFont="1" applyAlignment="1">
      <alignment horizontal="left" vertical="center" wrapText="1"/>
    </xf>
    <xf numFmtId="0" fontId="21" fillId="0" borderId="0" xfId="0" applyFont="1" applyAlignment="1">
      <alignment horizontal="left" vertical="top"/>
    </xf>
    <xf numFmtId="0" fontId="17" fillId="0" borderId="1" xfId="0" applyFont="1" applyBorder="1" applyAlignment="1">
      <alignment horizontal="center" vertical="center"/>
    </xf>
    <xf numFmtId="0" fontId="28" fillId="7" borderId="13" xfId="0" applyFont="1" applyFill="1" applyBorder="1" applyAlignment="1">
      <alignment horizontal="left" vertical="center" wrapText="1"/>
    </xf>
    <xf numFmtId="0" fontId="28" fillId="7" borderId="0" xfId="0" applyFont="1" applyFill="1" applyAlignment="1">
      <alignment horizontal="left" vertical="center" wrapText="1"/>
    </xf>
    <xf numFmtId="0" fontId="28" fillId="7" borderId="14" xfId="0" applyFont="1" applyFill="1" applyBorder="1" applyAlignment="1">
      <alignment horizontal="left" vertical="center" wrapText="1"/>
    </xf>
    <xf numFmtId="0" fontId="28" fillId="7" borderId="2" xfId="0" applyFont="1" applyFill="1" applyBorder="1" applyAlignment="1">
      <alignment horizontal="left" vertical="center" wrapText="1"/>
    </xf>
    <xf numFmtId="0" fontId="28" fillId="7" borderId="35" xfId="0" applyFont="1" applyFill="1" applyBorder="1" applyAlignment="1">
      <alignment horizontal="left" vertical="center" wrapText="1"/>
    </xf>
    <xf numFmtId="0" fontId="28" fillId="7" borderId="36" xfId="0" applyFont="1" applyFill="1" applyBorder="1" applyAlignment="1">
      <alignment horizontal="left" vertical="center" wrapText="1"/>
    </xf>
    <xf numFmtId="0" fontId="18" fillId="7" borderId="35" xfId="0" applyFont="1" applyFill="1" applyBorder="1" applyAlignment="1">
      <alignment horizontal="left" vertical="center"/>
    </xf>
    <xf numFmtId="0" fontId="17" fillId="0" borderId="0" xfId="0" applyFont="1"/>
    <xf numFmtId="14" fontId="16" fillId="0" borderId="0" xfId="0" applyNumberFormat="1" applyFont="1"/>
    <xf numFmtId="0" fontId="18" fillId="7" borderId="0" xfId="0" applyFont="1" applyFill="1" applyAlignment="1">
      <alignment horizontal="left" vertical="center"/>
    </xf>
    <xf numFmtId="0" fontId="17" fillId="10" borderId="1" xfId="0" applyFont="1" applyFill="1" applyBorder="1" applyAlignment="1">
      <alignment horizontal="center" vertical="center" wrapText="1"/>
    </xf>
    <xf numFmtId="0" fontId="16" fillId="0" borderId="1" xfId="0" applyFont="1" applyBorder="1" applyAlignment="1">
      <alignment wrapText="1"/>
    </xf>
    <xf numFmtId="0" fontId="16" fillId="0" borderId="1" xfId="0" applyFont="1" applyBorder="1"/>
    <xf numFmtId="0" fontId="16" fillId="0" borderId="1" xfId="0" applyFont="1" applyBorder="1" applyAlignment="1">
      <alignment vertical="center" wrapText="1"/>
    </xf>
    <xf numFmtId="0" fontId="16" fillId="0" borderId="1" xfId="0" applyFont="1" applyBorder="1" applyAlignment="1">
      <alignment vertical="center"/>
    </xf>
    <xf numFmtId="0" fontId="16" fillId="0" borderId="1" xfId="0" applyFont="1" applyBorder="1" applyAlignment="1">
      <alignment horizontal="center" vertical="center"/>
    </xf>
    <xf numFmtId="0" fontId="16" fillId="0" borderId="1" xfId="0" applyFont="1" applyBorder="1" applyAlignment="1">
      <alignment horizontal="left" vertical="center" wrapText="1"/>
    </xf>
    <xf numFmtId="0" fontId="18" fillId="10" borderId="1" xfId="0" applyFont="1" applyFill="1" applyBorder="1" applyAlignment="1">
      <alignment horizontal="center" wrapText="1"/>
    </xf>
    <xf numFmtId="0" fontId="18" fillId="10" borderId="1" xfId="0" applyFont="1" applyFill="1" applyBorder="1" applyAlignment="1">
      <alignment horizontal="center" vertical="center" wrapText="1"/>
    </xf>
    <xf numFmtId="0" fontId="29" fillId="0" borderId="1" xfId="0" applyFont="1" applyBorder="1" applyAlignment="1">
      <alignment horizontal="left" vertical="center" wrapText="1"/>
    </xf>
    <xf numFmtId="0" fontId="0" fillId="18" borderId="0" xfId="0" applyFill="1"/>
    <xf numFmtId="0" fontId="17" fillId="7" borderId="40" xfId="0" applyFont="1" applyFill="1" applyBorder="1" applyAlignment="1">
      <alignment vertical="center"/>
    </xf>
    <xf numFmtId="0" fontId="0" fillId="7" borderId="0" xfId="0" applyFill="1" applyAlignment="1">
      <alignment wrapText="1"/>
    </xf>
    <xf numFmtId="0" fontId="17" fillId="7" borderId="0" xfId="0" applyFont="1" applyFill="1" applyAlignment="1">
      <alignment vertical="center"/>
    </xf>
    <xf numFmtId="0" fontId="0" fillId="7" borderId="0" xfId="0" applyFill="1" applyAlignment="1">
      <alignment horizontal="center"/>
    </xf>
    <xf numFmtId="0" fontId="16" fillId="0" borderId="19" xfId="0" applyFont="1" applyBorder="1"/>
    <xf numFmtId="0" fontId="0" fillId="0" borderId="13" xfId="0" applyBorder="1"/>
    <xf numFmtId="0" fontId="0" fillId="0" borderId="14" xfId="0" applyBorder="1"/>
    <xf numFmtId="0" fontId="17" fillId="10" borderId="19" xfId="0" applyFont="1" applyFill="1" applyBorder="1" applyAlignment="1">
      <alignment horizontal="center" vertical="center" wrapText="1"/>
    </xf>
    <xf numFmtId="0" fontId="17" fillId="10" borderId="20" xfId="0" applyFont="1" applyFill="1" applyBorder="1" applyAlignment="1">
      <alignment horizontal="center" vertical="center" wrapText="1"/>
    </xf>
    <xf numFmtId="0" fontId="16" fillId="0" borderId="20" xfId="0" applyFont="1" applyBorder="1" applyAlignment="1">
      <alignment horizontal="left" vertical="center"/>
    </xf>
    <xf numFmtId="0" fontId="16" fillId="0" borderId="20" xfId="0" applyFont="1" applyBorder="1" applyAlignment="1">
      <alignment wrapText="1"/>
    </xf>
    <xf numFmtId="0" fontId="16" fillId="0" borderId="5" xfId="0" applyFont="1" applyBorder="1" applyAlignment="1">
      <alignment horizontal="left" vertical="center" wrapText="1"/>
    </xf>
    <xf numFmtId="0" fontId="16" fillId="0" borderId="22" xfId="0" applyFont="1" applyBorder="1" applyAlignment="1">
      <alignment wrapText="1"/>
    </xf>
    <xf numFmtId="0" fontId="33" fillId="20" borderId="1" xfId="0" applyFont="1" applyFill="1" applyBorder="1" applyAlignment="1">
      <alignment horizontal="center"/>
    </xf>
    <xf numFmtId="0" fontId="17" fillId="0" borderId="1" xfId="0" applyFont="1" applyBorder="1" applyAlignment="1">
      <alignment horizontal="left" vertical="center"/>
    </xf>
    <xf numFmtId="0" fontId="34" fillId="0" borderId="1" xfId="5" quotePrefix="1" applyFont="1" applyBorder="1" applyAlignment="1">
      <alignment horizontal="center" vertical="center" wrapText="1"/>
    </xf>
    <xf numFmtId="0" fontId="17" fillId="0" borderId="1" xfId="0" applyFont="1" applyBorder="1" applyAlignment="1">
      <alignment horizontal="left" vertical="center" wrapText="1"/>
    </xf>
    <xf numFmtId="0" fontId="34" fillId="0" borderId="1" xfId="5" applyFont="1" applyBorder="1" applyAlignment="1">
      <alignment horizontal="center" vertical="center"/>
    </xf>
    <xf numFmtId="0" fontId="34" fillId="0" borderId="1" xfId="5" quotePrefix="1" applyFont="1" applyBorder="1" applyAlignment="1">
      <alignment horizontal="center" vertical="center"/>
    </xf>
    <xf numFmtId="0" fontId="17" fillId="0" borderId="1" xfId="0" applyFont="1" applyBorder="1" applyAlignment="1">
      <alignment vertical="center" wrapText="1"/>
    </xf>
    <xf numFmtId="0" fontId="34" fillId="0" borderId="1" xfId="5" quotePrefix="1" applyFont="1" applyBorder="1"/>
    <xf numFmtId="0" fontId="35" fillId="0" borderId="0" xfId="0" applyFont="1"/>
    <xf numFmtId="0" fontId="35" fillId="0" borderId="0" xfId="0" applyFont="1" applyAlignment="1">
      <alignment horizontal="center"/>
    </xf>
    <xf numFmtId="0" fontId="35" fillId="21" borderId="1" xfId="0" applyFont="1" applyFill="1" applyBorder="1" applyAlignment="1">
      <alignment horizontal="center"/>
    </xf>
    <xf numFmtId="0" fontId="35" fillId="17" borderId="1" xfId="0" applyFont="1" applyFill="1" applyBorder="1" applyAlignment="1">
      <alignment horizontal="center"/>
    </xf>
    <xf numFmtId="0" fontId="43" fillId="0" borderId="1" xfId="0" applyFont="1" applyBorder="1" applyAlignment="1">
      <alignment horizontal="center" vertical="center" wrapText="1"/>
    </xf>
    <xf numFmtId="0" fontId="41" fillId="0" borderId="1" xfId="0" applyFont="1" applyBorder="1" applyAlignment="1">
      <alignment horizontal="center" vertical="center" wrapText="1"/>
    </xf>
    <xf numFmtId="0" fontId="41" fillId="0" borderId="1" xfId="0" applyFont="1" applyBorder="1" applyAlignment="1">
      <alignment horizontal="center" wrapText="1"/>
    </xf>
    <xf numFmtId="0" fontId="16" fillId="11" borderId="1" xfId="11" applyFont="1" applyFill="1" applyBorder="1" applyAlignment="1">
      <alignment horizontal="center" vertical="center"/>
    </xf>
    <xf numFmtId="0" fontId="16" fillId="11" borderId="1" xfId="11" applyFont="1" applyFill="1" applyBorder="1" applyAlignment="1">
      <alignment horizontal="center" vertical="center" wrapText="1"/>
    </xf>
    <xf numFmtId="0" fontId="16" fillId="7" borderId="0" xfId="0" applyFont="1" applyFill="1"/>
    <xf numFmtId="9" fontId="16" fillId="7" borderId="0" xfId="2" applyFont="1" applyFill="1"/>
    <xf numFmtId="0" fontId="16" fillId="0" borderId="13" xfId="0" applyFont="1" applyBorder="1"/>
    <xf numFmtId="0" fontId="16" fillId="0" borderId="14" xfId="0" applyFont="1" applyBorder="1"/>
    <xf numFmtId="0" fontId="41" fillId="0" borderId="19" xfId="0" applyFont="1" applyBorder="1" applyAlignment="1">
      <alignment horizontal="center" vertical="center" wrapText="1"/>
    </xf>
    <xf numFmtId="0" fontId="41" fillId="0" borderId="20" xfId="0" applyFont="1" applyBorder="1" applyAlignment="1">
      <alignment horizontal="center" vertical="center" wrapText="1"/>
    </xf>
    <xf numFmtId="0" fontId="16" fillId="11" borderId="19" xfId="11" applyFont="1" applyFill="1" applyBorder="1" applyAlignment="1">
      <alignment horizontal="center" vertical="center"/>
    </xf>
    <xf numFmtId="0" fontId="16" fillId="11" borderId="20" xfId="11" applyFont="1" applyFill="1" applyBorder="1" applyAlignment="1">
      <alignment horizontal="center" vertical="center" wrapText="1"/>
    </xf>
    <xf numFmtId="0" fontId="43" fillId="0" borderId="20" xfId="0" applyFont="1" applyBorder="1" applyAlignment="1">
      <alignment horizontal="center" vertical="center" wrapText="1"/>
    </xf>
    <xf numFmtId="0" fontId="42" fillId="0" borderId="5" xfId="12" applyFont="1" applyFill="1" applyBorder="1"/>
    <xf numFmtId="0" fontId="42" fillId="0" borderId="5" xfId="12" applyFont="1" applyFill="1" applyBorder="1" applyAlignment="1">
      <alignment horizontal="center"/>
    </xf>
    <xf numFmtId="0" fontId="44" fillId="24" borderId="5" xfId="0" applyFont="1" applyFill="1" applyBorder="1" applyAlignment="1">
      <alignment horizontal="center" vertical="center" wrapText="1"/>
    </xf>
    <xf numFmtId="0" fontId="35" fillId="0" borderId="1" xfId="0" applyFont="1" applyBorder="1"/>
    <xf numFmtId="0" fontId="35" fillId="7" borderId="0" xfId="0" applyFont="1" applyFill="1"/>
    <xf numFmtId="0" fontId="36" fillId="7" borderId="0" xfId="0" applyFont="1" applyFill="1" applyAlignment="1">
      <alignment horizontal="center"/>
    </xf>
    <xf numFmtId="0" fontId="35" fillId="7" borderId="0" xfId="0" applyFont="1" applyFill="1" applyAlignment="1">
      <alignment horizontal="center"/>
    </xf>
    <xf numFmtId="0" fontId="36" fillId="7" borderId="0" xfId="0" applyFont="1" applyFill="1"/>
    <xf numFmtId="0" fontId="46" fillId="11" borderId="1" xfId="0" applyFont="1" applyFill="1" applyBorder="1" applyAlignment="1">
      <alignment horizontal="center"/>
    </xf>
    <xf numFmtId="0" fontId="47" fillId="0" borderId="1" xfId="0" applyFont="1" applyBorder="1" applyAlignment="1">
      <alignment horizontal="center"/>
    </xf>
    <xf numFmtId="0" fontId="35" fillId="0" borderId="50" xfId="0" applyFont="1" applyBorder="1"/>
    <xf numFmtId="0" fontId="47" fillId="0" borderId="1" xfId="0" applyFont="1" applyBorder="1"/>
    <xf numFmtId="0" fontId="46" fillId="11" borderId="1" xfId="0" applyFont="1" applyFill="1" applyBorder="1"/>
    <xf numFmtId="0" fontId="46" fillId="0" borderId="0" xfId="0" applyFont="1"/>
    <xf numFmtId="0" fontId="13" fillId="7" borderId="0" xfId="5" applyFill="1"/>
    <xf numFmtId="0" fontId="35" fillId="0" borderId="51" xfId="0" applyFont="1" applyBorder="1" applyAlignment="1">
      <alignment horizontal="center"/>
    </xf>
    <xf numFmtId="0" fontId="17" fillId="7" borderId="0" xfId="0" applyFont="1" applyFill="1" applyAlignment="1">
      <alignment vertical="center" wrapText="1"/>
    </xf>
    <xf numFmtId="0" fontId="46" fillId="0" borderId="1" xfId="0" applyFont="1" applyBorder="1" applyAlignment="1">
      <alignment horizontal="center" vertical="center"/>
    </xf>
    <xf numFmtId="0" fontId="46" fillId="0" borderId="1" xfId="0" applyFont="1" applyBorder="1" applyAlignment="1">
      <alignment horizontal="center" vertical="center" wrapText="1"/>
    </xf>
    <xf numFmtId="0" fontId="46" fillId="22" borderId="1" xfId="0" applyFont="1" applyFill="1" applyBorder="1" applyAlignment="1">
      <alignment horizontal="center" vertical="center" wrapText="1"/>
    </xf>
    <xf numFmtId="0" fontId="46" fillId="17" borderId="1" xfId="0" applyFont="1" applyFill="1" applyBorder="1" applyAlignment="1">
      <alignment horizontal="center" vertical="center" wrapText="1"/>
    </xf>
    <xf numFmtId="0" fontId="47" fillId="0" borderId="0" xfId="0" applyFont="1"/>
    <xf numFmtId="0" fontId="16" fillId="20" borderId="1" xfId="0" applyFont="1" applyFill="1" applyBorder="1" applyAlignment="1">
      <alignment horizontal="center"/>
    </xf>
    <xf numFmtId="9" fontId="33" fillId="20" borderId="1" xfId="0" applyNumberFormat="1" applyFont="1" applyFill="1" applyBorder="1" applyAlignment="1">
      <alignment horizontal="center" wrapText="1"/>
    </xf>
    <xf numFmtId="9" fontId="33" fillId="23" borderId="1" xfId="0" applyNumberFormat="1" applyFont="1" applyFill="1" applyBorder="1" applyAlignment="1">
      <alignment horizontal="center" wrapText="1"/>
    </xf>
    <xf numFmtId="10" fontId="33" fillId="20" borderId="1" xfId="0" applyNumberFormat="1" applyFont="1" applyFill="1" applyBorder="1" applyAlignment="1">
      <alignment horizontal="center" vertical="center" wrapText="1"/>
    </xf>
    <xf numFmtId="0" fontId="16" fillId="20" borderId="1" xfId="0" applyFont="1" applyFill="1" applyBorder="1" applyAlignment="1">
      <alignment horizontal="center" vertical="center" wrapText="1"/>
    </xf>
    <xf numFmtId="0" fontId="16" fillId="20" borderId="1" xfId="0" applyFont="1" applyFill="1" applyBorder="1" applyAlignment="1">
      <alignment horizontal="center" wrapText="1"/>
    </xf>
    <xf numFmtId="0" fontId="47" fillId="22" borderId="1" xfId="0" applyFont="1" applyFill="1" applyBorder="1" applyAlignment="1">
      <alignment horizontal="center"/>
    </xf>
    <xf numFmtId="167" fontId="47" fillId="0" borderId="1" xfId="0" applyNumberFormat="1" applyFont="1" applyBorder="1" applyAlignment="1">
      <alignment horizontal="center"/>
    </xf>
    <xf numFmtId="167" fontId="47" fillId="0" borderId="1" xfId="0" applyNumberFormat="1" applyFont="1" applyBorder="1" applyAlignment="1">
      <alignment horizontal="center" wrapText="1"/>
    </xf>
    <xf numFmtId="1" fontId="47" fillId="17" borderId="1" xfId="0" applyNumberFormat="1" applyFont="1" applyFill="1" applyBorder="1" applyAlignment="1">
      <alignment horizontal="center" wrapText="1"/>
    </xf>
    <xf numFmtId="1" fontId="47" fillId="0" borderId="1" xfId="0" applyNumberFormat="1" applyFont="1" applyBorder="1" applyAlignment="1">
      <alignment horizontal="center" wrapText="1"/>
    </xf>
    <xf numFmtId="0" fontId="47" fillId="0" borderId="42" xfId="0" applyFont="1" applyBorder="1"/>
    <xf numFmtId="0" fontId="47" fillId="0" borderId="43" xfId="0" applyFont="1" applyBorder="1"/>
    <xf numFmtId="0" fontId="46" fillId="0" borderId="12" xfId="0" applyFont="1" applyBorder="1"/>
    <xf numFmtId="1" fontId="46" fillId="0" borderId="1" xfId="0" applyNumberFormat="1" applyFont="1" applyBorder="1" applyAlignment="1">
      <alignment horizontal="center"/>
    </xf>
    <xf numFmtId="0" fontId="47" fillId="7" borderId="0" xfId="0" applyFont="1" applyFill="1"/>
    <xf numFmtId="1" fontId="35" fillId="0" borderId="1" xfId="0" applyNumberFormat="1" applyFont="1" applyBorder="1"/>
    <xf numFmtId="0" fontId="46" fillId="11" borderId="1" xfId="0" applyFont="1" applyFill="1" applyBorder="1" applyAlignment="1">
      <alignment wrapText="1"/>
    </xf>
    <xf numFmtId="0" fontId="17" fillId="26" borderId="32" xfId="0" applyFont="1" applyFill="1" applyBorder="1"/>
    <xf numFmtId="0" fontId="17" fillId="26" borderId="33" xfId="0" applyFont="1" applyFill="1" applyBorder="1"/>
    <xf numFmtId="0" fontId="17" fillId="26" borderId="34" xfId="0" applyFont="1" applyFill="1" applyBorder="1"/>
    <xf numFmtId="0" fontId="17" fillId="26" borderId="7" xfId="0" applyFont="1" applyFill="1" applyBorder="1"/>
    <xf numFmtId="0" fontId="17" fillId="26" borderId="4" xfId="0" applyFont="1" applyFill="1" applyBorder="1"/>
    <xf numFmtId="0" fontId="17" fillId="26" borderId="8" xfId="0" applyFont="1" applyFill="1" applyBorder="1"/>
    <xf numFmtId="0" fontId="17" fillId="0" borderId="13" xfId="0" applyFont="1" applyBorder="1"/>
    <xf numFmtId="0" fontId="16" fillId="7" borderId="1" xfId="0" applyFont="1" applyFill="1" applyBorder="1" applyAlignment="1">
      <alignment wrapText="1"/>
    </xf>
    <xf numFmtId="0" fontId="43" fillId="0" borderId="42" xfId="0" applyFont="1" applyBorder="1" applyAlignment="1">
      <alignment horizontal="center" vertical="center" wrapText="1"/>
    </xf>
    <xf numFmtId="0" fontId="16" fillId="27" borderId="1" xfId="0" applyFont="1" applyFill="1" applyBorder="1" applyAlignment="1">
      <alignment wrapText="1"/>
    </xf>
    <xf numFmtId="0" fontId="17" fillId="7" borderId="0" xfId="0" applyFont="1" applyFill="1"/>
    <xf numFmtId="0" fontId="10" fillId="0" borderId="20" xfId="0" applyFont="1" applyBorder="1" applyAlignment="1">
      <alignment horizontal="center"/>
    </xf>
    <xf numFmtId="0" fontId="46" fillId="11" borderId="19" xfId="0" applyFont="1" applyFill="1" applyBorder="1" applyAlignment="1">
      <alignment wrapText="1"/>
    </xf>
    <xf numFmtId="0" fontId="35" fillId="7" borderId="20" xfId="0" applyFont="1" applyFill="1" applyBorder="1"/>
    <xf numFmtId="1" fontId="35" fillId="7" borderId="20" xfId="0" applyNumberFormat="1" applyFont="1" applyFill="1" applyBorder="1"/>
    <xf numFmtId="0" fontId="46" fillId="11" borderId="21" xfId="0" applyFont="1" applyFill="1" applyBorder="1" applyAlignment="1">
      <alignment wrapText="1"/>
    </xf>
    <xf numFmtId="0" fontId="49" fillId="14" borderId="8" xfId="13" applyFont="1" applyBorder="1" applyAlignment="1">
      <alignment horizontal="center"/>
    </xf>
    <xf numFmtId="0" fontId="50" fillId="0" borderId="13" xfId="5" applyFont="1" applyFill="1" applyBorder="1"/>
    <xf numFmtId="0" fontId="16" fillId="7" borderId="0" xfId="0" applyFont="1" applyFill="1" applyAlignment="1">
      <alignment horizontal="left" vertical="center" wrapText="1"/>
    </xf>
    <xf numFmtId="0" fontId="17" fillId="26" borderId="7" xfId="0" applyFont="1" applyFill="1" applyBorder="1" applyAlignment="1">
      <alignment horizontal="center" vertical="center"/>
    </xf>
    <xf numFmtId="0" fontId="16" fillId="7" borderId="0" xfId="0" applyFont="1" applyFill="1" applyAlignment="1">
      <alignment wrapText="1"/>
    </xf>
    <xf numFmtId="0" fontId="13" fillId="18" borderId="0" xfId="5" applyFill="1" applyAlignment="1">
      <alignment vertical="center"/>
    </xf>
    <xf numFmtId="0" fontId="18" fillId="10" borderId="9" xfId="0" applyFont="1" applyFill="1" applyBorder="1" applyAlignment="1">
      <alignment horizontal="center" vertical="center" wrapText="1"/>
    </xf>
    <xf numFmtId="0" fontId="16" fillId="0" borderId="9" xfId="0" applyFont="1" applyBorder="1" applyAlignment="1">
      <alignment vertical="center" wrapText="1"/>
    </xf>
    <xf numFmtId="0" fontId="12" fillId="18" borderId="0" xfId="0" applyFont="1" applyFill="1" applyAlignment="1">
      <alignment vertical="center"/>
    </xf>
    <xf numFmtId="0" fontId="13" fillId="18" borderId="0" xfId="5" applyFill="1" applyBorder="1" applyAlignment="1">
      <alignment vertical="center"/>
    </xf>
    <xf numFmtId="0" fontId="29" fillId="0" borderId="0" xfId="14" applyFont="1"/>
    <xf numFmtId="0" fontId="52" fillId="29" borderId="73" xfId="14" applyFont="1" applyFill="1" applyBorder="1" applyAlignment="1">
      <alignment horizontal="center"/>
    </xf>
    <xf numFmtId="9" fontId="29" fillId="0" borderId="83" xfId="14" applyNumberFormat="1" applyFont="1" applyBorder="1"/>
    <xf numFmtId="0" fontId="10" fillId="0" borderId="17" xfId="0" applyFont="1" applyBorder="1" applyAlignment="1">
      <alignment vertical="center"/>
    </xf>
    <xf numFmtId="0" fontId="10" fillId="0" borderId="1" xfId="0" applyFont="1" applyBorder="1" applyAlignment="1">
      <alignment vertical="center"/>
    </xf>
    <xf numFmtId="0" fontId="10" fillId="0" borderId="5" xfId="0" applyFont="1" applyBorder="1" applyAlignment="1">
      <alignment vertical="center"/>
    </xf>
    <xf numFmtId="0" fontId="0" fillId="0" borderId="0" xfId="0" applyAlignment="1">
      <alignment vertical="center" wrapText="1"/>
    </xf>
    <xf numFmtId="0" fontId="0" fillId="0" borderId="25" xfId="0" applyBorder="1" applyAlignment="1">
      <alignment wrapText="1"/>
    </xf>
    <xf numFmtId="0" fontId="0" fillId="0" borderId="49" xfId="0" applyBorder="1"/>
    <xf numFmtId="0" fontId="0" fillId="0" borderId="20" xfId="0" applyBorder="1"/>
    <xf numFmtId="0" fontId="55" fillId="35" borderId="20" xfId="14" applyFont="1" applyFill="1" applyBorder="1" applyAlignment="1">
      <alignment horizontal="center"/>
    </xf>
    <xf numFmtId="0" fontId="0" fillId="0" borderId="12" xfId="0" applyBorder="1" applyAlignment="1">
      <alignment wrapText="1"/>
    </xf>
    <xf numFmtId="0" fontId="0" fillId="0" borderId="1" xfId="0" applyBorder="1" applyAlignment="1">
      <alignment wrapText="1"/>
    </xf>
    <xf numFmtId="0" fontId="43" fillId="30" borderId="56" xfId="14" applyFont="1" applyFill="1" applyBorder="1"/>
    <xf numFmtId="0" fontId="29" fillId="0" borderId="0" xfId="14" applyFont="1" applyAlignment="1">
      <alignment wrapText="1"/>
    </xf>
    <xf numFmtId="0" fontId="0" fillId="0" borderId="41" xfId="0" applyBorder="1" applyAlignment="1">
      <alignment wrapText="1"/>
    </xf>
    <xf numFmtId="0" fontId="10" fillId="0" borderId="1" xfId="0" applyFont="1" applyBorder="1"/>
    <xf numFmtId="0" fontId="10" fillId="0" borderId="1" xfId="0" applyFont="1" applyBorder="1" applyAlignment="1">
      <alignment horizontal="center"/>
    </xf>
    <xf numFmtId="9" fontId="0" fillId="0" borderId="1" xfId="0" applyNumberFormat="1" applyBorder="1" applyAlignment="1">
      <alignment horizontal="right"/>
    </xf>
    <xf numFmtId="0" fontId="0" fillId="0" borderId="1" xfId="0" applyBorder="1" applyAlignment="1">
      <alignment horizontal="right"/>
    </xf>
    <xf numFmtId="0" fontId="0" fillId="37" borderId="1" xfId="0" applyFill="1" applyBorder="1" applyAlignment="1">
      <alignment horizontal="right"/>
    </xf>
    <xf numFmtId="14" fontId="0" fillId="0" borderId="1" xfId="0" applyNumberFormat="1" applyBorder="1"/>
    <xf numFmtId="0" fontId="13" fillId="0" borderId="1" xfId="5" applyBorder="1" applyAlignment="1">
      <alignment horizontal="left" vertical="center"/>
    </xf>
    <xf numFmtId="0" fontId="13" fillId="0" borderId="1" xfId="5" applyBorder="1" applyAlignment="1">
      <alignment horizontal="left" vertical="center" wrapText="1"/>
    </xf>
    <xf numFmtId="0" fontId="16" fillId="0" borderId="5" xfId="0" applyFont="1" applyBorder="1" applyAlignment="1">
      <alignment horizontal="center" vertical="center" wrapText="1"/>
    </xf>
    <xf numFmtId="0" fontId="43" fillId="0" borderId="19" xfId="0" applyFont="1" applyBorder="1" applyAlignment="1">
      <alignment horizontal="center" vertical="center"/>
    </xf>
    <xf numFmtId="0" fontId="43" fillId="0" borderId="1" xfId="0" applyFont="1" applyBorder="1" applyAlignment="1">
      <alignment horizontal="left" vertical="center"/>
    </xf>
    <xf numFmtId="0" fontId="43" fillId="0" borderId="1" xfId="0" applyFont="1" applyBorder="1" applyAlignment="1">
      <alignment vertical="center" wrapText="1"/>
    </xf>
    <xf numFmtId="0" fontId="43" fillId="0" borderId="1" xfId="0" applyFont="1" applyBorder="1" applyAlignment="1">
      <alignment horizontal="center" vertical="center"/>
    </xf>
    <xf numFmtId="9" fontId="29" fillId="0" borderId="83" xfId="14" applyNumberFormat="1" applyFont="1" applyBorder="1" applyAlignment="1">
      <alignment vertical="center"/>
    </xf>
    <xf numFmtId="0" fontId="21" fillId="0" borderId="0" xfId="0" applyFont="1" applyAlignment="1">
      <alignment horizontal="center" vertical="top" wrapText="1"/>
    </xf>
    <xf numFmtId="14" fontId="16" fillId="0" borderId="1" xfId="0" applyNumberFormat="1" applyFont="1" applyBorder="1" applyAlignment="1">
      <alignment horizontal="center" vertical="center"/>
    </xf>
    <xf numFmtId="0" fontId="0" fillId="0" borderId="0" xfId="0" applyAlignment="1">
      <alignment horizontal="center"/>
    </xf>
    <xf numFmtId="0" fontId="16" fillId="7" borderId="0" xfId="0" applyFont="1" applyFill="1" applyAlignment="1">
      <alignment horizontal="center" wrapText="1"/>
    </xf>
    <xf numFmtId="0" fontId="16" fillId="7" borderId="0" xfId="0" applyFont="1" applyFill="1" applyAlignment="1">
      <alignment horizontal="center"/>
    </xf>
    <xf numFmtId="0" fontId="16" fillId="0" borderId="1" xfId="0" applyFont="1" applyBorder="1" applyAlignment="1">
      <alignment horizontal="center" vertical="center" wrapText="1"/>
    </xf>
    <xf numFmtId="0" fontId="13" fillId="0" borderId="1" xfId="5" applyBorder="1" applyAlignment="1">
      <alignment vertical="center" wrapText="1"/>
    </xf>
    <xf numFmtId="14" fontId="16" fillId="0" borderId="1" xfId="0" applyNumberFormat="1" applyFont="1" applyBorder="1" applyAlignment="1">
      <alignment horizontal="center" vertical="center" wrapText="1"/>
    </xf>
    <xf numFmtId="9" fontId="29" fillId="0" borderId="26" xfId="14" applyNumberFormat="1" applyFont="1" applyBorder="1" applyAlignment="1">
      <alignment vertical="center"/>
    </xf>
    <xf numFmtId="9" fontId="29" fillId="0" borderId="27" xfId="14" applyNumberFormat="1" applyFont="1" applyBorder="1" applyAlignment="1">
      <alignment vertical="center"/>
    </xf>
    <xf numFmtId="9" fontId="29" fillId="0" borderId="28" xfId="14" applyNumberFormat="1" applyFont="1" applyBorder="1" applyAlignment="1">
      <alignment vertical="center"/>
    </xf>
    <xf numFmtId="0" fontId="55" fillId="35" borderId="90" xfId="14" applyFont="1" applyFill="1" applyBorder="1" applyAlignment="1">
      <alignment horizontal="center" vertical="center"/>
    </xf>
    <xf numFmtId="9" fontId="29" fillId="0" borderId="91" xfId="14" applyNumberFormat="1" applyFont="1" applyBorder="1" applyAlignment="1">
      <alignment vertical="center"/>
    </xf>
    <xf numFmtId="14" fontId="29" fillId="0" borderId="3" xfId="14" applyNumberFormat="1" applyFont="1" applyBorder="1" applyAlignment="1">
      <alignment vertical="center"/>
    </xf>
    <xf numFmtId="1" fontId="53" fillId="35" borderId="3" xfId="14" applyNumberFormat="1" applyFont="1" applyFill="1" applyBorder="1" applyAlignment="1">
      <alignment horizontal="center" vertical="center"/>
    </xf>
    <xf numFmtId="9" fontId="29" fillId="0" borderId="92" xfId="14" applyNumberFormat="1" applyFont="1" applyBorder="1" applyAlignment="1">
      <alignment vertical="center"/>
    </xf>
    <xf numFmtId="0" fontId="53" fillId="31" borderId="77" xfId="14" applyFont="1" applyFill="1" applyBorder="1" applyAlignment="1">
      <alignment horizontal="center" vertical="center"/>
    </xf>
    <xf numFmtId="0" fontId="53" fillId="32" borderId="77" xfId="14" applyFont="1" applyFill="1" applyBorder="1" applyAlignment="1">
      <alignment horizontal="center" vertical="center"/>
    </xf>
    <xf numFmtId="0" fontId="53" fillId="33" borderId="77" xfId="14" applyFont="1" applyFill="1" applyBorder="1" applyAlignment="1">
      <alignment horizontal="center" vertical="center"/>
    </xf>
    <xf numFmtId="0" fontId="53" fillId="34" borderId="0" xfId="14" applyFont="1" applyFill="1" applyAlignment="1">
      <alignment horizontal="center" vertical="center"/>
    </xf>
    <xf numFmtId="0" fontId="54" fillId="29" borderId="93" xfId="14" applyFont="1" applyFill="1" applyBorder="1" applyAlignment="1">
      <alignment horizontal="center" vertical="center"/>
    </xf>
    <xf numFmtId="0" fontId="29" fillId="0" borderId="90" xfId="14" applyFont="1" applyBorder="1" applyAlignment="1">
      <alignment horizontal="center" vertical="center"/>
    </xf>
    <xf numFmtId="0" fontId="29" fillId="0" borderId="94" xfId="14" applyFont="1" applyBorder="1" applyAlignment="1">
      <alignment horizontal="center" vertical="center"/>
    </xf>
    <xf numFmtId="0" fontId="55" fillId="35" borderId="95" xfId="14" applyFont="1" applyFill="1" applyBorder="1" applyAlignment="1">
      <alignment horizontal="center" vertical="center"/>
    </xf>
    <xf numFmtId="0" fontId="29" fillId="0" borderId="94" xfId="14" applyFont="1" applyBorder="1" applyAlignment="1">
      <alignment vertical="center"/>
    </xf>
    <xf numFmtId="9" fontId="29" fillId="0" borderId="96" xfId="14" applyNumberFormat="1" applyFont="1" applyBorder="1" applyAlignment="1">
      <alignment vertical="center"/>
    </xf>
    <xf numFmtId="0" fontId="29" fillId="0" borderId="97" xfId="14" applyFont="1" applyBorder="1" applyAlignment="1">
      <alignment vertical="center"/>
    </xf>
    <xf numFmtId="9" fontId="29" fillId="0" borderId="95" xfId="14" applyNumberFormat="1" applyFont="1" applyBorder="1" applyAlignment="1">
      <alignment vertical="center"/>
    </xf>
    <xf numFmtId="9" fontId="53" fillId="35" borderId="36" xfId="14" applyNumberFormat="1" applyFont="1" applyFill="1" applyBorder="1" applyAlignment="1">
      <alignment horizontal="center" vertical="center"/>
    </xf>
    <xf numFmtId="0" fontId="29" fillId="0" borderId="3" xfId="14" applyFont="1" applyBorder="1" applyAlignment="1">
      <alignment vertical="center"/>
    </xf>
    <xf numFmtId="0" fontId="52" fillId="0" borderId="82" xfId="14" applyFont="1" applyBorder="1"/>
    <xf numFmtId="9" fontId="0" fillId="0" borderId="87" xfId="2" applyFont="1" applyBorder="1"/>
    <xf numFmtId="9" fontId="0" fillId="0" borderId="42" xfId="2" applyFont="1" applyBorder="1"/>
    <xf numFmtId="0" fontId="6" fillId="2" borderId="84" xfId="3" applyFont="1" applyFill="1" applyBorder="1" applyAlignment="1">
      <alignment horizontal="center" vertical="center"/>
    </xf>
    <xf numFmtId="0" fontId="6" fillId="3" borderId="84" xfId="3" applyFont="1" applyFill="1" applyBorder="1" applyAlignment="1">
      <alignment horizontal="center" vertical="center"/>
    </xf>
    <xf numFmtId="0" fontId="6" fillId="4" borderId="84" xfId="3" applyFont="1" applyFill="1" applyBorder="1" applyAlignment="1">
      <alignment horizontal="center" vertical="center"/>
    </xf>
    <xf numFmtId="0" fontId="6" fillId="5" borderId="0" xfId="3" applyFont="1" applyFill="1" applyAlignment="1">
      <alignment horizontal="center" vertical="center"/>
    </xf>
    <xf numFmtId="0" fontId="7" fillId="9" borderId="32" xfId="3" applyFont="1" applyFill="1" applyBorder="1" applyAlignment="1">
      <alignment horizontal="center" vertical="center"/>
    </xf>
    <xf numFmtId="0" fontId="0" fillId="0" borderId="38" xfId="0" applyBorder="1" applyAlignment="1">
      <alignment horizontal="justify"/>
    </xf>
    <xf numFmtId="0" fontId="8" fillId="6" borderId="18" xfId="3" applyFont="1" applyFill="1" applyBorder="1" applyAlignment="1">
      <alignment horizontal="center"/>
    </xf>
    <xf numFmtId="0" fontId="8" fillId="6" borderId="20" xfId="3" applyFont="1" applyFill="1" applyBorder="1" applyAlignment="1">
      <alignment horizontal="center"/>
    </xf>
    <xf numFmtId="0" fontId="8" fillId="6" borderId="16" xfId="3" applyFont="1" applyFill="1" applyBorder="1" applyAlignment="1">
      <alignment horizontal="center"/>
    </xf>
    <xf numFmtId="0" fontId="8" fillId="6" borderId="19" xfId="3" applyFont="1" applyFill="1" applyBorder="1" applyAlignment="1">
      <alignment horizontal="center"/>
    </xf>
    <xf numFmtId="9" fontId="0" fillId="0" borderId="30" xfId="2" applyFont="1" applyBorder="1"/>
    <xf numFmtId="9" fontId="0" fillId="0" borderId="43" xfId="2" applyFont="1" applyBorder="1"/>
    <xf numFmtId="9" fontId="2" fillId="7" borderId="24" xfId="2" applyFont="1" applyFill="1" applyBorder="1" applyAlignment="1">
      <alignment horizontal="center"/>
    </xf>
    <xf numFmtId="9" fontId="2" fillId="7" borderId="25" xfId="2" applyFont="1" applyFill="1" applyBorder="1" applyAlignment="1">
      <alignment horizontal="center"/>
    </xf>
    <xf numFmtId="1" fontId="2" fillId="7" borderId="24" xfId="1" applyNumberFormat="1" applyFont="1" applyFill="1" applyBorder="1" applyAlignment="1">
      <alignment horizontal="center"/>
    </xf>
    <xf numFmtId="1" fontId="2" fillId="7" borderId="25" xfId="1" applyNumberFormat="1" applyFont="1" applyFill="1" applyBorder="1" applyAlignment="1">
      <alignment horizontal="center"/>
    </xf>
    <xf numFmtId="14" fontId="0" fillId="0" borderId="24" xfId="0" applyNumberFormat="1" applyBorder="1"/>
    <xf numFmtId="14" fontId="0" fillId="0" borderId="25" xfId="0" applyNumberFormat="1" applyBorder="1"/>
    <xf numFmtId="0" fontId="43" fillId="20" borderId="1" xfId="0" applyFont="1" applyFill="1" applyBorder="1" applyAlignment="1">
      <alignment vertical="center" wrapText="1"/>
    </xf>
    <xf numFmtId="0" fontId="43" fillId="17" borderId="1" xfId="0" applyFont="1" applyFill="1" applyBorder="1" applyAlignment="1">
      <alignment vertical="center" wrapText="1"/>
    </xf>
    <xf numFmtId="0" fontId="43" fillId="39" borderId="1" xfId="0" applyFont="1" applyFill="1" applyBorder="1" applyAlignment="1">
      <alignment vertical="center" wrapText="1"/>
    </xf>
    <xf numFmtId="0" fontId="43" fillId="40" borderId="1" xfId="0" applyFont="1" applyFill="1" applyBorder="1" applyAlignment="1">
      <alignment vertical="center" wrapText="1"/>
    </xf>
    <xf numFmtId="0" fontId="43" fillId="36" borderId="1" xfId="0" applyFont="1" applyFill="1" applyBorder="1" applyAlignment="1">
      <alignment vertical="center" wrapText="1"/>
    </xf>
    <xf numFmtId="0" fontId="63" fillId="0" borderId="0" xfId="0" applyFont="1"/>
    <xf numFmtId="9" fontId="63" fillId="0" borderId="0" xfId="0" applyNumberFormat="1" applyFont="1"/>
    <xf numFmtId="0" fontId="29" fillId="0" borderId="3" xfId="14" applyFont="1" applyBorder="1" applyAlignment="1">
      <alignment horizontal="justify" vertical="center"/>
    </xf>
    <xf numFmtId="166" fontId="22" fillId="0" borderId="0" xfId="0" applyNumberFormat="1" applyFont="1" applyAlignment="1">
      <alignment horizontal="center" vertical="center" wrapText="1"/>
    </xf>
    <xf numFmtId="0" fontId="21" fillId="0" borderId="0" xfId="0" applyFont="1" applyAlignment="1">
      <alignment horizontal="left" vertical="top" wrapText="1"/>
    </xf>
    <xf numFmtId="0" fontId="24" fillId="0" borderId="0" xfId="0" applyFont="1" applyAlignment="1">
      <alignment horizontal="left" vertical="center" wrapText="1"/>
    </xf>
    <xf numFmtId="0" fontId="23" fillId="3" borderId="3" xfId="0" applyFont="1" applyFill="1" applyBorder="1" applyAlignment="1">
      <alignment horizontal="left" vertical="top" wrapText="1"/>
    </xf>
    <xf numFmtId="0" fontId="21" fillId="0" borderId="3" xfId="0" applyFont="1" applyBorder="1" applyAlignment="1">
      <alignment horizontal="left" vertical="top" wrapText="1"/>
    </xf>
    <xf numFmtId="0" fontId="59" fillId="0" borderId="42" xfId="0" applyFont="1" applyBorder="1" applyAlignment="1">
      <alignment horizontal="center" vertical="center" wrapText="1"/>
    </xf>
    <xf numFmtId="0" fontId="13" fillId="0" borderId="1" xfId="5" applyFill="1" applyBorder="1" applyAlignment="1">
      <alignment horizontal="left" vertical="center" wrapText="1"/>
    </xf>
    <xf numFmtId="0" fontId="64" fillId="0" borderId="1" xfId="0" applyFont="1" applyBorder="1" applyAlignment="1">
      <alignment horizontal="left" vertical="center" wrapText="1"/>
    </xf>
    <xf numFmtId="0" fontId="64" fillId="0" borderId="19" xfId="0" applyFont="1" applyBorder="1" applyAlignment="1">
      <alignment horizontal="center" vertical="center"/>
    </xf>
    <xf numFmtId="0" fontId="64" fillId="0" borderId="1" xfId="0" applyFont="1" applyBorder="1" applyAlignment="1">
      <alignment horizontal="center" vertical="center"/>
    </xf>
    <xf numFmtId="0" fontId="64" fillId="0" borderId="42" xfId="0" applyFont="1" applyBorder="1" applyAlignment="1">
      <alignment horizontal="center" vertical="center"/>
    </xf>
    <xf numFmtId="0" fontId="64" fillId="0" borderId="1" xfId="0" applyFont="1" applyBorder="1" applyAlignment="1">
      <alignment horizontal="left" vertical="top"/>
    </xf>
    <xf numFmtId="0" fontId="64" fillId="0" borderId="20" xfId="0" applyFont="1" applyBorder="1" applyAlignment="1">
      <alignment horizontal="left" vertical="top"/>
    </xf>
    <xf numFmtId="0" fontId="64" fillId="0" borderId="1" xfId="0" applyFont="1" applyBorder="1" applyAlignment="1">
      <alignment horizontal="center" vertical="center" wrapText="1"/>
    </xf>
    <xf numFmtId="0" fontId="64" fillId="0" borderId="19" xfId="0" applyFont="1" applyBorder="1" applyAlignment="1">
      <alignment horizontal="left" vertical="top"/>
    </xf>
    <xf numFmtId="0" fontId="64" fillId="0" borderId="31" xfId="0" applyFont="1" applyBorder="1" applyAlignment="1">
      <alignment horizontal="center" vertical="center"/>
    </xf>
    <xf numFmtId="0" fontId="64" fillId="0" borderId="9" xfId="0" applyFont="1" applyBorder="1" applyAlignment="1">
      <alignment horizontal="center" vertical="center"/>
    </xf>
    <xf numFmtId="0" fontId="64" fillId="0" borderId="86" xfId="0" applyFont="1" applyBorder="1" applyAlignment="1">
      <alignment horizontal="center" vertical="center"/>
    </xf>
    <xf numFmtId="0" fontId="64" fillId="0" borderId="31" xfId="0" applyFont="1" applyBorder="1" applyAlignment="1">
      <alignment horizontal="left" vertical="top"/>
    </xf>
    <xf numFmtId="0" fontId="64" fillId="0" borderId="9" xfId="0" applyFont="1" applyBorder="1" applyAlignment="1">
      <alignment horizontal="left" vertical="top"/>
    </xf>
    <xf numFmtId="0" fontId="64" fillId="0" borderId="39" xfId="0" applyFont="1" applyBorder="1" applyAlignment="1">
      <alignment horizontal="left" vertical="top"/>
    </xf>
    <xf numFmtId="0" fontId="64" fillId="0" borderId="19" xfId="0" applyFont="1" applyBorder="1" applyAlignment="1">
      <alignment horizontal="center" vertical="center" wrapText="1"/>
    </xf>
    <xf numFmtId="14" fontId="64" fillId="0" borderId="19" xfId="0" applyNumberFormat="1" applyFont="1" applyBorder="1" applyAlignment="1">
      <alignment horizontal="left" vertical="top"/>
    </xf>
    <xf numFmtId="166" fontId="65" fillId="0" borderId="19" xfId="0" applyNumberFormat="1" applyFont="1" applyBorder="1" applyAlignment="1">
      <alignment horizontal="center" vertical="center" wrapText="1"/>
    </xf>
    <xf numFmtId="166" fontId="65" fillId="0" borderId="1" xfId="0" applyNumberFormat="1" applyFont="1" applyBorder="1" applyAlignment="1">
      <alignment horizontal="center" vertical="center" wrapText="1"/>
    </xf>
    <xf numFmtId="0" fontId="64" fillId="0" borderId="42" xfId="0" applyFont="1" applyBorder="1" applyAlignment="1">
      <alignment horizontal="left" vertical="top"/>
    </xf>
    <xf numFmtId="0" fontId="64" fillId="0" borderId="9" xfId="0" applyFont="1" applyBorder="1" applyAlignment="1">
      <alignment horizontal="justify" vertical="center" wrapText="1"/>
    </xf>
    <xf numFmtId="0" fontId="64" fillId="0" borderId="20" xfId="0" applyFont="1" applyBorder="1" applyAlignment="1">
      <alignment horizontal="center" vertical="center"/>
    </xf>
    <xf numFmtId="0" fontId="29" fillId="0" borderId="3" xfId="14" applyFont="1" applyBorder="1" applyAlignment="1">
      <alignment vertical="center" wrapText="1"/>
    </xf>
    <xf numFmtId="0" fontId="64" fillId="0" borderId="12" xfId="0" applyFont="1" applyBorder="1" applyAlignment="1">
      <alignment horizontal="left" vertical="center" wrapText="1"/>
    </xf>
    <xf numFmtId="0" fontId="23" fillId="39" borderId="3" xfId="0" applyFont="1" applyFill="1" applyBorder="1" applyAlignment="1">
      <alignment horizontal="left" vertical="top" wrapText="1"/>
    </xf>
    <xf numFmtId="0" fontId="23" fillId="2" borderId="3" xfId="0" applyFont="1" applyFill="1" applyBorder="1" applyAlignment="1">
      <alignment horizontal="left" vertical="top" wrapText="1"/>
    </xf>
    <xf numFmtId="0" fontId="21" fillId="7" borderId="0" xfId="0" applyFont="1" applyFill="1" applyAlignment="1">
      <alignment vertical="center"/>
    </xf>
    <xf numFmtId="0" fontId="21" fillId="0" borderId="1" xfId="0" applyFont="1" applyBorder="1" applyAlignment="1">
      <alignment horizontal="center" vertical="center"/>
    </xf>
    <xf numFmtId="0" fontId="68" fillId="0" borderId="0" xfId="0" applyFont="1" applyAlignment="1">
      <alignment horizontal="left" vertical="top" wrapText="1"/>
    </xf>
    <xf numFmtId="0" fontId="64" fillId="17" borderId="103" xfId="0" applyFont="1" applyFill="1" applyBorder="1" applyAlignment="1">
      <alignment horizontal="left" vertical="top"/>
    </xf>
    <xf numFmtId="0" fontId="65" fillId="0" borderId="12" xfId="0" applyFont="1" applyBorder="1" applyAlignment="1">
      <alignment horizontal="left" vertical="center"/>
    </xf>
    <xf numFmtId="0" fontId="65" fillId="0" borderId="1" xfId="0" applyFont="1" applyBorder="1" applyAlignment="1">
      <alignment horizontal="left" vertical="center" wrapText="1"/>
    </xf>
    <xf numFmtId="0" fontId="21" fillId="0" borderId="6" xfId="0" applyFont="1" applyBorder="1" applyAlignment="1">
      <alignment horizontal="center" vertical="center"/>
    </xf>
    <xf numFmtId="0" fontId="64" fillId="0" borderId="6" xfId="0" applyFont="1" applyBorder="1" applyAlignment="1">
      <alignment horizontal="left" vertical="top"/>
    </xf>
    <xf numFmtId="0" fontId="64" fillId="0" borderId="9" xfId="0" applyFont="1" applyBorder="1" applyAlignment="1">
      <alignment horizontal="left" vertical="center" wrapText="1"/>
    </xf>
    <xf numFmtId="0" fontId="13" fillId="0" borderId="5" xfId="5" applyBorder="1" applyAlignment="1">
      <alignment vertical="center" wrapText="1"/>
    </xf>
    <xf numFmtId="0" fontId="29" fillId="3" borderId="3" xfId="14" applyFont="1" applyFill="1" applyBorder="1" applyAlignment="1">
      <alignment vertical="center" wrapText="1"/>
    </xf>
    <xf numFmtId="0" fontId="29" fillId="3" borderId="90" xfId="14" applyFont="1" applyFill="1" applyBorder="1" applyAlignment="1">
      <alignment horizontal="center" vertical="center"/>
    </xf>
    <xf numFmtId="0" fontId="29" fillId="3" borderId="94" xfId="14" applyFont="1" applyFill="1" applyBorder="1" applyAlignment="1">
      <alignment horizontal="center" vertical="center"/>
    </xf>
    <xf numFmtId="0" fontId="55" fillId="42" borderId="95" xfId="14" applyFont="1" applyFill="1" applyBorder="1" applyAlignment="1">
      <alignment horizontal="center" vertical="center"/>
    </xf>
    <xf numFmtId="0" fontId="69" fillId="0" borderId="42" xfId="0" applyFont="1" applyBorder="1" applyAlignment="1">
      <alignment horizontal="center" vertical="center" wrapText="1"/>
    </xf>
    <xf numFmtId="0" fontId="64" fillId="0" borderId="1" xfId="0" applyFont="1" applyBorder="1" applyAlignment="1">
      <alignment horizontal="justify" vertical="center" wrapText="1"/>
    </xf>
    <xf numFmtId="0" fontId="64" fillId="0" borderId="12" xfId="0" applyFont="1" applyBorder="1" applyAlignment="1">
      <alignment horizontal="justify" vertical="center" wrapText="1"/>
    </xf>
    <xf numFmtId="0" fontId="64" fillId="0" borderId="1" xfId="0" applyFont="1" applyBorder="1" applyAlignment="1">
      <alignment horizontal="justify" vertical="top" wrapText="1"/>
    </xf>
    <xf numFmtId="0" fontId="65" fillId="0" borderId="12" xfId="0" applyFont="1" applyBorder="1" applyAlignment="1">
      <alignment horizontal="left" vertical="center" wrapText="1"/>
    </xf>
    <xf numFmtId="0" fontId="65" fillId="0" borderId="17" xfId="0" applyFont="1" applyBorder="1" applyAlignment="1">
      <alignment horizontal="left" vertical="top"/>
    </xf>
    <xf numFmtId="0" fontId="65" fillId="0" borderId="18" xfId="0" applyFont="1" applyBorder="1" applyAlignment="1">
      <alignment horizontal="left" vertical="top"/>
    </xf>
    <xf numFmtId="0" fontId="64" fillId="0" borderId="108" xfId="0" applyFont="1" applyBorder="1" applyAlignment="1">
      <alignment horizontal="left" vertical="top"/>
    </xf>
    <xf numFmtId="0" fontId="64" fillId="0" borderId="49" xfId="0" applyFont="1" applyBorder="1" applyAlignment="1">
      <alignment horizontal="left" vertical="top"/>
    </xf>
    <xf numFmtId="165" fontId="65" fillId="0" borderId="29" xfId="0" applyNumberFormat="1" applyFont="1" applyBorder="1" applyAlignment="1">
      <alignment horizontal="center" vertical="center" wrapText="1"/>
    </xf>
    <xf numFmtId="165" fontId="65" fillId="0" borderId="6" xfId="0" applyNumberFormat="1" applyFont="1" applyBorder="1" applyAlignment="1">
      <alignment horizontal="center" vertical="center" wrapText="1"/>
    </xf>
    <xf numFmtId="0" fontId="64" fillId="0" borderId="89" xfId="0" applyFont="1" applyBorder="1" applyAlignment="1">
      <alignment horizontal="center" vertical="center"/>
    </xf>
    <xf numFmtId="0" fontId="16" fillId="0" borderId="0" xfId="0" pivotButton="1" applyFont="1"/>
    <xf numFmtId="0" fontId="16" fillId="0" borderId="0" xfId="0" applyFont="1" applyAlignment="1">
      <alignment horizontal="left"/>
    </xf>
    <xf numFmtId="0" fontId="40" fillId="11" borderId="30" xfId="0" applyFont="1" applyFill="1" applyBorder="1" applyAlignment="1">
      <alignment horizontal="center" vertical="center" wrapText="1"/>
    </xf>
    <xf numFmtId="0" fontId="57" fillId="24" borderId="40" xfId="0" applyFont="1" applyFill="1" applyBorder="1" applyAlignment="1">
      <alignment horizontal="center" vertical="center" textRotation="90" wrapText="1"/>
    </xf>
    <xf numFmtId="0" fontId="57" fillId="24" borderId="0" xfId="0" applyFont="1" applyFill="1" applyAlignment="1">
      <alignment horizontal="center" vertical="center" textRotation="90" wrapText="1"/>
    </xf>
    <xf numFmtId="0" fontId="64" fillId="0" borderId="6" xfId="0" applyFont="1" applyBorder="1" applyAlignment="1">
      <alignment horizontal="justify" vertical="center" wrapText="1"/>
    </xf>
    <xf numFmtId="0" fontId="64" fillId="21" borderId="9" xfId="0" applyFont="1" applyFill="1" applyBorder="1" applyAlignment="1">
      <alignment horizontal="left" vertical="top"/>
    </xf>
    <xf numFmtId="0" fontId="64" fillId="21" borderId="1" xfId="0" applyFont="1" applyFill="1" applyBorder="1" applyAlignment="1">
      <alignment horizontal="left" vertical="top"/>
    </xf>
    <xf numFmtId="14" fontId="64" fillId="21" borderId="19" xfId="0" applyNumberFormat="1" applyFont="1" applyFill="1" applyBorder="1" applyAlignment="1">
      <alignment horizontal="left" vertical="top"/>
    </xf>
    <xf numFmtId="0" fontId="64" fillId="21" borderId="20" xfId="0" applyFont="1" applyFill="1" applyBorder="1" applyAlignment="1">
      <alignment horizontal="left" vertical="top"/>
    </xf>
    <xf numFmtId="0" fontId="64" fillId="21" borderId="6" xfId="0" applyFont="1" applyFill="1" applyBorder="1" applyAlignment="1">
      <alignment horizontal="left" vertical="top"/>
    </xf>
    <xf numFmtId="0" fontId="64" fillId="21" borderId="49" xfId="0" applyFont="1" applyFill="1" applyBorder="1" applyAlignment="1">
      <alignment horizontal="left" vertical="top"/>
    </xf>
    <xf numFmtId="0" fontId="64" fillId="21" borderId="48" xfId="0" applyFont="1" applyFill="1" applyBorder="1" applyAlignment="1">
      <alignment horizontal="left" vertical="top"/>
    </xf>
    <xf numFmtId="0" fontId="64" fillId="21" borderId="42" xfId="0" applyFont="1" applyFill="1" applyBorder="1" applyAlignment="1">
      <alignment horizontal="left" vertical="top"/>
    </xf>
    <xf numFmtId="0" fontId="23" fillId="4" borderId="3" xfId="0" applyFont="1" applyFill="1" applyBorder="1" applyAlignment="1">
      <alignment horizontal="left" vertical="top" wrapText="1"/>
    </xf>
    <xf numFmtId="0" fontId="23" fillId="0" borderId="0" xfId="0" applyFont="1" applyAlignment="1">
      <alignment horizontal="left" vertical="top" wrapText="1"/>
    </xf>
    <xf numFmtId="0" fontId="43" fillId="0" borderId="88" xfId="0" applyFont="1" applyBorder="1"/>
    <xf numFmtId="0" fontId="43" fillId="0" borderId="9" xfId="0" applyFont="1" applyBorder="1"/>
    <xf numFmtId="0" fontId="43" fillId="0" borderId="9" xfId="0" applyFont="1" applyBorder="1" applyAlignment="1">
      <alignment horizontal="center"/>
    </xf>
    <xf numFmtId="0" fontId="43" fillId="0" borderId="9" xfId="0" applyFont="1" applyBorder="1" applyAlignment="1">
      <alignment horizontal="center" vertical="center" wrapText="1"/>
    </xf>
    <xf numFmtId="0" fontId="43" fillId="0" borderId="86" xfId="0" applyFont="1" applyBorder="1" applyAlignment="1">
      <alignment horizontal="center" vertical="center" wrapText="1"/>
    </xf>
    <xf numFmtId="0" fontId="43" fillId="3" borderId="1" xfId="0" applyFont="1" applyFill="1" applyBorder="1" applyAlignment="1">
      <alignment horizontal="center"/>
    </xf>
    <xf numFmtId="0" fontId="43" fillId="3" borderId="1" xfId="0" applyFont="1" applyFill="1" applyBorder="1" applyAlignment="1">
      <alignment horizontal="center" vertical="center"/>
    </xf>
    <xf numFmtId="0" fontId="43" fillId="0" borderId="0" xfId="0" applyFont="1" applyAlignment="1">
      <alignment horizontal="center"/>
    </xf>
    <xf numFmtId="0" fontId="43" fillId="3" borderId="0" xfId="0" applyFont="1" applyFill="1" applyAlignment="1">
      <alignment horizontal="center"/>
    </xf>
    <xf numFmtId="0" fontId="43" fillId="4" borderId="1" xfId="0" applyFont="1" applyFill="1" applyBorder="1" applyAlignment="1">
      <alignment horizontal="center" vertical="center"/>
    </xf>
    <xf numFmtId="0" fontId="43" fillId="3" borderId="1" xfId="0" applyFont="1" applyFill="1" applyBorder="1" applyAlignment="1">
      <alignment horizontal="center" vertical="center" wrapText="1"/>
    </xf>
    <xf numFmtId="1" fontId="35" fillId="0" borderId="20" xfId="0" applyNumberFormat="1" applyFont="1" applyBorder="1"/>
    <xf numFmtId="169" fontId="35" fillId="3" borderId="0" xfId="18" applyNumberFormat="1" applyFont="1" applyFill="1"/>
    <xf numFmtId="0" fontId="43" fillId="2" borderId="1" xfId="0" applyFont="1" applyFill="1" applyBorder="1" applyAlignment="1">
      <alignment horizontal="center" vertical="center"/>
    </xf>
    <xf numFmtId="0" fontId="43" fillId="2" borderId="1" xfId="0" applyFont="1" applyFill="1" applyBorder="1" applyAlignment="1">
      <alignment horizontal="center" vertical="center" wrapText="1"/>
    </xf>
    <xf numFmtId="0" fontId="43" fillId="2" borderId="42" xfId="0" applyFont="1" applyFill="1" applyBorder="1" applyAlignment="1">
      <alignment horizontal="center" vertical="center" wrapText="1"/>
    </xf>
    <xf numFmtId="0" fontId="43" fillId="3" borderId="6" xfId="0" applyFont="1" applyFill="1" applyBorder="1" applyAlignment="1">
      <alignment horizontal="center" vertical="center" wrapText="1"/>
    </xf>
    <xf numFmtId="14" fontId="64" fillId="38" borderId="19" xfId="0" applyNumberFormat="1" applyFont="1" applyFill="1" applyBorder="1" applyAlignment="1">
      <alignment horizontal="left" vertical="top"/>
    </xf>
    <xf numFmtId="166" fontId="65" fillId="0" borderId="31" xfId="0" applyNumberFormat="1" applyFont="1" applyBorder="1" applyAlignment="1">
      <alignment horizontal="center" vertical="center" wrapText="1"/>
    </xf>
    <xf numFmtId="166" fontId="65" fillId="0" borderId="9" xfId="0" applyNumberFormat="1" applyFont="1" applyBorder="1" applyAlignment="1">
      <alignment horizontal="center" vertical="center" wrapText="1"/>
    </xf>
    <xf numFmtId="14" fontId="64" fillId="38" borderId="31" xfId="0" applyNumberFormat="1" applyFont="1" applyFill="1" applyBorder="1" applyAlignment="1">
      <alignment horizontal="left" vertical="top"/>
    </xf>
    <xf numFmtId="0" fontId="64" fillId="0" borderId="12" xfId="0" applyFont="1" applyBorder="1" applyAlignment="1">
      <alignment horizontal="justify" vertical="justify" wrapText="1"/>
    </xf>
    <xf numFmtId="0" fontId="64" fillId="0" borderId="1" xfId="0" applyFont="1" applyBorder="1" applyAlignment="1">
      <alignment horizontal="justify" vertical="justify" wrapText="1"/>
    </xf>
    <xf numFmtId="0" fontId="64" fillId="0" borderId="48" xfId="0" applyFont="1" applyBorder="1" applyAlignment="1">
      <alignment horizontal="center" vertical="center"/>
    </xf>
    <xf numFmtId="0" fontId="64" fillId="0" borderId="5" xfId="0" applyFont="1" applyBorder="1" applyAlignment="1">
      <alignment horizontal="left" vertical="top"/>
    </xf>
    <xf numFmtId="0" fontId="64" fillId="3" borderId="6" xfId="0" applyFont="1" applyFill="1" applyBorder="1" applyAlignment="1">
      <alignment horizontal="left" vertical="top"/>
    </xf>
    <xf numFmtId="0" fontId="21" fillId="0" borderId="1" xfId="0" applyFont="1" applyFill="1" applyBorder="1" applyAlignment="1">
      <alignment horizontal="center" vertical="center"/>
    </xf>
    <xf numFmtId="0" fontId="64" fillId="0" borderId="31" xfId="0" applyFont="1" applyFill="1" applyBorder="1" applyAlignment="1">
      <alignment horizontal="left" vertical="top"/>
    </xf>
    <xf numFmtId="0" fontId="64" fillId="0" borderId="9" xfId="0" applyFont="1" applyFill="1" applyBorder="1" applyAlignment="1">
      <alignment horizontal="left" vertical="top"/>
    </xf>
    <xf numFmtId="0" fontId="64" fillId="0" borderId="1" xfId="0" applyFont="1" applyFill="1" applyBorder="1" applyAlignment="1">
      <alignment horizontal="left" vertical="center" wrapText="1"/>
    </xf>
    <xf numFmtId="0" fontId="64" fillId="0" borderId="29" xfId="0" applyFont="1" applyFill="1" applyBorder="1" applyAlignment="1">
      <alignment horizontal="center" vertical="center"/>
    </xf>
    <xf numFmtId="0" fontId="64" fillId="0" borderId="6" xfId="0" applyFont="1" applyFill="1" applyBorder="1" applyAlignment="1">
      <alignment horizontal="center" vertical="center"/>
    </xf>
    <xf numFmtId="0" fontId="64" fillId="0" borderId="89" xfId="0" applyFont="1" applyFill="1" applyBorder="1" applyAlignment="1">
      <alignment horizontal="center" vertical="center"/>
    </xf>
    <xf numFmtId="0" fontId="64" fillId="0" borderId="12" xfId="0" applyFont="1" applyFill="1" applyBorder="1" applyAlignment="1">
      <alignment horizontal="justify" vertical="center" wrapText="1"/>
    </xf>
    <xf numFmtId="0" fontId="64" fillId="0" borderId="1" xfId="0" applyFont="1" applyFill="1" applyBorder="1" applyAlignment="1">
      <alignment horizontal="left" vertical="top"/>
    </xf>
    <xf numFmtId="14" fontId="70" fillId="0" borderId="19" xfId="0" applyNumberFormat="1" applyFont="1" applyFill="1" applyBorder="1" applyAlignment="1">
      <alignment horizontal="left" vertical="top"/>
    </xf>
    <xf numFmtId="0" fontId="64" fillId="3" borderId="1" xfId="0" applyFont="1" applyFill="1" applyBorder="1" applyAlignment="1">
      <alignment horizontal="left" vertical="top"/>
    </xf>
    <xf numFmtId="0" fontId="64" fillId="0" borderId="42" xfId="0" applyFont="1" applyFill="1" applyBorder="1" applyAlignment="1">
      <alignment horizontal="left" vertical="center" wrapText="1"/>
    </xf>
    <xf numFmtId="0" fontId="64" fillId="43" borderId="1" xfId="0" applyFont="1" applyFill="1" applyBorder="1" applyAlignment="1">
      <alignment horizontal="left" vertical="top"/>
    </xf>
    <xf numFmtId="14" fontId="64" fillId="0" borderId="19" xfId="0" applyNumberFormat="1" applyFont="1" applyFill="1" applyBorder="1" applyAlignment="1">
      <alignment horizontal="left" vertical="top"/>
    </xf>
    <xf numFmtId="14" fontId="64" fillId="5" borderId="19" xfId="0" applyNumberFormat="1" applyFont="1" applyFill="1" applyBorder="1" applyAlignment="1">
      <alignment horizontal="left" vertical="top"/>
    </xf>
    <xf numFmtId="0" fontId="64" fillId="5" borderId="29" xfId="0" applyFont="1" applyFill="1" applyBorder="1" applyAlignment="1">
      <alignment horizontal="left" vertical="top"/>
    </xf>
    <xf numFmtId="14" fontId="64" fillId="43" borderId="19" xfId="0" applyNumberFormat="1" applyFont="1" applyFill="1" applyBorder="1" applyAlignment="1">
      <alignment horizontal="left" vertical="top"/>
    </xf>
    <xf numFmtId="0" fontId="64" fillId="5" borderId="19" xfId="0" applyFont="1" applyFill="1" applyBorder="1" applyAlignment="1">
      <alignment horizontal="left" vertical="top"/>
    </xf>
    <xf numFmtId="0" fontId="65" fillId="0" borderId="12" xfId="0" applyFont="1" applyBorder="1" applyAlignment="1">
      <alignment horizontal="justify" vertical="center" wrapText="1"/>
    </xf>
    <xf numFmtId="14" fontId="64" fillId="0" borderId="31" xfId="0" applyNumberFormat="1" applyFont="1" applyFill="1" applyBorder="1" applyAlignment="1">
      <alignment horizontal="left" vertical="top"/>
    </xf>
    <xf numFmtId="0" fontId="65" fillId="0" borderId="12" xfId="0" applyFont="1" applyFill="1" applyBorder="1" applyAlignment="1">
      <alignment horizontal="left" vertical="center" wrapText="1"/>
    </xf>
    <xf numFmtId="0" fontId="21" fillId="0" borderId="10" xfId="0" applyFont="1" applyBorder="1" applyAlignment="1">
      <alignment horizontal="center" vertical="center"/>
    </xf>
    <xf numFmtId="0" fontId="64" fillId="0" borderId="88" xfId="0" applyFont="1" applyFill="1" applyBorder="1" applyAlignment="1">
      <alignment horizontal="left" vertical="center" wrapText="1"/>
    </xf>
    <xf numFmtId="0" fontId="64" fillId="0" borderId="48" xfId="0" applyFont="1" applyBorder="1" applyAlignment="1">
      <alignment horizontal="left" vertical="top"/>
    </xf>
    <xf numFmtId="14" fontId="64" fillId="38" borderId="29" xfId="0" applyNumberFormat="1" applyFont="1" applyFill="1" applyBorder="1" applyAlignment="1">
      <alignment horizontal="left" vertical="top"/>
    </xf>
    <xf numFmtId="0" fontId="64" fillId="5" borderId="39" xfId="0" applyFont="1" applyFill="1" applyBorder="1" applyAlignment="1">
      <alignment horizontal="left" vertical="top"/>
    </xf>
    <xf numFmtId="0" fontId="64" fillId="0" borderId="10" xfId="0" applyFont="1" applyBorder="1" applyAlignment="1">
      <alignment horizontal="left" vertical="top"/>
    </xf>
    <xf numFmtId="0" fontId="64" fillId="5" borderId="16" xfId="0" applyFont="1" applyFill="1" applyBorder="1" applyAlignment="1">
      <alignment horizontal="left" vertical="top"/>
    </xf>
    <xf numFmtId="0" fontId="65" fillId="0" borderId="17" xfId="0" applyFont="1" applyFill="1" applyBorder="1" applyAlignment="1">
      <alignment horizontal="left" vertical="top"/>
    </xf>
    <xf numFmtId="0" fontId="64" fillId="0" borderId="22" xfId="0" applyFont="1" applyBorder="1" applyAlignment="1">
      <alignment horizontal="left" vertical="top"/>
    </xf>
    <xf numFmtId="0" fontId="64" fillId="0" borderId="9" xfId="0" applyFont="1" applyFill="1" applyBorder="1" applyAlignment="1">
      <alignment horizontal="justify" vertical="center" wrapText="1"/>
    </xf>
    <xf numFmtId="0" fontId="64" fillId="5" borderId="109" xfId="0" applyFont="1" applyFill="1" applyBorder="1" applyAlignment="1">
      <alignment horizontal="left" vertical="top"/>
    </xf>
    <xf numFmtId="0" fontId="64" fillId="0" borderId="103" xfId="0" applyFont="1" applyBorder="1" applyAlignment="1">
      <alignment horizontal="center" vertical="center"/>
    </xf>
    <xf numFmtId="0" fontId="64" fillId="0" borderId="102" xfId="0" applyFont="1" applyBorder="1" applyAlignment="1">
      <alignment horizontal="center" vertical="center"/>
    </xf>
    <xf numFmtId="0" fontId="64" fillId="0" borderId="100" xfId="0" applyFont="1" applyBorder="1" applyAlignment="1">
      <alignment horizontal="center" vertical="center"/>
    </xf>
    <xf numFmtId="166" fontId="65" fillId="0" borderId="21" xfId="0" applyNumberFormat="1" applyFont="1" applyBorder="1" applyAlignment="1">
      <alignment horizontal="center" vertical="center" wrapText="1"/>
    </xf>
    <xf numFmtId="166" fontId="65" fillId="0" borderId="5" xfId="0" applyNumberFormat="1" applyFont="1" applyBorder="1" applyAlignment="1">
      <alignment horizontal="center" vertical="center" wrapText="1"/>
    </xf>
    <xf numFmtId="0" fontId="64" fillId="0" borderId="22" xfId="0" applyFont="1" applyBorder="1" applyAlignment="1">
      <alignment horizontal="center" vertical="center"/>
    </xf>
    <xf numFmtId="0" fontId="67" fillId="24" borderId="89" xfId="0" applyFont="1" applyFill="1" applyBorder="1" applyAlignment="1">
      <alignment horizontal="center" vertical="top" wrapText="1"/>
    </xf>
    <xf numFmtId="0" fontId="21" fillId="0" borderId="16" xfId="0" applyFont="1" applyBorder="1" applyAlignment="1">
      <alignment horizontal="center" vertical="center"/>
    </xf>
    <xf numFmtId="0" fontId="65" fillId="0" borderId="23" xfId="0" applyFont="1" applyFill="1" applyBorder="1" applyAlignment="1">
      <alignment horizontal="justify" vertical="center" wrapText="1"/>
    </xf>
    <xf numFmtId="0" fontId="64" fillId="0" borderId="102" xfId="0" applyFont="1" applyBorder="1" applyAlignment="1">
      <alignment horizontal="justify" vertical="center" wrapText="1"/>
    </xf>
    <xf numFmtId="0" fontId="21" fillId="0" borderId="19" xfId="0" applyFont="1" applyBorder="1" applyAlignment="1">
      <alignment horizontal="center" vertical="center"/>
    </xf>
    <xf numFmtId="0" fontId="21" fillId="0" borderId="21" xfId="0" applyFont="1" applyBorder="1" applyAlignment="1">
      <alignment horizontal="center" vertical="center"/>
    </xf>
    <xf numFmtId="0" fontId="64" fillId="0" borderId="110" xfId="0" applyFont="1" applyFill="1" applyBorder="1" applyAlignment="1">
      <alignment horizontal="left" vertical="center" wrapText="1"/>
    </xf>
    <xf numFmtId="0" fontId="64" fillId="0" borderId="5" xfId="0" applyFont="1" applyFill="1" applyBorder="1" applyAlignment="1">
      <alignment horizontal="left" vertical="center" wrapText="1"/>
    </xf>
    <xf numFmtId="0" fontId="64" fillId="0" borderId="22" xfId="0" applyFont="1" applyFill="1" applyBorder="1" applyAlignment="1">
      <alignment horizontal="left" vertical="center" wrapText="1"/>
    </xf>
    <xf numFmtId="0" fontId="64" fillId="0" borderId="23" xfId="0" applyFont="1" applyBorder="1" applyAlignment="1">
      <alignment horizontal="left" vertical="center" wrapText="1"/>
    </xf>
    <xf numFmtId="0" fontId="64" fillId="0" borderId="17" xfId="0" applyFont="1" applyBorder="1" applyAlignment="1">
      <alignment horizontal="left" vertical="center" wrapText="1"/>
    </xf>
    <xf numFmtId="0" fontId="21" fillId="0" borderId="29" xfId="0" applyFont="1" applyBorder="1" applyAlignment="1">
      <alignment horizontal="center" vertical="center"/>
    </xf>
    <xf numFmtId="0" fontId="21" fillId="0" borderId="111" xfId="0" applyFont="1" applyBorder="1" applyAlignment="1">
      <alignment horizontal="center" vertical="center"/>
    </xf>
    <xf numFmtId="0" fontId="64" fillId="0" borderId="5" xfId="0" applyFont="1" applyBorder="1" applyAlignment="1">
      <alignment horizontal="left" vertical="center" wrapText="1"/>
    </xf>
    <xf numFmtId="0" fontId="65" fillId="0" borderId="6" xfId="0" applyFont="1" applyBorder="1" applyAlignment="1">
      <alignment horizontal="left" vertical="center" wrapText="1"/>
    </xf>
    <xf numFmtId="0" fontId="64" fillId="0" borderId="16" xfId="0" applyFont="1" applyBorder="1" applyAlignment="1">
      <alignment horizontal="left" vertical="top"/>
    </xf>
    <xf numFmtId="0" fontId="64" fillId="0" borderId="17" xfId="0" applyFont="1" applyBorder="1" applyAlignment="1">
      <alignment horizontal="left" vertical="top"/>
    </xf>
    <xf numFmtId="0" fontId="64" fillId="0" borderId="18" xfId="0" applyFont="1" applyBorder="1" applyAlignment="1">
      <alignment horizontal="left" vertical="top"/>
    </xf>
    <xf numFmtId="0" fontId="64" fillId="5" borderId="21" xfId="0" applyFont="1" applyFill="1" applyBorder="1" applyAlignment="1">
      <alignment horizontal="left" vertical="top"/>
    </xf>
    <xf numFmtId="0" fontId="64" fillId="21" borderId="16" xfId="0" applyFont="1" applyFill="1" applyBorder="1" applyAlignment="1">
      <alignment horizontal="left" vertical="top"/>
    </xf>
    <xf numFmtId="14" fontId="64" fillId="38" borderId="21" xfId="0" applyNumberFormat="1" applyFont="1" applyFill="1" applyBorder="1" applyAlignment="1">
      <alignment horizontal="left" vertical="top"/>
    </xf>
    <xf numFmtId="0" fontId="64" fillId="0" borderId="16" xfId="0" applyFont="1" applyBorder="1" applyAlignment="1">
      <alignment horizontal="center" vertical="center"/>
    </xf>
    <xf numFmtId="0" fontId="64" fillId="0" borderId="17" xfId="0" applyFont="1" applyBorder="1" applyAlignment="1">
      <alignment horizontal="center" vertical="center"/>
    </xf>
    <xf numFmtId="0" fontId="64" fillId="0" borderId="18" xfId="0" applyFont="1" applyBorder="1" applyAlignment="1">
      <alignment horizontal="center" vertical="center"/>
    </xf>
    <xf numFmtId="0" fontId="21" fillId="0" borderId="19" xfId="0" applyFont="1" applyFill="1" applyBorder="1" applyAlignment="1">
      <alignment horizontal="center" vertical="center"/>
    </xf>
    <xf numFmtId="0" fontId="64" fillId="0" borderId="110" xfId="0" applyFont="1" applyBorder="1" applyAlignment="1">
      <alignment horizontal="left" vertical="center" wrapText="1"/>
    </xf>
    <xf numFmtId="0" fontId="64" fillId="0" borderId="110" xfId="0" applyFont="1" applyBorder="1" applyAlignment="1">
      <alignment horizontal="justify" vertical="center" wrapText="1"/>
    </xf>
    <xf numFmtId="0" fontId="64" fillId="0" borderId="21" xfId="0" applyFont="1" applyBorder="1" applyAlignment="1">
      <alignment horizontal="center" vertical="center"/>
    </xf>
    <xf numFmtId="0" fontId="64" fillId="0" borderId="5" xfId="0" applyFont="1" applyBorder="1" applyAlignment="1">
      <alignment horizontal="center" vertical="center"/>
    </xf>
    <xf numFmtId="0" fontId="64" fillId="0" borderId="44" xfId="0" applyFont="1" applyFill="1" applyBorder="1" applyAlignment="1">
      <alignment horizontal="center" vertical="center"/>
    </xf>
    <xf numFmtId="0" fontId="64" fillId="0" borderId="9" xfId="0" applyFont="1" applyFill="1" applyBorder="1" applyAlignment="1">
      <alignment horizontal="center" vertical="center"/>
    </xf>
    <xf numFmtId="0" fontId="64" fillId="0" borderId="86" xfId="0" applyFont="1" applyFill="1" applyBorder="1" applyAlignment="1">
      <alignment horizontal="center" vertical="center"/>
    </xf>
    <xf numFmtId="0" fontId="64" fillId="0" borderId="105" xfId="0" applyFont="1" applyBorder="1" applyAlignment="1">
      <alignment horizontal="justify" vertical="center" wrapText="1"/>
    </xf>
    <xf numFmtId="0" fontId="64" fillId="0" borderId="6" xfId="0" applyFont="1" applyBorder="1" applyAlignment="1">
      <alignment horizontal="justify" vertical="top" wrapText="1"/>
    </xf>
    <xf numFmtId="0" fontId="64" fillId="0" borderId="29" xfId="0" applyFont="1" applyBorder="1" applyAlignment="1">
      <alignment horizontal="center" vertical="center"/>
    </xf>
    <xf numFmtId="0" fontId="64" fillId="0" borderId="6" xfId="0" applyFont="1" applyBorder="1" applyAlignment="1">
      <alignment horizontal="center" vertical="center"/>
    </xf>
    <xf numFmtId="14" fontId="64" fillId="5" borderId="29" xfId="0" applyNumberFormat="1" applyFont="1" applyFill="1" applyBorder="1" applyAlignment="1">
      <alignment horizontal="left" vertical="top"/>
    </xf>
    <xf numFmtId="0" fontId="10" fillId="7" borderId="0" xfId="0" applyFont="1" applyFill="1" applyBorder="1" applyAlignment="1">
      <alignment horizontal="center"/>
    </xf>
    <xf numFmtId="0" fontId="0" fillId="7" borderId="0" xfId="0" applyFill="1" applyBorder="1" applyAlignment="1">
      <alignment horizontal="center" vertical="center"/>
    </xf>
    <xf numFmtId="9" fontId="0" fillId="7" borderId="0" xfId="0" applyNumberFormat="1" applyFill="1" applyBorder="1" applyAlignment="1">
      <alignment horizontal="center" vertical="center"/>
    </xf>
    <xf numFmtId="0" fontId="0" fillId="7" borderId="0" xfId="0" applyFill="1" applyBorder="1" applyAlignment="1">
      <alignment wrapText="1"/>
    </xf>
    <xf numFmtId="0" fontId="0" fillId="7" borderId="1" xfId="0" applyFill="1" applyBorder="1"/>
    <xf numFmtId="0" fontId="10" fillId="5" borderId="1" xfId="0" applyFont="1" applyFill="1" applyBorder="1"/>
    <xf numFmtId="0" fontId="10" fillId="44" borderId="1" xfId="0" applyFont="1" applyFill="1" applyBorder="1" applyAlignment="1">
      <alignment horizontal="center"/>
    </xf>
    <xf numFmtId="17" fontId="16" fillId="0" borderId="1" xfId="0" applyNumberFormat="1" applyFont="1" applyBorder="1" applyAlignment="1">
      <alignment horizontal="center" vertical="center" wrapText="1"/>
    </xf>
    <xf numFmtId="1" fontId="16" fillId="0" borderId="5" xfId="0" applyNumberFormat="1" applyFont="1" applyBorder="1" applyAlignment="1">
      <alignment horizontal="center" vertical="center" wrapText="1"/>
    </xf>
    <xf numFmtId="0" fontId="21" fillId="7" borderId="1" xfId="0" applyFont="1" applyFill="1" applyBorder="1" applyAlignment="1">
      <alignment horizontal="center" vertical="center"/>
    </xf>
    <xf numFmtId="0" fontId="64" fillId="7" borderId="6" xfId="0" applyFont="1" applyFill="1" applyBorder="1" applyAlignment="1">
      <alignment horizontal="left" vertical="top"/>
    </xf>
    <xf numFmtId="0" fontId="64" fillId="5" borderId="9" xfId="0" applyFont="1" applyFill="1" applyBorder="1" applyAlignment="1">
      <alignment horizontal="left" vertical="top"/>
    </xf>
    <xf numFmtId="0" fontId="64" fillId="5" borderId="5" xfId="0" applyFont="1" applyFill="1" applyBorder="1" applyAlignment="1">
      <alignment horizontal="left" vertical="top"/>
    </xf>
    <xf numFmtId="0" fontId="64" fillId="5" borderId="1" xfId="0" applyFont="1" applyFill="1" applyBorder="1" applyAlignment="1">
      <alignment horizontal="left" vertical="top"/>
    </xf>
    <xf numFmtId="0" fontId="64" fillId="5" borderId="6" xfId="0" applyFont="1" applyFill="1" applyBorder="1" applyAlignment="1">
      <alignment horizontal="left" vertical="top"/>
    </xf>
    <xf numFmtId="0" fontId="64" fillId="5" borderId="10" xfId="0" applyFont="1" applyFill="1" applyBorder="1" applyAlignment="1">
      <alignment horizontal="left" vertical="top"/>
    </xf>
    <xf numFmtId="0" fontId="64" fillId="5" borderId="17" xfId="0" applyFont="1" applyFill="1" applyBorder="1" applyAlignment="1">
      <alignment horizontal="left" vertical="top"/>
    </xf>
    <xf numFmtId="0" fontId="65" fillId="0" borderId="42" xfId="0" applyFont="1" applyBorder="1" applyAlignment="1">
      <alignment horizontal="left" vertical="center" wrapText="1"/>
    </xf>
    <xf numFmtId="0" fontId="65" fillId="0" borderId="48" xfId="0" applyFont="1" applyBorder="1" applyAlignment="1">
      <alignment horizontal="left" vertical="center" wrapText="1"/>
    </xf>
    <xf numFmtId="0" fontId="64" fillId="5" borderId="102" xfId="0" applyFont="1" applyFill="1" applyBorder="1" applyAlignment="1">
      <alignment horizontal="left" vertical="top"/>
    </xf>
    <xf numFmtId="0" fontId="65" fillId="0" borderId="89" xfId="0" applyFont="1" applyBorder="1" applyAlignment="1">
      <alignment horizontal="left" vertical="center" wrapText="1"/>
    </xf>
    <xf numFmtId="0" fontId="65" fillId="0" borderId="18" xfId="0" applyFont="1" applyBorder="1" applyAlignment="1">
      <alignment horizontal="left" vertical="center" wrapText="1"/>
    </xf>
    <xf numFmtId="0" fontId="65" fillId="0" borderId="20" xfId="0" applyFont="1" applyBorder="1" applyAlignment="1">
      <alignment horizontal="left" vertical="center" wrapText="1"/>
    </xf>
    <xf numFmtId="0" fontId="65" fillId="0" borderId="22" xfId="0" applyFont="1" applyBorder="1" applyAlignment="1">
      <alignment horizontal="left" vertical="center" wrapText="1"/>
    </xf>
    <xf numFmtId="0" fontId="65" fillId="0" borderId="48" xfId="0" applyFont="1" applyBorder="1" applyAlignment="1">
      <alignment horizontal="justify" vertical="center" wrapText="1"/>
    </xf>
    <xf numFmtId="0" fontId="65" fillId="17" borderId="12" xfId="0" applyFont="1" applyFill="1" applyBorder="1" applyAlignment="1">
      <alignment horizontal="left" vertical="center" wrapText="1"/>
    </xf>
    <xf numFmtId="0" fontId="65" fillId="17" borderId="1" xfId="0" applyFont="1" applyFill="1" applyBorder="1" applyAlignment="1">
      <alignment horizontal="left" vertical="center" wrapText="1"/>
    </xf>
    <xf numFmtId="0" fontId="65" fillId="3" borderId="1" xfId="0" applyFont="1" applyFill="1" applyBorder="1" applyAlignment="1">
      <alignment horizontal="left" vertical="center" wrapText="1"/>
    </xf>
    <xf numFmtId="0" fontId="65" fillId="17" borderId="12" xfId="0" applyFont="1" applyFill="1" applyBorder="1" applyAlignment="1">
      <alignment horizontal="left" vertical="center"/>
    </xf>
    <xf numFmtId="0" fontId="65" fillId="3" borderId="12" xfId="0" applyFont="1" applyFill="1" applyBorder="1" applyAlignment="1">
      <alignment horizontal="left" vertical="center"/>
    </xf>
    <xf numFmtId="0" fontId="73" fillId="0" borderId="1" xfId="0" applyFont="1" applyFill="1" applyBorder="1" applyAlignment="1">
      <alignment horizontal="center" vertical="center"/>
    </xf>
    <xf numFmtId="0" fontId="70" fillId="0" borderId="12" xfId="0" applyFont="1" applyFill="1" applyBorder="1" applyAlignment="1">
      <alignment horizontal="justify" vertical="center" wrapText="1"/>
    </xf>
    <xf numFmtId="0" fontId="70" fillId="0" borderId="1" xfId="0" applyFont="1" applyFill="1" applyBorder="1" applyAlignment="1">
      <alignment horizontal="left" vertical="center" wrapText="1"/>
    </xf>
    <xf numFmtId="0" fontId="70" fillId="0" borderId="1" xfId="0" applyFont="1" applyFill="1" applyBorder="1" applyAlignment="1">
      <alignment horizontal="justify" vertical="center" wrapText="1"/>
    </xf>
    <xf numFmtId="0" fontId="70" fillId="0" borderId="42" xfId="0" applyFont="1" applyFill="1" applyBorder="1" applyAlignment="1">
      <alignment horizontal="left" vertical="center" wrapText="1"/>
    </xf>
    <xf numFmtId="0" fontId="70" fillId="0" borderId="19" xfId="0" applyFont="1" applyFill="1" applyBorder="1" applyAlignment="1">
      <alignment horizontal="center" vertical="center"/>
    </xf>
    <xf numFmtId="0" fontId="70" fillId="0" borderId="1" xfId="0" applyFont="1" applyFill="1" applyBorder="1" applyAlignment="1">
      <alignment horizontal="center" vertical="center"/>
    </xf>
    <xf numFmtId="0" fontId="70" fillId="0" borderId="42" xfId="0" applyFont="1" applyFill="1" applyBorder="1" applyAlignment="1">
      <alignment horizontal="center" vertical="center"/>
    </xf>
    <xf numFmtId="14" fontId="70" fillId="38" borderId="19" xfId="0" applyNumberFormat="1" applyFont="1" applyFill="1" applyBorder="1" applyAlignment="1">
      <alignment horizontal="left" vertical="top"/>
    </xf>
    <xf numFmtId="14" fontId="70" fillId="0" borderId="31" xfId="0" applyNumberFormat="1" applyFont="1" applyFill="1" applyBorder="1" applyAlignment="1">
      <alignment horizontal="left" vertical="top"/>
    </xf>
    <xf numFmtId="0" fontId="70" fillId="0" borderId="1" xfId="0" applyFont="1" applyFill="1" applyBorder="1" applyAlignment="1">
      <alignment horizontal="left" vertical="top"/>
    </xf>
    <xf numFmtId="0" fontId="70" fillId="0" borderId="20" xfId="0" applyFont="1" applyFill="1" applyBorder="1" applyAlignment="1">
      <alignment horizontal="left" vertical="top"/>
    </xf>
    <xf numFmtId="0" fontId="73" fillId="0" borderId="0" xfId="0" applyFont="1" applyFill="1" applyAlignment="1">
      <alignment horizontal="left" vertical="top"/>
    </xf>
    <xf numFmtId="0" fontId="23" fillId="38" borderId="84" xfId="0" applyFont="1" applyFill="1" applyBorder="1" applyAlignment="1">
      <alignment horizontal="left" vertical="top" wrapText="1"/>
    </xf>
    <xf numFmtId="0" fontId="23" fillId="45" borderId="1" xfId="0" applyFont="1" applyFill="1" applyBorder="1" applyAlignment="1">
      <alignment horizontal="left" vertical="top" wrapText="1"/>
    </xf>
    <xf numFmtId="0" fontId="21" fillId="0" borderId="84" xfId="0" applyFont="1" applyBorder="1" applyAlignment="1">
      <alignment horizontal="left" vertical="top" wrapText="1"/>
    </xf>
    <xf numFmtId="0" fontId="21" fillId="0" borderId="1" xfId="0" applyFont="1" applyBorder="1" applyAlignment="1">
      <alignment horizontal="left" vertical="top" wrapText="1"/>
    </xf>
    <xf numFmtId="0" fontId="64" fillId="21" borderId="10" xfId="0" applyFont="1" applyFill="1" applyBorder="1" applyAlignment="1">
      <alignment horizontal="left" vertical="top"/>
    </xf>
    <xf numFmtId="0" fontId="65" fillId="0" borderId="105" xfId="0" applyFont="1" applyBorder="1" applyAlignment="1">
      <alignment horizontal="left" vertical="center"/>
    </xf>
    <xf numFmtId="0" fontId="21" fillId="0" borderId="1" xfId="0" applyFont="1" applyBorder="1" applyAlignment="1">
      <alignment horizontal="left" vertical="top"/>
    </xf>
    <xf numFmtId="0" fontId="64" fillId="0" borderId="1" xfId="0" applyFont="1" applyFill="1" applyBorder="1" applyAlignment="1">
      <alignment horizontal="justify" vertical="justify" wrapText="1"/>
    </xf>
    <xf numFmtId="0" fontId="65" fillId="0" borderId="12" xfId="0" applyFont="1" applyFill="1" applyBorder="1" applyAlignment="1">
      <alignment horizontal="justify" vertical="center" wrapText="1"/>
    </xf>
    <xf numFmtId="0" fontId="70" fillId="0" borderId="12" xfId="0" applyFont="1" applyFill="1" applyBorder="1" applyAlignment="1">
      <alignment horizontal="left" vertical="center"/>
    </xf>
    <xf numFmtId="0" fontId="70" fillId="0" borderId="88" xfId="0" applyFont="1" applyBorder="1" applyAlignment="1">
      <alignment horizontal="justify" vertical="center" wrapText="1"/>
    </xf>
    <xf numFmtId="0" fontId="70" fillId="0" borderId="9" xfId="0" applyFont="1" applyBorder="1" applyAlignment="1">
      <alignment horizontal="left" vertical="center" wrapText="1"/>
    </xf>
    <xf numFmtId="0" fontId="70" fillId="0" borderId="9" xfId="0" applyFont="1" applyBorder="1" applyAlignment="1">
      <alignment horizontal="justify" vertical="center" wrapText="1"/>
    </xf>
    <xf numFmtId="0" fontId="70" fillId="4" borderId="42" xfId="0" applyFont="1" applyFill="1" applyBorder="1" applyAlignment="1">
      <alignment horizontal="left" vertical="center" wrapText="1"/>
    </xf>
    <xf numFmtId="0" fontId="64" fillId="0" borderId="44" xfId="0" applyFont="1" applyBorder="1" applyAlignment="1">
      <alignment horizontal="left" vertical="top"/>
    </xf>
    <xf numFmtId="14" fontId="64" fillId="38" borderId="39" xfId="0" applyNumberFormat="1" applyFont="1" applyFill="1" applyBorder="1" applyAlignment="1">
      <alignment horizontal="left" vertical="top"/>
    </xf>
    <xf numFmtId="0" fontId="64" fillId="0" borderId="105" xfId="0" applyFont="1" applyBorder="1" applyAlignment="1">
      <alignment horizontal="left" vertical="center" wrapText="1"/>
    </xf>
    <xf numFmtId="0" fontId="64" fillId="0" borderId="6" xfId="0" applyFont="1" applyBorder="1" applyAlignment="1">
      <alignment horizontal="left" vertical="center" wrapText="1"/>
    </xf>
    <xf numFmtId="0" fontId="65" fillId="0" borderId="49" xfId="0" applyFont="1" applyBorder="1" applyAlignment="1">
      <alignment horizontal="left" vertical="center" wrapText="1"/>
    </xf>
    <xf numFmtId="14" fontId="64" fillId="38" borderId="46" xfId="0" applyNumberFormat="1" applyFont="1" applyFill="1" applyBorder="1" applyAlignment="1">
      <alignment horizontal="left" vertical="top"/>
    </xf>
    <xf numFmtId="14" fontId="64" fillId="5" borderId="1" xfId="0" applyNumberFormat="1" applyFont="1" applyFill="1" applyBorder="1" applyAlignment="1">
      <alignment horizontal="left" vertical="top"/>
    </xf>
    <xf numFmtId="14" fontId="64" fillId="38" borderId="9" xfId="0" applyNumberFormat="1" applyFont="1" applyFill="1" applyBorder="1" applyAlignment="1">
      <alignment horizontal="left" vertical="top"/>
    </xf>
    <xf numFmtId="0" fontId="64" fillId="3" borderId="105" xfId="0" applyFont="1" applyFill="1" applyBorder="1" applyAlignment="1">
      <alignment horizontal="left" vertical="top"/>
    </xf>
    <xf numFmtId="0" fontId="64" fillId="3" borderId="9" xfId="0" applyFont="1" applyFill="1" applyBorder="1" applyAlignment="1">
      <alignment horizontal="left" vertical="top"/>
    </xf>
    <xf numFmtId="0" fontId="64" fillId="3" borderId="42" xfId="0" applyFont="1" applyFill="1" applyBorder="1" applyAlignment="1">
      <alignment horizontal="left" vertical="top"/>
    </xf>
    <xf numFmtId="0" fontId="64" fillId="3" borderId="1" xfId="0" applyFont="1" applyFill="1" applyBorder="1" applyAlignment="1">
      <alignment horizontal="left" vertical="center" wrapText="1"/>
    </xf>
    <xf numFmtId="0" fontId="64" fillId="3" borderId="12" xfId="0" applyFont="1" applyFill="1" applyBorder="1" applyAlignment="1">
      <alignment horizontal="left" vertical="center" wrapText="1"/>
    </xf>
    <xf numFmtId="0" fontId="65" fillId="17" borderId="31" xfId="0" applyFont="1" applyFill="1" applyBorder="1" applyAlignment="1">
      <alignment horizontal="justify" vertical="center" wrapText="1"/>
    </xf>
    <xf numFmtId="0" fontId="70" fillId="0" borderId="1" xfId="0" applyFont="1" applyBorder="1" applyAlignment="1">
      <alignment horizontal="left" vertical="center" wrapText="1"/>
    </xf>
    <xf numFmtId="0" fontId="65" fillId="17" borderId="6" xfId="0" applyFont="1" applyFill="1" applyBorder="1" applyAlignment="1">
      <alignment horizontal="left" vertical="center" wrapText="1"/>
    </xf>
    <xf numFmtId="0" fontId="65" fillId="3" borderId="12" xfId="0" applyFont="1" applyFill="1" applyBorder="1" applyAlignment="1">
      <alignment horizontal="left" vertical="center" wrapText="1"/>
    </xf>
    <xf numFmtId="0" fontId="65" fillId="0" borderId="48" xfId="0" applyFont="1" applyFill="1" applyBorder="1" applyAlignment="1">
      <alignment horizontal="left" vertical="center" wrapText="1"/>
    </xf>
    <xf numFmtId="0" fontId="65" fillId="17" borderId="9" xfId="0" applyFont="1" applyFill="1" applyBorder="1" applyAlignment="1">
      <alignment horizontal="left" vertical="center" wrapText="1"/>
    </xf>
    <xf numFmtId="0" fontId="65" fillId="17" borderId="88" xfId="0" applyFont="1" applyFill="1" applyBorder="1" applyAlignment="1">
      <alignment horizontal="left" vertical="center"/>
    </xf>
    <xf numFmtId="0" fontId="65" fillId="17" borderId="88" xfId="0" applyFont="1" applyFill="1" applyBorder="1" applyAlignment="1">
      <alignment horizontal="left" vertical="center" wrapText="1"/>
    </xf>
    <xf numFmtId="0" fontId="71" fillId="17" borderId="12" xfId="0" applyFont="1" applyFill="1" applyBorder="1" applyAlignment="1">
      <alignment horizontal="left" vertical="center" wrapText="1"/>
    </xf>
    <xf numFmtId="0" fontId="67" fillId="17" borderId="1" xfId="0" applyFont="1" applyFill="1" applyBorder="1" applyAlignment="1">
      <alignment horizontal="left" vertical="center" wrapText="1"/>
    </xf>
    <xf numFmtId="0" fontId="65" fillId="17" borderId="12" xfId="0" applyFont="1" applyFill="1" applyBorder="1" applyAlignment="1">
      <alignment horizontal="justify" vertical="center"/>
    </xf>
    <xf numFmtId="0" fontId="65" fillId="3" borderId="31" xfId="0" applyFont="1" applyFill="1" applyBorder="1" applyAlignment="1">
      <alignment vertical="center" wrapText="1"/>
    </xf>
    <xf numFmtId="0" fontId="65" fillId="0" borderId="1" xfId="0" applyFont="1" applyFill="1" applyBorder="1" applyAlignment="1">
      <alignment horizontal="left" vertical="center" wrapText="1"/>
    </xf>
    <xf numFmtId="0" fontId="65" fillId="3" borderId="12" xfId="0" applyFont="1" applyFill="1" applyBorder="1" applyAlignment="1">
      <alignment horizontal="justify" vertical="center"/>
    </xf>
    <xf numFmtId="0" fontId="28" fillId="7" borderId="2" xfId="0" applyFont="1" applyFill="1" applyBorder="1" applyAlignment="1">
      <alignment horizontal="justify" vertical="justify" wrapText="1"/>
    </xf>
    <xf numFmtId="0" fontId="28" fillId="7" borderId="35" xfId="0" applyFont="1" applyFill="1" applyBorder="1" applyAlignment="1">
      <alignment horizontal="justify" vertical="justify" wrapText="1"/>
    </xf>
    <xf numFmtId="0" fontId="28" fillId="7" borderId="36" xfId="0" applyFont="1" applyFill="1" applyBorder="1" applyAlignment="1">
      <alignment horizontal="justify" vertical="justify" wrapText="1"/>
    </xf>
    <xf numFmtId="0" fontId="14" fillId="11" borderId="2" xfId="0" applyFont="1" applyFill="1" applyBorder="1" applyAlignment="1">
      <alignment horizontal="center" vertical="center" wrapText="1"/>
    </xf>
    <xf numFmtId="0" fontId="14" fillId="11" borderId="35" xfId="0" applyFont="1" applyFill="1" applyBorder="1" applyAlignment="1">
      <alignment horizontal="center" vertical="center" wrapText="1"/>
    </xf>
    <xf numFmtId="0" fontId="14" fillId="11" borderId="36" xfId="0" applyFont="1" applyFill="1" applyBorder="1" applyAlignment="1">
      <alignment horizontal="center" vertical="center" wrapText="1"/>
    </xf>
    <xf numFmtId="0" fontId="60" fillId="7" borderId="0" xfId="0" applyFont="1" applyFill="1" applyBorder="1" applyAlignment="1">
      <alignment horizontal="center" vertical="top" wrapText="1"/>
    </xf>
    <xf numFmtId="0" fontId="14" fillId="11" borderId="38" xfId="0" applyFont="1" applyFill="1" applyBorder="1" applyAlignment="1">
      <alignment horizontal="center" vertical="center" wrapText="1"/>
    </xf>
    <xf numFmtId="0" fontId="14" fillId="11" borderId="30" xfId="0" applyFont="1" applyFill="1" applyBorder="1" applyAlignment="1">
      <alignment horizontal="center" vertical="center" wrapText="1"/>
    </xf>
    <xf numFmtId="0" fontId="16" fillId="7" borderId="1" xfId="0" applyFont="1" applyFill="1" applyBorder="1" applyAlignment="1">
      <alignment horizontal="justify" vertical="justify" wrapText="1"/>
    </xf>
    <xf numFmtId="0" fontId="31" fillId="7" borderId="0" xfId="0" applyFont="1" applyFill="1" applyAlignment="1">
      <alignment horizontal="right" vertical="center" wrapText="1"/>
    </xf>
    <xf numFmtId="0" fontId="17" fillId="0" borderId="17" xfId="0" applyFont="1" applyBorder="1" applyAlignment="1">
      <alignment horizontal="center" vertical="center" wrapText="1"/>
    </xf>
    <xf numFmtId="0" fontId="17" fillId="0" borderId="18" xfId="0" applyFont="1" applyBorder="1" applyAlignment="1">
      <alignment horizontal="center" vertical="center" wrapText="1"/>
    </xf>
    <xf numFmtId="0" fontId="16" fillId="0" borderId="39" xfId="0" applyFont="1" applyBorder="1" applyAlignment="1">
      <alignment horizontal="left" vertical="center" wrapText="1"/>
    </xf>
    <xf numFmtId="0" fontId="16" fillId="0" borderId="43" xfId="0" applyFont="1" applyBorder="1" applyAlignment="1">
      <alignment horizontal="left" vertical="center" wrapText="1"/>
    </xf>
    <xf numFmtId="0" fontId="16" fillId="0" borderId="45" xfId="0" applyFont="1" applyBorder="1" applyAlignment="1">
      <alignment horizontal="left" vertical="center" wrapText="1"/>
    </xf>
    <xf numFmtId="0" fontId="17" fillId="19" borderId="19" xfId="0" applyFont="1" applyFill="1" applyBorder="1" applyAlignment="1">
      <alignment horizontal="center" vertical="center" wrapText="1"/>
    </xf>
    <xf numFmtId="0" fontId="17" fillId="19" borderId="21" xfId="0" applyFont="1" applyFill="1" applyBorder="1" applyAlignment="1">
      <alignment horizontal="center" vertical="center" wrapText="1"/>
    </xf>
    <xf numFmtId="0" fontId="17" fillId="10" borderId="19" xfId="0" applyFont="1" applyFill="1" applyBorder="1" applyAlignment="1">
      <alignment horizontal="center" vertical="center" wrapText="1"/>
    </xf>
    <xf numFmtId="0" fontId="17" fillId="10" borderId="31" xfId="0" applyFont="1" applyFill="1" applyBorder="1" applyAlignment="1">
      <alignment horizontal="center" vertical="center" wrapText="1"/>
    </xf>
    <xf numFmtId="0" fontId="17" fillId="10" borderId="44" xfId="0" applyFont="1" applyFill="1" applyBorder="1" applyAlignment="1">
      <alignment horizontal="center" vertical="center" wrapText="1"/>
    </xf>
    <xf numFmtId="0" fontId="17" fillId="10" borderId="29" xfId="0" applyFont="1" applyFill="1" applyBorder="1" applyAlignment="1">
      <alignment horizontal="center" vertical="center" wrapText="1"/>
    </xf>
    <xf numFmtId="14" fontId="29" fillId="0" borderId="2" xfId="14" applyNumberFormat="1" applyFont="1" applyBorder="1" applyAlignment="1">
      <alignment horizontal="center"/>
    </xf>
    <xf numFmtId="14" fontId="29" fillId="0" borderId="36" xfId="14" applyNumberFormat="1" applyFont="1" applyBorder="1" applyAlignment="1">
      <alignment horizontal="center"/>
    </xf>
    <xf numFmtId="0" fontId="29" fillId="0" borderId="54" xfId="14" applyFont="1" applyBorder="1" applyAlignment="1">
      <alignment horizontal="center" vertical="center"/>
    </xf>
    <xf numFmtId="0" fontId="43" fillId="0" borderId="61" xfId="14" applyFont="1" applyBorder="1"/>
    <xf numFmtId="0" fontId="43" fillId="0" borderId="67" xfId="14" applyFont="1" applyBorder="1"/>
    <xf numFmtId="0" fontId="52" fillId="0" borderId="55" xfId="14" applyFont="1" applyBorder="1" applyAlignment="1">
      <alignment horizontal="center" vertical="center" wrapText="1"/>
    </xf>
    <xf numFmtId="0" fontId="43" fillId="0" borderId="56" xfId="14" applyFont="1" applyBorder="1"/>
    <xf numFmtId="0" fontId="43" fillId="0" borderId="57" xfId="14" applyFont="1" applyBorder="1"/>
    <xf numFmtId="0" fontId="43" fillId="0" borderId="62" xfId="14" applyFont="1" applyBorder="1"/>
    <xf numFmtId="0" fontId="29" fillId="0" borderId="0" xfId="14" applyFont="1"/>
    <xf numFmtId="0" fontId="43" fillId="0" borderId="63" xfId="14" applyFont="1" applyBorder="1"/>
    <xf numFmtId="0" fontId="43" fillId="0" borderId="0" xfId="14" applyFont="1"/>
    <xf numFmtId="0" fontId="43" fillId="0" borderId="68" xfId="14" applyFont="1" applyBorder="1"/>
    <xf numFmtId="0" fontId="43" fillId="0" borderId="69" xfId="14" applyFont="1" applyBorder="1"/>
    <xf numFmtId="0" fontId="29" fillId="0" borderId="58" xfId="14" applyFont="1" applyBorder="1" applyAlignment="1">
      <alignment horizontal="center"/>
    </xf>
    <xf numFmtId="0" fontId="43" fillId="0" borderId="59" xfId="14" applyFont="1" applyBorder="1"/>
    <xf numFmtId="0" fontId="29" fillId="0" borderId="60" xfId="14" applyFont="1" applyBorder="1" applyAlignment="1">
      <alignment horizontal="center"/>
    </xf>
    <xf numFmtId="0" fontId="43" fillId="0" borderId="66" xfId="14" applyFont="1" applyBorder="1"/>
    <xf numFmtId="0" fontId="43" fillId="0" borderId="72" xfId="14" applyFont="1" applyBorder="1"/>
    <xf numFmtId="0" fontId="29" fillId="0" borderId="64" xfId="14" applyFont="1" applyBorder="1" applyAlignment="1">
      <alignment horizontal="center"/>
    </xf>
    <xf numFmtId="0" fontId="43" fillId="0" borderId="65" xfId="14" applyFont="1" applyBorder="1"/>
    <xf numFmtId="0" fontId="29" fillId="0" borderId="70" xfId="14" applyFont="1" applyBorder="1" applyAlignment="1">
      <alignment horizontal="center"/>
    </xf>
    <xf numFmtId="0" fontId="43" fillId="0" borderId="71" xfId="14" applyFont="1" applyBorder="1"/>
    <xf numFmtId="0" fontId="44" fillId="29" borderId="77" xfId="14" applyFont="1" applyFill="1" applyBorder="1" applyAlignment="1">
      <alignment horizontal="center" vertical="center" wrapText="1"/>
    </xf>
    <xf numFmtId="0" fontId="43" fillId="0" borderId="81" xfId="14" applyFont="1" applyBorder="1"/>
    <xf numFmtId="0" fontId="44" fillId="29" borderId="78" xfId="14" applyFont="1" applyFill="1" applyBorder="1" applyAlignment="1">
      <alignment horizontal="center" vertical="center" wrapText="1"/>
    </xf>
    <xf numFmtId="0" fontId="44" fillId="29" borderId="79" xfId="14" applyFont="1" applyFill="1" applyBorder="1" applyAlignment="1">
      <alignment horizontal="center" vertical="center" wrapText="1"/>
    </xf>
    <xf numFmtId="0" fontId="43" fillId="0" borderId="79" xfId="14" applyFont="1" applyBorder="1"/>
    <xf numFmtId="0" fontId="44" fillId="29" borderId="0" xfId="14" applyFont="1" applyFill="1" applyAlignment="1">
      <alignment horizontal="center" vertical="center" wrapText="1"/>
    </xf>
    <xf numFmtId="0" fontId="43" fillId="0" borderId="80" xfId="14" applyFont="1" applyBorder="1"/>
    <xf numFmtId="0" fontId="44" fillId="29" borderId="32" xfId="14" applyFont="1" applyFill="1" applyBorder="1" applyAlignment="1">
      <alignment horizontal="center" vertical="center" wrapText="1"/>
    </xf>
    <xf numFmtId="0" fontId="44" fillId="29" borderId="34" xfId="14" applyFont="1" applyFill="1" applyBorder="1" applyAlignment="1">
      <alignment horizontal="center" vertical="center" wrapText="1"/>
    </xf>
    <xf numFmtId="0" fontId="44" fillId="29" borderId="7" xfId="14" applyFont="1" applyFill="1" applyBorder="1" applyAlignment="1">
      <alignment horizontal="center" vertical="center" wrapText="1"/>
    </xf>
    <xf numFmtId="0" fontId="44" fillId="29" borderId="8" xfId="14" applyFont="1" applyFill="1" applyBorder="1" applyAlignment="1">
      <alignment horizontal="center" vertical="center" wrapText="1"/>
    </xf>
    <xf numFmtId="0" fontId="52" fillId="29" borderId="2" xfId="14" applyFont="1" applyFill="1" applyBorder="1" applyAlignment="1">
      <alignment horizontal="center" vertical="center"/>
    </xf>
    <xf numFmtId="0" fontId="52" fillId="29" borderId="36" xfId="14" applyFont="1" applyFill="1" applyBorder="1" applyAlignment="1">
      <alignment horizontal="center" vertical="center"/>
    </xf>
    <xf numFmtId="0" fontId="52" fillId="29" borderId="74" xfId="14" applyFont="1" applyFill="1" applyBorder="1" applyAlignment="1">
      <alignment horizontal="center" vertical="center"/>
    </xf>
    <xf numFmtId="0" fontId="52" fillId="29" borderId="75" xfId="14" applyFont="1" applyFill="1" applyBorder="1" applyAlignment="1">
      <alignment horizontal="center" vertical="center"/>
    </xf>
    <xf numFmtId="0" fontId="52" fillId="29" borderId="56" xfId="14" applyFont="1" applyFill="1" applyBorder="1" applyAlignment="1">
      <alignment horizontal="center" vertical="center"/>
    </xf>
    <xf numFmtId="0" fontId="44" fillId="29" borderId="33" xfId="14" applyFont="1" applyFill="1" applyBorder="1" applyAlignment="1">
      <alignment horizontal="center" vertical="center" wrapText="1"/>
    </xf>
    <xf numFmtId="0" fontId="44" fillId="29" borderId="13" xfId="14" applyFont="1" applyFill="1" applyBorder="1" applyAlignment="1">
      <alignment horizontal="center" vertical="center" wrapText="1"/>
    </xf>
    <xf numFmtId="0" fontId="44" fillId="29" borderId="14" xfId="14" applyFont="1" applyFill="1" applyBorder="1" applyAlignment="1">
      <alignment horizontal="center" vertical="center" wrapText="1"/>
    </xf>
    <xf numFmtId="0" fontId="52" fillId="29" borderId="74" xfId="14" applyFont="1" applyFill="1" applyBorder="1" applyAlignment="1">
      <alignment horizontal="center"/>
    </xf>
    <xf numFmtId="0" fontId="43" fillId="0" borderId="76" xfId="14" applyFont="1" applyBorder="1"/>
    <xf numFmtId="0" fontId="43" fillId="0" borderId="75" xfId="14" applyFont="1" applyBorder="1"/>
    <xf numFmtId="0" fontId="44" fillId="29" borderId="81" xfId="14" applyFont="1" applyFill="1" applyBorder="1" applyAlignment="1">
      <alignment horizontal="center" vertical="center" wrapText="1"/>
    </xf>
    <xf numFmtId="0" fontId="16" fillId="7" borderId="1" xfId="0" applyFont="1" applyFill="1" applyBorder="1" applyAlignment="1">
      <alignment horizontal="left" vertical="center" wrapText="1"/>
    </xf>
    <xf numFmtId="0" fontId="0" fillId="0" borderId="16"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17" xfId="0" applyBorder="1" applyAlignment="1">
      <alignment horizontal="center"/>
    </xf>
    <xf numFmtId="0" fontId="0" fillId="0" borderId="18" xfId="0" applyBorder="1" applyAlignment="1">
      <alignment horizontal="center"/>
    </xf>
    <xf numFmtId="0" fontId="0" fillId="0" borderId="1" xfId="0" applyBorder="1" applyAlignment="1">
      <alignment horizontal="center"/>
    </xf>
    <xf numFmtId="0" fontId="0" fillId="0" borderId="20" xfId="0" applyBorder="1" applyAlignment="1">
      <alignment horizontal="center"/>
    </xf>
    <xf numFmtId="0" fontId="0" fillId="0" borderId="5" xfId="0" applyBorder="1" applyAlignment="1">
      <alignment horizontal="center"/>
    </xf>
    <xf numFmtId="0" fontId="0" fillId="0" borderId="22" xfId="0" applyBorder="1" applyAlignment="1">
      <alignment horizontal="center"/>
    </xf>
    <xf numFmtId="0" fontId="10" fillId="0" borderId="17" xfId="0" applyFont="1" applyBorder="1" applyAlignment="1">
      <alignment horizontal="center" vertical="center"/>
    </xf>
    <xf numFmtId="0" fontId="10" fillId="0" borderId="1" xfId="0" applyFont="1" applyBorder="1" applyAlignment="1">
      <alignment horizontal="center" vertical="center"/>
    </xf>
    <xf numFmtId="0" fontId="10" fillId="0" borderId="5" xfId="0" applyFont="1" applyBorder="1" applyAlignment="1">
      <alignment horizontal="center" vertical="center"/>
    </xf>
    <xf numFmtId="0" fontId="10" fillId="0" borderId="47"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106"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99" xfId="0" applyFont="1" applyBorder="1" applyAlignment="1">
      <alignment horizontal="center" vertical="center" wrapText="1"/>
    </xf>
    <xf numFmtId="0" fontId="10" fillId="0" borderId="107"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4" xfId="0" applyFont="1" applyBorder="1" applyAlignment="1">
      <alignment horizontal="center" vertical="center" wrapText="1"/>
    </xf>
    <xf numFmtId="0" fontId="10" fillId="0" borderId="41" xfId="0" applyFont="1" applyBorder="1" applyAlignment="1">
      <alignment horizontal="center" vertical="center" wrapText="1"/>
    </xf>
    <xf numFmtId="0" fontId="10" fillId="36" borderId="84" xfId="0" applyFont="1" applyFill="1" applyBorder="1" applyAlignment="1">
      <alignment horizontal="center" vertical="center" wrapText="1"/>
    </xf>
    <xf numFmtId="0" fontId="10" fillId="36" borderId="85" xfId="0" applyFont="1" applyFill="1" applyBorder="1" applyAlignment="1">
      <alignment horizontal="center" vertical="center" wrapText="1"/>
    </xf>
    <xf numFmtId="0" fontId="10" fillId="36" borderId="16" xfId="0" applyFont="1" applyFill="1" applyBorder="1" applyAlignment="1">
      <alignment horizontal="center" vertical="center" wrapText="1"/>
    </xf>
    <xf numFmtId="0" fontId="10" fillId="36" borderId="17" xfId="0" applyFont="1" applyFill="1" applyBorder="1" applyAlignment="1">
      <alignment horizontal="center" vertical="center" wrapText="1"/>
    </xf>
    <xf numFmtId="0" fontId="10" fillId="36" borderId="18" xfId="0" applyFont="1" applyFill="1" applyBorder="1" applyAlignment="1">
      <alignment horizontal="center" vertical="center" wrapText="1"/>
    </xf>
    <xf numFmtId="0" fontId="10" fillId="36" borderId="15" xfId="0" applyFont="1" applyFill="1" applyBorder="1" applyAlignment="1">
      <alignment horizontal="center" vertical="center" wrapText="1"/>
    </xf>
    <xf numFmtId="0" fontId="56" fillId="5" borderId="18" xfId="3" applyFont="1" applyFill="1" applyBorder="1" applyAlignment="1">
      <alignment horizontal="center" vertical="center"/>
    </xf>
    <xf numFmtId="0" fontId="56" fillId="5" borderId="20" xfId="3" applyFont="1" applyFill="1" applyBorder="1" applyAlignment="1">
      <alignment horizontal="center" vertical="center"/>
    </xf>
    <xf numFmtId="0" fontId="10" fillId="36" borderId="16" xfId="0" applyFont="1" applyFill="1" applyBorder="1" applyAlignment="1">
      <alignment horizontal="center" vertical="center"/>
    </xf>
    <xf numFmtId="0" fontId="10" fillId="36" borderId="19" xfId="0" applyFont="1" applyFill="1" applyBorder="1" applyAlignment="1">
      <alignment horizontal="center" vertical="center"/>
    </xf>
    <xf numFmtId="0" fontId="10" fillId="36" borderId="18" xfId="0" applyFont="1" applyFill="1" applyBorder="1" applyAlignment="1">
      <alignment horizontal="center" vertical="center"/>
    </xf>
    <xf numFmtId="0" fontId="10" fillId="36" borderId="20" xfId="0" applyFont="1" applyFill="1" applyBorder="1" applyAlignment="1">
      <alignment horizontal="center" vertical="center"/>
    </xf>
    <xf numFmtId="0" fontId="10" fillId="36" borderId="21" xfId="0" applyFont="1" applyFill="1" applyBorder="1" applyAlignment="1">
      <alignment horizontal="center" vertical="center" wrapText="1"/>
    </xf>
    <xf numFmtId="0" fontId="10" fillId="36" borderId="5" xfId="0" applyFont="1" applyFill="1" applyBorder="1" applyAlignment="1">
      <alignment horizontal="center" vertical="center" wrapText="1"/>
    </xf>
    <xf numFmtId="0" fontId="10" fillId="36" borderId="22" xfId="0" applyFont="1" applyFill="1" applyBorder="1" applyAlignment="1">
      <alignment horizontal="center" vertical="center" wrapText="1"/>
    </xf>
    <xf numFmtId="0" fontId="7" fillId="2" borderId="16" xfId="3" applyFont="1" applyFill="1" applyBorder="1" applyAlignment="1">
      <alignment horizontal="center" vertical="center" wrapText="1"/>
    </xf>
    <xf numFmtId="0" fontId="7" fillId="2" borderId="19" xfId="3" applyFont="1" applyFill="1" applyBorder="1" applyAlignment="1">
      <alignment horizontal="center" vertical="center" wrapText="1"/>
    </xf>
    <xf numFmtId="0" fontId="56" fillId="4" borderId="17" xfId="3" applyFont="1" applyFill="1" applyBorder="1" applyAlignment="1">
      <alignment horizontal="center" vertical="center"/>
    </xf>
    <xf numFmtId="0" fontId="56" fillId="4" borderId="1" xfId="3" applyFont="1" applyFill="1" applyBorder="1" applyAlignment="1">
      <alignment horizontal="center" vertical="center"/>
    </xf>
    <xf numFmtId="0" fontId="56" fillId="3" borderId="17" xfId="3" applyFont="1" applyFill="1" applyBorder="1" applyAlignment="1">
      <alignment horizontal="center" vertical="center"/>
    </xf>
    <xf numFmtId="0" fontId="56" fillId="3" borderId="1" xfId="3" applyFont="1" applyFill="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6" xfId="0" applyFont="1" applyBorder="1" applyAlignment="1">
      <alignment horizontal="center" vertical="center"/>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6" xfId="0" applyFont="1" applyBorder="1" applyAlignment="1">
      <alignment horizontal="center" vertical="center" wrapText="1"/>
    </xf>
    <xf numFmtId="0" fontId="45" fillId="11" borderId="42" xfId="0" applyFont="1" applyFill="1" applyBorder="1" applyAlignment="1">
      <alignment horizontal="center" vertical="center" wrapText="1"/>
    </xf>
    <xf numFmtId="0" fontId="45" fillId="11" borderId="43" xfId="0" applyFont="1" applyFill="1" applyBorder="1" applyAlignment="1">
      <alignment horizontal="center" vertical="center" wrapText="1"/>
    </xf>
    <xf numFmtId="0" fontId="45" fillId="11" borderId="12" xfId="0" applyFont="1" applyFill="1" applyBorder="1" applyAlignment="1">
      <alignment horizontal="center" vertical="center" wrapText="1"/>
    </xf>
    <xf numFmtId="0" fontId="17" fillId="0" borderId="46" xfId="0" applyFont="1" applyBorder="1" applyAlignment="1">
      <alignment horizontal="center"/>
    </xf>
    <xf numFmtId="0" fontId="17" fillId="0" borderId="41" xfId="0" applyFont="1" applyBorder="1" applyAlignment="1">
      <alignment horizontal="center"/>
    </xf>
    <xf numFmtId="0" fontId="17" fillId="0" borderId="52" xfId="0" applyFont="1" applyBorder="1" applyAlignment="1">
      <alignment horizontal="center"/>
    </xf>
    <xf numFmtId="0" fontId="17" fillId="26" borderId="4" xfId="0" applyFont="1" applyFill="1" applyBorder="1" applyAlignment="1">
      <alignment horizontal="center" vertical="center" wrapText="1"/>
    </xf>
    <xf numFmtId="0" fontId="17" fillId="26" borderId="8" xfId="0" applyFont="1" applyFill="1" applyBorder="1" applyAlignment="1">
      <alignment horizontal="center" vertical="center" wrapText="1"/>
    </xf>
    <xf numFmtId="0" fontId="31" fillId="7" borderId="40" xfId="0" applyFont="1" applyFill="1" applyBorder="1" applyAlignment="1">
      <alignment horizontal="right" vertical="center" wrapText="1"/>
    </xf>
    <xf numFmtId="0" fontId="17" fillId="0" borderId="1" xfId="0" applyFont="1" applyBorder="1" applyAlignment="1">
      <alignment horizontal="center" vertical="center" wrapText="1"/>
    </xf>
    <xf numFmtId="0" fontId="46" fillId="11" borderId="42" xfId="0" applyFont="1" applyFill="1" applyBorder="1" applyAlignment="1">
      <alignment horizontal="left" wrapText="1"/>
    </xf>
    <xf numFmtId="0" fontId="46" fillId="11" borderId="12" xfId="0" applyFont="1" applyFill="1" applyBorder="1" applyAlignment="1">
      <alignment horizontal="left" wrapText="1"/>
    </xf>
    <xf numFmtId="0" fontId="46" fillId="0" borderId="41" xfId="0" applyFont="1" applyBorder="1" applyAlignment="1">
      <alignment horizontal="center"/>
    </xf>
    <xf numFmtId="0" fontId="46" fillId="28" borderId="38" xfId="0" applyFont="1" applyFill="1" applyBorder="1" applyAlignment="1">
      <alignment horizontal="left" wrapText="1"/>
    </xf>
    <xf numFmtId="0" fontId="46" fillId="28" borderId="53" xfId="0" applyFont="1" applyFill="1" applyBorder="1" applyAlignment="1">
      <alignment horizontal="left" wrapText="1"/>
    </xf>
    <xf numFmtId="0" fontId="46" fillId="25" borderId="1" xfId="0" applyFont="1" applyFill="1" applyBorder="1" applyAlignment="1">
      <alignment horizontal="center" wrapText="1"/>
    </xf>
    <xf numFmtId="0" fontId="35" fillId="0" borderId="9" xfId="0" applyFont="1" applyBorder="1" applyAlignment="1">
      <alignment horizontal="center"/>
    </xf>
    <xf numFmtId="0" fontId="35" fillId="0" borderId="6" xfId="0" applyFont="1" applyBorder="1" applyAlignment="1">
      <alignment horizontal="center"/>
    </xf>
    <xf numFmtId="0" fontId="35" fillId="17" borderId="9" xfId="0" applyFont="1" applyFill="1" applyBorder="1" applyAlignment="1">
      <alignment horizontal="center"/>
    </xf>
    <xf numFmtId="0" fontId="35" fillId="17" borderId="6" xfId="0" applyFont="1" applyFill="1" applyBorder="1" applyAlignment="1">
      <alignment horizontal="center"/>
    </xf>
    <xf numFmtId="0" fontId="35" fillId="21" borderId="1" xfId="0" applyFont="1" applyFill="1" applyBorder="1" applyAlignment="1">
      <alignment horizontal="center"/>
    </xf>
    <xf numFmtId="0" fontId="35" fillId="17" borderId="1" xfId="0" applyFont="1" applyFill="1" applyBorder="1" applyAlignment="1">
      <alignment horizontal="center"/>
    </xf>
    <xf numFmtId="0" fontId="67" fillId="24" borderId="2" xfId="0" applyFont="1" applyFill="1" applyBorder="1" applyAlignment="1">
      <alignment horizontal="center" vertical="top" wrapText="1"/>
    </xf>
    <xf numFmtId="0" fontId="67" fillId="24" borderId="35" xfId="0" applyFont="1" applyFill="1" applyBorder="1" applyAlignment="1">
      <alignment horizontal="center" vertical="top" wrapText="1"/>
    </xf>
    <xf numFmtId="0" fontId="67" fillId="24" borderId="36" xfId="0" applyFont="1" applyFill="1" applyBorder="1" applyAlignment="1">
      <alignment horizontal="center" vertical="top" wrapText="1"/>
    </xf>
    <xf numFmtId="0" fontId="38" fillId="13" borderId="4" xfId="0" applyFont="1" applyFill="1" applyBorder="1" applyAlignment="1">
      <alignment horizontal="center" vertical="center" wrapText="1"/>
    </xf>
    <xf numFmtId="0" fontId="38" fillId="13" borderId="104" xfId="0" applyFont="1" applyFill="1" applyBorder="1" applyAlignment="1">
      <alignment horizontal="center" vertical="center" wrapText="1"/>
    </xf>
    <xf numFmtId="0" fontId="39" fillId="11" borderId="84" xfId="0" applyFont="1" applyFill="1" applyBorder="1" applyAlignment="1">
      <alignment horizontal="center" vertical="center" wrapText="1"/>
    </xf>
    <xf numFmtId="0" fontId="39" fillId="11" borderId="15" xfId="0" applyFont="1" applyFill="1" applyBorder="1" applyAlignment="1">
      <alignment horizontal="center" vertical="center" wrapText="1"/>
    </xf>
    <xf numFmtId="0" fontId="39" fillId="11" borderId="85" xfId="0" applyFont="1" applyFill="1" applyBorder="1" applyAlignment="1">
      <alignment horizontal="center" vertical="center" wrapText="1"/>
    </xf>
    <xf numFmtId="0" fontId="24" fillId="24" borderId="9" xfId="0" applyFont="1" applyFill="1" applyBorder="1" applyAlignment="1">
      <alignment horizontal="center" vertical="top" wrapText="1"/>
    </xf>
    <xf numFmtId="0" fontId="66" fillId="24" borderId="2" xfId="0" applyFont="1" applyFill="1" applyBorder="1" applyAlignment="1">
      <alignment horizontal="center" vertical="top" wrapText="1"/>
    </xf>
    <xf numFmtId="0" fontId="66" fillId="24" borderId="35" xfId="0" applyFont="1" applyFill="1" applyBorder="1" applyAlignment="1">
      <alignment horizontal="center" vertical="top" wrapText="1"/>
    </xf>
    <xf numFmtId="0" fontId="66" fillId="24" borderId="36" xfId="0" applyFont="1" applyFill="1" applyBorder="1" applyAlignment="1">
      <alignment horizontal="center" vertical="top" wrapText="1"/>
    </xf>
    <xf numFmtId="0" fontId="40" fillId="11" borderId="9" xfId="0" applyFont="1" applyFill="1" applyBorder="1" applyAlignment="1">
      <alignment horizontal="center" vertical="center" textRotation="90" wrapText="1"/>
    </xf>
    <xf numFmtId="0" fontId="40" fillId="11" borderId="10" xfId="0" applyFont="1" applyFill="1" applyBorder="1" applyAlignment="1">
      <alignment horizontal="center" vertical="center" textRotation="90" wrapText="1"/>
    </xf>
    <xf numFmtId="0" fontId="57" fillId="24" borderId="31" xfId="0" applyFont="1" applyFill="1" applyBorder="1" applyAlignment="1">
      <alignment horizontal="center" vertical="center" textRotation="90" wrapText="1"/>
    </xf>
    <xf numFmtId="0" fontId="57" fillId="24" borderId="44" xfId="0" applyFont="1" applyFill="1" applyBorder="1" applyAlignment="1">
      <alignment horizontal="center" vertical="center" textRotation="90" wrapText="1"/>
    </xf>
    <xf numFmtId="0" fontId="57" fillId="24" borderId="99" xfId="0" applyFont="1" applyFill="1" applyBorder="1" applyAlignment="1">
      <alignment horizontal="center" vertical="center" textRotation="90" wrapText="1"/>
    </xf>
    <xf numFmtId="0" fontId="57" fillId="24" borderId="9" xfId="0" applyFont="1" applyFill="1" applyBorder="1" applyAlignment="1">
      <alignment horizontal="center" vertical="center" textRotation="90" wrapText="1"/>
    </xf>
    <xf numFmtId="0" fontId="57" fillId="24" borderId="10" xfId="0" applyFont="1" applyFill="1" applyBorder="1" applyAlignment="1">
      <alignment horizontal="center" vertical="center" textRotation="90" wrapText="1"/>
    </xf>
    <xf numFmtId="0" fontId="22" fillId="7" borderId="1" xfId="0" applyFont="1" applyFill="1" applyBorder="1" applyAlignment="1">
      <alignment horizontal="justify" vertical="center" wrapText="1"/>
    </xf>
    <xf numFmtId="0" fontId="22" fillId="7" borderId="20" xfId="0" applyFont="1" applyFill="1" applyBorder="1" applyAlignment="1">
      <alignment horizontal="justify" vertical="center" wrapText="1"/>
    </xf>
    <xf numFmtId="17" fontId="40" fillId="11" borderId="31" xfId="0" applyNumberFormat="1" applyFont="1" applyFill="1" applyBorder="1" applyAlignment="1">
      <alignment horizontal="center" vertical="center" textRotation="90" wrapText="1"/>
    </xf>
    <xf numFmtId="0" fontId="40" fillId="11" borderId="44" xfId="0" applyFont="1" applyFill="1" applyBorder="1" applyAlignment="1">
      <alignment horizontal="center" vertical="center" textRotation="90" wrapText="1"/>
    </xf>
    <xf numFmtId="0" fontId="66" fillId="38" borderId="2" xfId="0" applyFont="1" applyFill="1" applyBorder="1" applyAlignment="1">
      <alignment horizontal="center" vertical="center" wrapText="1"/>
    </xf>
    <xf numFmtId="0" fontId="66" fillId="38" borderId="35" xfId="0" applyFont="1" applyFill="1" applyBorder="1" applyAlignment="1">
      <alignment horizontal="center" vertical="center" wrapText="1"/>
    </xf>
    <xf numFmtId="0" fontId="66" fillId="38" borderId="36" xfId="0" applyFont="1" applyFill="1" applyBorder="1" applyAlignment="1">
      <alignment horizontal="center" vertical="center" wrapText="1"/>
    </xf>
    <xf numFmtId="0" fontId="39" fillId="11" borderId="102" xfId="0" applyFont="1" applyFill="1" applyBorder="1" applyAlignment="1">
      <alignment horizontal="center" vertical="center" wrapText="1"/>
    </xf>
    <xf numFmtId="0" fontId="39" fillId="11" borderId="10" xfId="0" applyFont="1" applyFill="1" applyBorder="1" applyAlignment="1">
      <alignment horizontal="center" vertical="center" wrapText="1"/>
    </xf>
    <xf numFmtId="0" fontId="39" fillId="11" borderId="6" xfId="0" applyFont="1" applyFill="1" applyBorder="1" applyAlignment="1">
      <alignment horizontal="center" vertical="center" wrapText="1"/>
    </xf>
    <xf numFmtId="0" fontId="40" fillId="11" borderId="19" xfId="0" applyFont="1" applyFill="1" applyBorder="1" applyAlignment="1">
      <alignment horizontal="center" vertical="center"/>
    </xf>
    <xf numFmtId="0" fontId="40" fillId="11" borderId="1" xfId="0" applyFont="1" applyFill="1" applyBorder="1" applyAlignment="1">
      <alignment horizontal="center" vertical="center"/>
    </xf>
    <xf numFmtId="0" fontId="40" fillId="11" borderId="20" xfId="0" applyFont="1" applyFill="1" applyBorder="1" applyAlignment="1">
      <alignment horizontal="center" vertical="center"/>
    </xf>
    <xf numFmtId="0" fontId="40" fillId="11" borderId="16" xfId="0" applyFont="1" applyFill="1" applyBorder="1" applyAlignment="1">
      <alignment horizontal="center" vertical="center"/>
    </xf>
    <xf numFmtId="0" fontId="40" fillId="11" borderId="17" xfId="0" applyFont="1" applyFill="1" applyBorder="1" applyAlignment="1">
      <alignment horizontal="center" vertical="center"/>
    </xf>
    <xf numFmtId="0" fontId="40" fillId="11" borderId="18" xfId="0" applyFont="1" applyFill="1" applyBorder="1" applyAlignment="1">
      <alignment horizontal="center" vertical="center"/>
    </xf>
    <xf numFmtId="0" fontId="38" fillId="13" borderId="1" xfId="0" applyFont="1" applyFill="1" applyBorder="1" applyAlignment="1">
      <alignment horizontal="center" vertical="center" wrapText="1"/>
    </xf>
    <xf numFmtId="0" fontId="20" fillId="12" borderId="0" xfId="0" applyFont="1" applyFill="1" applyAlignment="1">
      <alignment horizontal="center" vertical="center" wrapText="1"/>
    </xf>
    <xf numFmtId="0" fontId="20" fillId="12" borderId="99" xfId="0" applyFont="1" applyFill="1" applyBorder="1" applyAlignment="1">
      <alignment horizontal="center" vertical="center" wrapText="1"/>
    </xf>
    <xf numFmtId="0" fontId="20" fillId="12" borderId="41" xfId="0" applyFont="1" applyFill="1" applyBorder="1" applyAlignment="1">
      <alignment horizontal="center" vertical="center" wrapText="1"/>
    </xf>
    <xf numFmtId="0" fontId="20" fillId="12" borderId="105" xfId="0" applyFont="1" applyFill="1" applyBorder="1" applyAlignment="1">
      <alignment horizontal="center" vertical="center" wrapText="1"/>
    </xf>
    <xf numFmtId="17" fontId="22" fillId="7" borderId="1" xfId="0" applyNumberFormat="1" applyFont="1" applyFill="1" applyBorder="1" applyAlignment="1">
      <alignment horizontal="center" vertical="center" wrapText="1"/>
    </xf>
    <xf numFmtId="0" fontId="22" fillId="7" borderId="1" xfId="0" applyFont="1" applyFill="1" applyBorder="1" applyAlignment="1">
      <alignment horizontal="center" vertical="center" wrapText="1"/>
    </xf>
    <xf numFmtId="0" fontId="22" fillId="7" borderId="20" xfId="0" applyFont="1" applyFill="1" applyBorder="1" applyAlignment="1">
      <alignment horizontal="center" vertical="center" wrapText="1"/>
    </xf>
    <xf numFmtId="0" fontId="40" fillId="11" borderId="48" xfId="0" applyFont="1" applyFill="1" applyBorder="1" applyAlignment="1">
      <alignment horizontal="center" vertical="center" textRotation="90" wrapText="1"/>
    </xf>
    <xf numFmtId="0" fontId="40" fillId="11" borderId="101" xfId="0" applyFont="1" applyFill="1" applyBorder="1" applyAlignment="1">
      <alignment horizontal="center" vertical="center" textRotation="90" wrapText="1"/>
    </xf>
    <xf numFmtId="0" fontId="27" fillId="13" borderId="47" xfId="0" applyFont="1" applyFill="1" applyBorder="1" applyAlignment="1">
      <alignment horizontal="center" vertical="center" wrapText="1"/>
    </xf>
    <xf numFmtId="0" fontId="27" fillId="13" borderId="33" xfId="0" applyFont="1" applyFill="1" applyBorder="1" applyAlignment="1">
      <alignment horizontal="center" vertical="center" wrapText="1"/>
    </xf>
    <xf numFmtId="0" fontId="27" fillId="13" borderId="11" xfId="0" applyFont="1" applyFill="1" applyBorder="1" applyAlignment="1">
      <alignment horizontal="center" vertical="center" wrapText="1"/>
    </xf>
    <xf numFmtId="0" fontId="27" fillId="13" borderId="0" xfId="0" applyFont="1" applyFill="1" applyAlignment="1">
      <alignment horizontal="center" vertical="center" wrapText="1"/>
    </xf>
    <xf numFmtId="0" fontId="21" fillId="0" borderId="33" xfId="0" applyFont="1" applyBorder="1" applyAlignment="1">
      <alignment horizontal="center" vertical="center" wrapText="1"/>
    </xf>
    <xf numFmtId="0" fontId="21" fillId="0" borderId="34" xfId="0" applyFont="1" applyBorder="1" applyAlignment="1">
      <alignment horizontal="center" vertical="center" wrapText="1"/>
    </xf>
    <xf numFmtId="0" fontId="21" fillId="0" borderId="0" xfId="0" applyFont="1" applyAlignment="1">
      <alignment horizontal="center" vertical="center" wrapText="1"/>
    </xf>
    <xf numFmtId="0" fontId="21" fillId="0" borderId="14" xfId="0" applyFont="1" applyBorder="1" applyAlignment="1">
      <alignment horizontal="center" vertical="center" wrapText="1"/>
    </xf>
    <xf numFmtId="0" fontId="39" fillId="11" borderId="103" xfId="0" applyFont="1" applyFill="1" applyBorder="1" applyAlignment="1">
      <alignment horizontal="center" vertical="center" wrapText="1"/>
    </xf>
    <xf numFmtId="0" fontId="39" fillId="11" borderId="44" xfId="0" applyFont="1" applyFill="1" applyBorder="1" applyAlignment="1">
      <alignment horizontal="center" vertical="center" wrapText="1"/>
    </xf>
    <xf numFmtId="0" fontId="39" fillId="11" borderId="29" xfId="0" applyFont="1" applyFill="1" applyBorder="1" applyAlignment="1">
      <alignment horizontal="center" vertical="center" wrapText="1"/>
    </xf>
    <xf numFmtId="0" fontId="39" fillId="11" borderId="100" xfId="0" applyFont="1" applyFill="1" applyBorder="1" applyAlignment="1">
      <alignment horizontal="center" vertical="center" wrapText="1"/>
    </xf>
    <xf numFmtId="0" fontId="39" fillId="11" borderId="101" xfId="0" applyFont="1" applyFill="1" applyBorder="1" applyAlignment="1">
      <alignment horizontal="center" vertical="center" wrapText="1"/>
    </xf>
    <xf numFmtId="0" fontId="39" fillId="11" borderId="49" xfId="0" applyFont="1" applyFill="1" applyBorder="1" applyAlignment="1">
      <alignment horizontal="center" vertical="center" wrapText="1"/>
    </xf>
    <xf numFmtId="0" fontId="40" fillId="11" borderId="16" xfId="0" applyFont="1" applyFill="1" applyBorder="1" applyAlignment="1">
      <alignment horizontal="center" vertical="center" wrapText="1"/>
    </xf>
    <xf numFmtId="0" fontId="40" fillId="11" borderId="17" xfId="0" applyFont="1" applyFill="1" applyBorder="1" applyAlignment="1">
      <alignment horizontal="center" vertical="center" wrapText="1"/>
    </xf>
    <xf numFmtId="0" fontId="40" fillId="11" borderId="87" xfId="0" applyFont="1" applyFill="1" applyBorder="1" applyAlignment="1">
      <alignment horizontal="center" vertical="center" wrapText="1"/>
    </xf>
    <xf numFmtId="0" fontId="40" fillId="11" borderId="31" xfId="0" applyFont="1" applyFill="1" applyBorder="1" applyAlignment="1">
      <alignment horizontal="center" vertical="center" textRotation="90" wrapText="1"/>
    </xf>
    <xf numFmtId="0" fontId="57" fillId="24" borderId="86" xfId="0" applyFont="1" applyFill="1" applyBorder="1" applyAlignment="1">
      <alignment horizontal="center" vertical="center" textRotation="90" wrapText="1"/>
    </xf>
    <xf numFmtId="0" fontId="57" fillId="24" borderId="11" xfId="0" applyFont="1" applyFill="1" applyBorder="1" applyAlignment="1">
      <alignment horizontal="center" vertical="center" textRotation="90" wrapText="1"/>
    </xf>
    <xf numFmtId="0" fontId="65" fillId="17" borderId="31" xfId="0" applyFont="1" applyFill="1" applyBorder="1" applyAlignment="1">
      <alignment horizontal="justify" vertical="center" wrapText="1"/>
    </xf>
    <xf numFmtId="0" fontId="65" fillId="17" borderId="29" xfId="0" applyFont="1" applyFill="1" applyBorder="1" applyAlignment="1">
      <alignment horizontal="justify" vertical="center" wrapText="1"/>
    </xf>
    <xf numFmtId="0" fontId="65" fillId="17" borderId="9" xfId="0" applyFont="1" applyFill="1" applyBorder="1" applyAlignment="1">
      <alignment horizontal="left" vertical="center" wrapText="1"/>
    </xf>
    <xf numFmtId="0" fontId="65" fillId="17" borderId="6" xfId="0" applyFont="1" applyFill="1" applyBorder="1" applyAlignment="1">
      <alignment horizontal="left" vertical="center" wrapText="1"/>
    </xf>
    <xf numFmtId="0" fontId="39" fillId="11" borderId="33" xfId="0" applyFont="1" applyFill="1" applyBorder="1" applyAlignment="1">
      <alignment horizontal="center" vertical="center" wrapText="1"/>
    </xf>
    <xf numFmtId="0" fontId="39" fillId="11" borderId="0" xfId="0" applyFont="1" applyFill="1" applyAlignment="1">
      <alignment horizontal="center" vertical="center" wrapText="1"/>
    </xf>
    <xf numFmtId="0" fontId="39" fillId="11" borderId="41" xfId="0" applyFont="1" applyFill="1" applyBorder="1" applyAlignment="1">
      <alignment horizontal="center" vertical="center" wrapText="1"/>
    </xf>
    <xf numFmtId="0" fontId="39" fillId="11" borderId="112" xfId="0" applyFont="1" applyFill="1" applyBorder="1" applyAlignment="1">
      <alignment horizontal="center" vertical="center" wrapText="1"/>
    </xf>
    <xf numFmtId="0" fontId="3" fillId="9" borderId="15" xfId="3" applyFont="1" applyFill="1" applyBorder="1" applyAlignment="1">
      <alignment horizontal="center" vertical="center" wrapText="1"/>
    </xf>
    <xf numFmtId="0" fontId="10" fillId="9" borderId="2" xfId="0" applyFont="1" applyFill="1" applyBorder="1" applyAlignment="1">
      <alignment horizontal="center" vertical="center"/>
    </xf>
    <xf numFmtId="0" fontId="10" fillId="9" borderId="36" xfId="0" applyFont="1" applyFill="1" applyBorder="1" applyAlignment="1">
      <alignment horizontal="center" vertical="center"/>
    </xf>
    <xf numFmtId="0" fontId="19" fillId="7" borderId="13" xfId="0" applyFont="1" applyFill="1" applyBorder="1" applyAlignment="1">
      <alignment horizontal="left" vertical="top" wrapText="1"/>
    </xf>
    <xf numFmtId="0" fontId="19" fillId="7" borderId="0" xfId="0" applyFont="1" applyFill="1" applyAlignment="1">
      <alignment horizontal="left" vertical="top" wrapText="1"/>
    </xf>
    <xf numFmtId="0" fontId="19" fillId="7" borderId="14" xfId="0" applyFont="1" applyFill="1" applyBorder="1" applyAlignment="1">
      <alignment horizontal="left" vertical="top" wrapText="1"/>
    </xf>
    <xf numFmtId="0" fontId="3" fillId="9" borderId="13" xfId="3" applyFont="1" applyFill="1" applyBorder="1" applyAlignment="1">
      <alignment horizontal="center" vertical="center" wrapText="1"/>
    </xf>
    <xf numFmtId="0" fontId="3" fillId="9" borderId="14" xfId="3" applyFont="1" applyFill="1" applyBorder="1" applyAlignment="1">
      <alignment horizontal="center" vertical="center" wrapText="1"/>
    </xf>
    <xf numFmtId="0" fontId="10" fillId="9" borderId="27" xfId="0" applyFont="1" applyFill="1" applyBorder="1" applyAlignment="1">
      <alignment horizontal="center"/>
    </xf>
    <xf numFmtId="0" fontId="11" fillId="8" borderId="24" xfId="0" applyFont="1" applyFill="1" applyBorder="1" applyAlignment="1">
      <alignment horizontal="center" vertical="center" wrapText="1"/>
    </xf>
    <xf numFmtId="0" fontId="11" fillId="8" borderId="98" xfId="0" applyFont="1" applyFill="1" applyBorder="1" applyAlignment="1">
      <alignment horizontal="center" vertical="center" wrapText="1"/>
    </xf>
    <xf numFmtId="0" fontId="3" fillId="9" borderId="7" xfId="3" applyFont="1" applyFill="1" applyBorder="1" applyAlignment="1">
      <alignment horizontal="center" vertical="center" wrapText="1"/>
    </xf>
    <xf numFmtId="0" fontId="5" fillId="9" borderId="4" xfId="3" applyFont="1" applyFill="1" applyBorder="1" applyAlignment="1">
      <alignment horizontal="center" vertical="center" wrapText="1"/>
    </xf>
    <xf numFmtId="0" fontId="10" fillId="9" borderId="37" xfId="0" applyFont="1" applyFill="1" applyBorder="1" applyAlignment="1">
      <alignment horizontal="center"/>
    </xf>
    <xf numFmtId="0" fontId="0" fillId="0" borderId="31" xfId="0" applyBorder="1" applyAlignment="1">
      <alignment horizontal="center" vertical="center"/>
    </xf>
    <xf numFmtId="0" fontId="17" fillId="0" borderId="17" xfId="0" applyFont="1" applyBorder="1" applyAlignment="1">
      <alignment horizontal="center" vertical="center"/>
    </xf>
    <xf numFmtId="0" fontId="17" fillId="0" borderId="1" xfId="0" applyFont="1" applyBorder="1" applyAlignment="1">
      <alignment horizontal="center" vertical="center"/>
    </xf>
    <xf numFmtId="0" fontId="17" fillId="0" borderId="5" xfId="0" applyFont="1" applyBorder="1" applyAlignment="1">
      <alignment horizontal="center" vertical="center"/>
    </xf>
  </cellXfs>
  <cellStyles count="19">
    <cellStyle name="BodyStyle" xfId="16"/>
    <cellStyle name="Currency" xfId="17"/>
    <cellStyle name="Énfasis1 2" xfId="11"/>
    <cellStyle name="Énfasis2 2" xfId="12"/>
    <cellStyle name="HeaderStyle" xfId="15"/>
    <cellStyle name="Hipervínculo" xfId="5" builtinId="8"/>
    <cellStyle name="Hipervínculo 2" xfId="6"/>
    <cellStyle name="Incorrecto 2" xfId="13"/>
    <cellStyle name="Millares" xfId="1" builtinId="3"/>
    <cellStyle name="Millares [0]" xfId="18" builtinId="6"/>
    <cellStyle name="Moneda 2" xfId="7"/>
    <cellStyle name="Moneda 3" xfId="8"/>
    <cellStyle name="Normal" xfId="0" builtinId="0"/>
    <cellStyle name="Normal 2" xfId="9"/>
    <cellStyle name="Normal 2 2" xfId="4"/>
    <cellStyle name="Normal 3" xfId="3"/>
    <cellStyle name="Normal 4" xfId="14"/>
    <cellStyle name="Normal 7" xfId="10"/>
    <cellStyle name="Porcentaje" xfId="2" builtinId="5"/>
  </cellStyles>
  <dxfs count="151">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ont>
        <b val="0"/>
        <i val="0"/>
        <strike val="0"/>
        <condense val="0"/>
        <extend val="0"/>
        <outline val="0"/>
        <shadow val="0"/>
        <u val="none"/>
        <vertAlign val="baseline"/>
        <sz val="11"/>
        <color auto="1"/>
        <name val="Century Gothic"/>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color auto="1"/>
        <name val="Century Gothic"/>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1"/>
        <color auto="1"/>
        <name val="Century Gothic"/>
        <scheme val="none"/>
      </font>
      <alignment horizontal="center" vertical="center" textRotation="0" wrapText="1" indent="0" justifyLastLine="0" shrinkToFit="0" readingOrder="0"/>
      <border diagonalUp="0" diagonalDown="0" outline="0">
        <left style="thin">
          <color auto="1"/>
        </left>
        <right/>
        <top style="thin">
          <color auto="1"/>
        </top>
        <bottom/>
      </border>
    </dxf>
    <dxf>
      <font>
        <strike val="0"/>
        <outline val="0"/>
        <shadow val="0"/>
        <u val="none"/>
        <vertAlign val="baseline"/>
        <color auto="1"/>
        <name val="Century Gothic"/>
        <scheme val="none"/>
      </font>
      <fill>
        <patternFill patternType="none">
          <fgColor indexed="64"/>
          <bgColor auto="1"/>
        </patternFill>
      </fill>
      <alignment horizontal="center" vertical="center" textRotation="0" wrapText="1"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entury Gothic"/>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color auto="1"/>
        <name val="Century Gothic"/>
        <scheme val="none"/>
      </font>
      <fill>
        <patternFill patternType="none">
          <fgColor indexed="64"/>
          <bgColor auto="1"/>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entury Gothic"/>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color auto="1"/>
        <name val="Century Gothic"/>
        <scheme val="none"/>
      </font>
      <fill>
        <patternFill patternType="none">
          <fgColor indexed="64"/>
          <bgColor auto="1"/>
        </patternFill>
      </fill>
      <alignment horizontal="center" vertical="center"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entury Gothic"/>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color auto="1"/>
        <name val="Century Gothic"/>
        <scheme val="none"/>
      </font>
      <fill>
        <patternFill patternType="none">
          <fgColor indexed="64"/>
          <bgColor auto="1"/>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entury Gothic"/>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color auto="1"/>
        <name val="Century Gothic"/>
        <scheme val="none"/>
      </font>
      <numFmt numFmtId="0" formatCode="General"/>
      <fill>
        <patternFill patternType="none">
          <fgColor indexed="64"/>
          <bgColor auto="1"/>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entury Gothic"/>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color auto="1"/>
        <name val="Century Gothic"/>
        <scheme val="none"/>
      </font>
      <fill>
        <patternFill patternType="none">
          <fgColor indexed="64"/>
          <bgColor auto="1"/>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entury Gothic"/>
        <scheme val="none"/>
      </font>
      <border diagonalUp="0" diagonalDown="0" outline="0">
        <left style="thin">
          <color indexed="64"/>
        </left>
        <right style="thin">
          <color indexed="64"/>
        </right>
        <top style="thin">
          <color indexed="64"/>
        </top>
        <bottom/>
      </border>
    </dxf>
    <dxf>
      <font>
        <strike val="0"/>
        <outline val="0"/>
        <shadow val="0"/>
        <u val="none"/>
        <vertAlign val="baseline"/>
        <color auto="1"/>
        <name val="Century Gothic"/>
        <scheme val="none"/>
      </font>
      <fill>
        <patternFill patternType="none">
          <fgColor indexed="64"/>
          <bgColor auto="1"/>
        </patternFill>
      </fill>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entury Gothic"/>
        <scheme val="none"/>
      </font>
      <border diagonalUp="0" diagonalDown="0" outline="0">
        <left style="thin">
          <color indexed="64"/>
        </left>
        <right style="thin">
          <color indexed="64"/>
        </right>
        <top style="thin">
          <color indexed="64"/>
        </top>
        <bottom/>
      </border>
    </dxf>
    <dxf>
      <font>
        <strike val="0"/>
        <outline val="0"/>
        <shadow val="0"/>
        <u val="none"/>
        <vertAlign val="baseline"/>
        <color auto="1"/>
        <name val="Century Gothic"/>
        <scheme val="none"/>
      </font>
      <fill>
        <patternFill patternType="none">
          <fgColor indexed="64"/>
          <bgColor auto="1"/>
        </patternFill>
      </fill>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auto="1"/>
        <name val="Century Gothic"/>
        <scheme val="none"/>
      </font>
      <border diagonalUp="0" diagonalDown="0" outline="0">
        <left/>
        <right style="thin">
          <color auto="1"/>
        </right>
        <top style="thin">
          <color auto="1"/>
        </top>
        <bottom/>
      </border>
    </dxf>
    <dxf>
      <font>
        <strike val="0"/>
        <outline val="0"/>
        <shadow val="0"/>
        <u val="none"/>
        <vertAlign val="baseline"/>
        <color auto="1"/>
        <name val="Century Gothic"/>
        <scheme val="none"/>
      </font>
      <fill>
        <patternFill patternType="none">
          <fgColor indexed="64"/>
          <bgColor auto="1"/>
        </patternFill>
      </fill>
      <border diagonalUp="0" diagonalDown="0">
        <left/>
        <right style="thin">
          <color auto="1"/>
        </right>
        <top style="thin">
          <color auto="1"/>
        </top>
        <bottom style="thin">
          <color auto="1"/>
        </bottom>
        <vertical style="thin">
          <color auto="1"/>
        </vertical>
        <horizontal style="thin">
          <color auto="1"/>
        </horizontal>
      </border>
    </dxf>
    <dxf>
      <border outline="0">
        <top style="thin">
          <color auto="1"/>
        </top>
      </border>
    </dxf>
    <dxf>
      <border outline="0">
        <left style="thin">
          <color auto="1"/>
        </left>
        <right style="thin">
          <color auto="1"/>
        </right>
        <top style="thin">
          <color auto="1"/>
        </top>
        <bottom style="thin">
          <color auto="1"/>
        </bottom>
      </border>
    </dxf>
    <dxf>
      <font>
        <strike val="0"/>
        <outline val="0"/>
        <shadow val="0"/>
        <u val="none"/>
        <vertAlign val="baseline"/>
        <color auto="1"/>
        <name val="Century Gothic"/>
        <scheme val="none"/>
      </font>
      <fill>
        <patternFill patternType="none">
          <fgColor indexed="64"/>
          <bgColor auto="1"/>
        </patternFill>
      </fill>
      <alignment horizontal="center" vertical="bottom" textRotation="0" wrapText="0" indent="0" justifyLastLine="0" shrinkToFit="0" readingOrder="0"/>
    </dxf>
    <dxf>
      <border outline="0">
        <bottom style="thin">
          <color auto="1"/>
        </bottom>
      </border>
    </dxf>
    <dxf>
      <font>
        <strike val="0"/>
        <outline val="0"/>
        <shadow val="0"/>
        <u val="none"/>
        <vertAlign val="baseline"/>
        <sz val="11"/>
        <color theme="1"/>
        <name val="Century Gothic"/>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
      <font>
        <name val="Century Gothic"/>
        <scheme val="none"/>
      </font>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theme="1" tint="0.14996795556505021"/>
        </patternFill>
      </fill>
    </dxf>
    <dxf>
      <fill>
        <patternFill>
          <bgColor rgb="FFFFC000"/>
        </patternFill>
      </fill>
    </dxf>
    <dxf>
      <fill>
        <patternFill>
          <bgColor rgb="FF92D050"/>
        </patternFill>
      </fill>
    </dxf>
    <dxf>
      <fill>
        <patternFill>
          <bgColor theme="1" tint="0.14996795556505021"/>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s>
  <tableStyles count="0" defaultTableStyle="TableStyleMedium2" defaultPivotStyle="PivotStyleLight16"/>
  <colors>
    <mruColors>
      <color rgb="FF99CC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ivotCacheDefinition" Target="pivotCache/pivotCacheDefinition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ANALISIS OCI'!A1"/><Relationship Id="rId7" Type="http://schemas.openxmlformats.org/officeDocument/2006/relationships/hyperlink" Target="#'CONOCIMIENTO ENT'!A1"/><Relationship Id="rId2" Type="http://schemas.openxmlformats.org/officeDocument/2006/relationships/image" Target="../media/image1.jpeg"/><Relationship Id="rId1" Type="http://schemas.openxmlformats.org/officeDocument/2006/relationships/hyperlink" Target="#'PRIORIZACI&#211;N (2)'!A1"/><Relationship Id="rId6" Type="http://schemas.openxmlformats.org/officeDocument/2006/relationships/hyperlink" Target="#GLOSARIO!A1"/><Relationship Id="rId5" Type="http://schemas.openxmlformats.org/officeDocument/2006/relationships/hyperlink" Target="#'PAA OCI  '!A1"/><Relationship Id="rId4" Type="http://schemas.openxmlformats.org/officeDocument/2006/relationships/image" Target="../media/image2.jpeg"/></Relationships>
</file>

<file path=xl/drawings/_rels/drawing10.xml.rels><?xml version="1.0" encoding="UTF-8" standalone="yes"?>
<Relationships xmlns="http://schemas.openxmlformats.org/package/2006/relationships"><Relationship Id="rId3" Type="http://schemas.openxmlformats.org/officeDocument/2006/relationships/hyperlink" Target="#'MIPPA 2'!A1"/><Relationship Id="rId2" Type="http://schemas.openxmlformats.org/officeDocument/2006/relationships/hyperlink" Target="#'MENU CAJA DE HERRAMIENTAS'!A1"/><Relationship Id="rId1" Type="http://schemas.openxmlformats.org/officeDocument/2006/relationships/image" Target="../media/image5.gif"/><Relationship Id="rId5" Type="http://schemas.openxmlformats.org/officeDocument/2006/relationships/image" Target="../media/image12.png"/><Relationship Id="rId4" Type="http://schemas.openxmlformats.org/officeDocument/2006/relationships/image" Target="../media/image7.png"/></Relationships>
</file>

<file path=xl/drawings/_rels/drawing11.xml.rels><?xml version="1.0" encoding="UTF-8" standalone="yes"?>
<Relationships xmlns="http://schemas.openxmlformats.org/package/2006/relationships"><Relationship Id="rId2" Type="http://schemas.openxmlformats.org/officeDocument/2006/relationships/image" Target="../media/image6.gif"/><Relationship Id="rId1" Type="http://schemas.openxmlformats.org/officeDocument/2006/relationships/hyperlink" Target="#'1. Horas requeridas PAAI'!A1"/></Relationships>
</file>

<file path=xl/drawings/_rels/drawing12.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hyperlink" Target="#'MENU CAJA DE HERRAMIENTAS'!A1"/><Relationship Id="rId1" Type="http://schemas.openxmlformats.org/officeDocument/2006/relationships/image" Target="../media/image5.gif"/></Relationships>
</file>

<file path=xl/drawings/_rels/drawing13.xml.rels><?xml version="1.0" encoding="UTF-8" standalone="yes"?>
<Relationships xmlns="http://schemas.openxmlformats.org/package/2006/relationships"><Relationship Id="rId3" Type="http://schemas.openxmlformats.org/officeDocument/2006/relationships/hyperlink" Target="#'MIPPA 1.1'!A1"/><Relationship Id="rId2" Type="http://schemas.openxmlformats.org/officeDocument/2006/relationships/image" Target="../media/image5.gif"/><Relationship Id="rId1" Type="http://schemas.openxmlformats.org/officeDocument/2006/relationships/hyperlink" Target="#'MENU CAJA DE HERRAMIENTAS'!A1"/><Relationship Id="rId5" Type="http://schemas.openxmlformats.org/officeDocument/2006/relationships/image" Target="../media/image12.png"/><Relationship Id="rId4" Type="http://schemas.openxmlformats.org/officeDocument/2006/relationships/image" Target="../media/image7.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9.gif"/></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5.gif"/><Relationship Id="rId1" Type="http://schemas.openxmlformats.org/officeDocument/2006/relationships/hyperlink" Target="#'MENU CAJA DE HERRAMIENTAS'!A1"/></Relationships>
</file>

<file path=xl/drawings/_rels/drawing5.xml.rels><?xml version="1.0" encoding="UTF-8" standalone="yes"?>
<Relationships xmlns="http://schemas.openxmlformats.org/package/2006/relationships"><Relationship Id="rId2" Type="http://schemas.openxmlformats.org/officeDocument/2006/relationships/image" Target="../media/image6.gif"/><Relationship Id="rId1" Type="http://schemas.openxmlformats.org/officeDocument/2006/relationships/hyperlink" Target="#'CONOCIMIENTO ENT'!A1"/></Relationships>
</file>

<file path=xl/drawings/_rels/drawing6.xml.rels><?xml version="1.0" encoding="UTF-8" standalone="yes"?>
<Relationships xmlns="http://schemas.openxmlformats.org/package/2006/relationships"><Relationship Id="rId3" Type="http://schemas.openxmlformats.org/officeDocument/2006/relationships/hyperlink" Target="#'MENU CAJA DE HERRAMIENTAS'!A1"/><Relationship Id="rId2" Type="http://schemas.openxmlformats.org/officeDocument/2006/relationships/image" Target="../media/image7.png"/><Relationship Id="rId1" Type="http://schemas.openxmlformats.org/officeDocument/2006/relationships/hyperlink" Target="#'MIPPA 1'!A1"/><Relationship Id="rId5" Type="http://schemas.openxmlformats.org/officeDocument/2006/relationships/image" Target="../media/image8.png"/><Relationship Id="rId4" Type="http://schemas.openxmlformats.org/officeDocument/2006/relationships/image" Target="../media/image5.gif"/></Relationships>
</file>

<file path=xl/drawings/_rels/drawing7.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hyperlink" Target="#'MIPPA 1.1'!A1"/><Relationship Id="rId1" Type="http://schemas.openxmlformats.org/officeDocument/2006/relationships/image" Target="../media/image9.gif"/><Relationship Id="rId6" Type="http://schemas.openxmlformats.org/officeDocument/2006/relationships/image" Target="../media/image8.png"/><Relationship Id="rId5" Type="http://schemas.openxmlformats.org/officeDocument/2006/relationships/image" Target="../media/image10.png"/><Relationship Id="rId4" Type="http://schemas.openxmlformats.org/officeDocument/2006/relationships/hyperlink" Target="#'MENU CAJA DE HERRAMIENTAS'!A1"/></Relationships>
</file>

<file path=xl/drawings/_rels/drawing8.xml.rels><?xml version="1.0" encoding="UTF-8" standalone="yes"?>
<Relationships xmlns="http://schemas.openxmlformats.org/package/2006/relationships"><Relationship Id="rId2" Type="http://schemas.openxmlformats.org/officeDocument/2006/relationships/image" Target="../media/image6.gif"/><Relationship Id="rId1" Type="http://schemas.openxmlformats.org/officeDocument/2006/relationships/hyperlink" Target="#'PRIORIZACI&#211;N (2)'!A1"/></Relationships>
</file>

<file path=xl/drawings/_rels/drawing9.xml.rels><?xml version="1.0" encoding="UTF-8" standalone="yes"?>
<Relationships xmlns="http://schemas.openxmlformats.org/package/2006/relationships"><Relationship Id="rId3" Type="http://schemas.openxmlformats.org/officeDocument/2006/relationships/image" Target="../media/image11.png"/><Relationship Id="rId2" Type="http://schemas.openxmlformats.org/officeDocument/2006/relationships/hyperlink" Target="#'MENU CAJA DE HERRAMIENTAS'!A1"/><Relationship Id="rId1" Type="http://schemas.openxmlformats.org/officeDocument/2006/relationships/image" Target="../media/image9.gif"/><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2</xdr:col>
      <xdr:colOff>171452</xdr:colOff>
      <xdr:row>8</xdr:row>
      <xdr:rowOff>57151</xdr:rowOff>
    </xdr:from>
    <xdr:to>
      <xdr:col>2</xdr:col>
      <xdr:colOff>657226</xdr:colOff>
      <xdr:row>10</xdr:row>
      <xdr:rowOff>123825</xdr:rowOff>
    </xdr:to>
    <xdr:pic>
      <xdr:nvPicPr>
        <xdr:cNvPr id="3" name="2 Imagen" descr="Resultado de imagen para flecha redonda">
          <a:hlinkClick xmlns:r="http://schemas.openxmlformats.org/officeDocument/2006/relationships" r:id="rId1"/>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95452" y="4286251"/>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2</xdr:col>
      <xdr:colOff>180977</xdr:colOff>
      <xdr:row>11</xdr:row>
      <xdr:rowOff>76200</xdr:rowOff>
    </xdr:from>
    <xdr:ext cx="485774" cy="485774"/>
    <xdr:pic>
      <xdr:nvPicPr>
        <xdr:cNvPr id="4" name="3 Imagen" descr="Resultado de imagen para flecha redonda">
          <a:hlinkClick xmlns:r="http://schemas.openxmlformats.org/officeDocument/2006/relationships" r:id="rId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704977" y="6572250"/>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xdr:col>
      <xdr:colOff>171452</xdr:colOff>
      <xdr:row>14</xdr:row>
      <xdr:rowOff>57151</xdr:rowOff>
    </xdr:from>
    <xdr:ext cx="485774" cy="485774"/>
    <xdr:pic>
      <xdr:nvPicPr>
        <xdr:cNvPr id="6" name="5 Imagen" descr="Resultado de imagen para flecha redonda">
          <a:hlinkClick xmlns:r="http://schemas.openxmlformats.org/officeDocument/2006/relationships" r:id="rId5"/>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95452" y="4095751"/>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152400</xdr:colOff>
      <xdr:row>6</xdr:row>
      <xdr:rowOff>57150</xdr:rowOff>
    </xdr:from>
    <xdr:to>
      <xdr:col>2</xdr:col>
      <xdr:colOff>638174</xdr:colOff>
      <xdr:row>6</xdr:row>
      <xdr:rowOff>542924</xdr:rowOff>
    </xdr:to>
    <xdr:pic>
      <xdr:nvPicPr>
        <xdr:cNvPr id="7" name="6 Imagen" descr="Resultado de imagen para flecha redonda">
          <a:hlinkClick xmlns:r="http://schemas.openxmlformats.org/officeDocument/2006/relationships" r:id="rId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76400" y="5362575"/>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142875</xdr:colOff>
      <xdr:row>7</xdr:row>
      <xdr:rowOff>38100</xdr:rowOff>
    </xdr:from>
    <xdr:to>
      <xdr:col>2</xdr:col>
      <xdr:colOff>628649</xdr:colOff>
      <xdr:row>7</xdr:row>
      <xdr:rowOff>523874</xdr:rowOff>
    </xdr:to>
    <xdr:pic>
      <xdr:nvPicPr>
        <xdr:cNvPr id="8" name="7 Imagen" descr="Resultado de imagen para flecha redonda">
          <a:hlinkClick xmlns:r="http://schemas.openxmlformats.org/officeDocument/2006/relationships" r:id="rId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66875" y="5915025"/>
          <a:ext cx="485774" cy="485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2476500</xdr:colOff>
      <xdr:row>0</xdr:row>
      <xdr:rowOff>114300</xdr:rowOff>
    </xdr:from>
    <xdr:to>
      <xdr:col>6</xdr:col>
      <xdr:colOff>1</xdr:colOff>
      <xdr:row>0</xdr:row>
      <xdr:rowOff>209549</xdr:rowOff>
    </xdr:to>
    <xdr:pic>
      <xdr:nvPicPr>
        <xdr:cNvPr id="2" name="1 Imagen" descr="Resultado de imagen para gif home">
          <a:extLst>
            <a:ext uri="{FF2B5EF4-FFF2-40B4-BE49-F238E27FC236}">
              <a16:creationId xmlns:a16="http://schemas.microsoft.com/office/drawing/2014/main" id="{00000000-0008-0000-0A00-000002000000}"/>
            </a:ext>
          </a:extLst>
        </xdr:cNvPr>
        <xdr:cNvPicPr>
          <a:picLocks noChangeAspect="1" noChangeArrowheads="1" noCrop="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277725" y="114300"/>
          <a:ext cx="523874"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190500</xdr:colOff>
      <xdr:row>0</xdr:row>
      <xdr:rowOff>209550</xdr:rowOff>
    </xdr:from>
    <xdr:to>
      <xdr:col>7</xdr:col>
      <xdr:colOff>714374</xdr:colOff>
      <xdr:row>0</xdr:row>
      <xdr:rowOff>733424</xdr:rowOff>
    </xdr:to>
    <xdr:pic>
      <xdr:nvPicPr>
        <xdr:cNvPr id="3" name="2 Imagen" descr="Resultado de imagen para gif home">
          <a:hlinkClick xmlns:r="http://schemas.openxmlformats.org/officeDocument/2006/relationships" r:id="rId2"/>
          <a:extLst>
            <a:ext uri="{FF2B5EF4-FFF2-40B4-BE49-F238E27FC236}">
              <a16:creationId xmlns:a16="http://schemas.microsoft.com/office/drawing/2014/main" id="{00000000-0008-0000-0A00-000003000000}"/>
            </a:ext>
          </a:extLst>
        </xdr:cNvPr>
        <xdr:cNvPicPr>
          <a:picLocks noChangeAspect="1" noChangeArrowheads="1" noCrop="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077700" y="209550"/>
          <a:ext cx="523874"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121</xdr:row>
      <xdr:rowOff>0</xdr:rowOff>
    </xdr:from>
    <xdr:to>
      <xdr:col>0</xdr:col>
      <xdr:colOff>1447800</xdr:colOff>
      <xdr:row>124</xdr:row>
      <xdr:rowOff>1905</xdr:rowOff>
    </xdr:to>
    <xdr:pic>
      <xdr:nvPicPr>
        <xdr:cNvPr id="4" name="3 Imagen">
          <a:hlinkClick xmlns:r="http://schemas.openxmlformats.org/officeDocument/2006/relationships" r:id="rId3"/>
          <a:extLst>
            <a:ext uri="{FF2B5EF4-FFF2-40B4-BE49-F238E27FC236}">
              <a16:creationId xmlns:a16="http://schemas.microsoft.com/office/drawing/2014/main" id="{00000000-0008-0000-0A00-000004000000}"/>
            </a:ext>
          </a:extLst>
        </xdr:cNvPr>
        <xdr:cNvPicPr/>
      </xdr:nvPicPr>
      <xdr:blipFill rotWithShape="1">
        <a:blip xmlns:r="http://schemas.openxmlformats.org/officeDocument/2006/relationships" r:embed="rId4"/>
        <a:srcRect b="49500"/>
        <a:stretch/>
      </xdr:blipFill>
      <xdr:spPr bwMode="auto">
        <a:xfrm>
          <a:off x="0" y="59626500"/>
          <a:ext cx="1447800" cy="619125"/>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clientData/>
  </xdr:twoCellAnchor>
  <xdr:twoCellAnchor editAs="oneCell">
    <xdr:from>
      <xdr:col>0</xdr:col>
      <xdr:colOff>9525</xdr:colOff>
      <xdr:row>0</xdr:row>
      <xdr:rowOff>123826</xdr:rowOff>
    </xdr:from>
    <xdr:to>
      <xdr:col>0</xdr:col>
      <xdr:colOff>1731080</xdr:colOff>
      <xdr:row>0</xdr:row>
      <xdr:rowOff>695326</xdr:rowOff>
    </xdr:to>
    <xdr:pic>
      <xdr:nvPicPr>
        <xdr:cNvPr id="5" name="Imagen 4">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5"/>
        <a:stretch>
          <a:fillRect/>
        </a:stretch>
      </xdr:blipFill>
      <xdr:spPr>
        <a:xfrm>
          <a:off x="9525" y="123826"/>
          <a:ext cx="1721555" cy="5715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200025</xdr:colOff>
      <xdr:row>1</xdr:row>
      <xdr:rowOff>16935</xdr:rowOff>
    </xdr:from>
    <xdr:to>
      <xdr:col>1</xdr:col>
      <xdr:colOff>485774</xdr:colOff>
      <xdr:row>2</xdr:row>
      <xdr:rowOff>66675</xdr:rowOff>
    </xdr:to>
    <xdr:pic>
      <xdr:nvPicPr>
        <xdr:cNvPr id="2" name="1 Imagen" descr="Resultado de imagen para gif flecha volver">
          <a:hlinkClick xmlns:r="http://schemas.openxmlformats.org/officeDocument/2006/relationships" r:id="rId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0025" y="207435"/>
          <a:ext cx="1047749" cy="240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5</xdr:col>
      <xdr:colOff>2476500</xdr:colOff>
      <xdr:row>0</xdr:row>
      <xdr:rowOff>114300</xdr:rowOff>
    </xdr:from>
    <xdr:to>
      <xdr:col>6</xdr:col>
      <xdr:colOff>6457</xdr:colOff>
      <xdr:row>0</xdr:row>
      <xdr:rowOff>142874</xdr:rowOff>
    </xdr:to>
    <xdr:pic>
      <xdr:nvPicPr>
        <xdr:cNvPr id="2" name="1 Imagen" descr="Resultado de imagen para gif home">
          <a:extLst>
            <a:ext uri="{FF2B5EF4-FFF2-40B4-BE49-F238E27FC236}">
              <a16:creationId xmlns:a16="http://schemas.microsoft.com/office/drawing/2014/main" id="{00000000-0008-0000-0C00-000002000000}"/>
            </a:ext>
          </a:extLst>
        </xdr:cNvPr>
        <xdr:cNvPicPr>
          <a:picLocks noChangeAspect="1" noChangeArrowheads="1" noCrop="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934700" y="114300"/>
          <a:ext cx="1" cy="952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693571</xdr:colOff>
      <xdr:row>0</xdr:row>
      <xdr:rowOff>201408</xdr:rowOff>
    </xdr:from>
    <xdr:to>
      <xdr:col>7</xdr:col>
      <xdr:colOff>1107977</xdr:colOff>
      <xdr:row>0</xdr:row>
      <xdr:rowOff>655821</xdr:rowOff>
    </xdr:to>
    <xdr:pic>
      <xdr:nvPicPr>
        <xdr:cNvPr id="3" name="2 Imagen" descr="Resultado de imagen para gif home">
          <a:hlinkClick xmlns:r="http://schemas.openxmlformats.org/officeDocument/2006/relationships" r:id="rId2"/>
          <a:extLst>
            <a:ext uri="{FF2B5EF4-FFF2-40B4-BE49-F238E27FC236}">
              <a16:creationId xmlns:a16="http://schemas.microsoft.com/office/drawing/2014/main" id="{00000000-0008-0000-0C00-000003000000}"/>
            </a:ext>
          </a:extLst>
        </xdr:cNvPr>
        <xdr:cNvPicPr>
          <a:picLocks noChangeAspect="1" noChangeArrowheads="1" noCrop="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153063" y="201408"/>
          <a:ext cx="414406" cy="4544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1</xdr:col>
      <xdr:colOff>8659</xdr:colOff>
      <xdr:row>1</xdr:row>
      <xdr:rowOff>0</xdr:rowOff>
    </xdr:to>
    <xdr:pic>
      <xdr:nvPicPr>
        <xdr:cNvPr id="5" name="Imagen 4">
          <a:extLst>
            <a:ext uri="{FF2B5EF4-FFF2-40B4-BE49-F238E27FC236}">
              <a16:creationId xmlns:a16="http://schemas.microsoft.com/office/drawing/2014/main" id="{00000000-0008-0000-0C00-000005000000}"/>
            </a:ext>
          </a:extLst>
        </xdr:cNvPr>
        <xdr:cNvPicPr>
          <a:picLocks noChangeAspect="1"/>
        </xdr:cNvPicPr>
      </xdr:nvPicPr>
      <xdr:blipFill>
        <a:blip xmlns:r="http://schemas.openxmlformats.org/officeDocument/2006/relationships" r:embed="rId3"/>
        <a:stretch>
          <a:fillRect/>
        </a:stretch>
      </xdr:blipFill>
      <xdr:spPr>
        <a:xfrm>
          <a:off x="0" y="0"/>
          <a:ext cx="1749136" cy="91786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20</xdr:col>
      <xdr:colOff>635000</xdr:colOff>
      <xdr:row>1</xdr:row>
      <xdr:rowOff>170962</xdr:rowOff>
    </xdr:from>
    <xdr:to>
      <xdr:col>22</xdr:col>
      <xdr:colOff>311759</xdr:colOff>
      <xdr:row>4</xdr:row>
      <xdr:rowOff>20759</xdr:rowOff>
    </xdr:to>
    <xdr:pic>
      <xdr:nvPicPr>
        <xdr:cNvPr id="2" name="1 Imagen" descr="Resultado de imagen para gif home">
          <a:hlinkClick xmlns:r="http://schemas.openxmlformats.org/officeDocument/2006/relationships" r:id="rId1"/>
          <a:extLst>
            <a:ext uri="{FF2B5EF4-FFF2-40B4-BE49-F238E27FC236}">
              <a16:creationId xmlns:a16="http://schemas.microsoft.com/office/drawing/2014/main" id="{00000000-0008-0000-0D00-000002000000}"/>
            </a:ext>
          </a:extLst>
        </xdr:cNvPr>
        <xdr:cNvPicPr>
          <a:picLocks noChangeAspect="1" noChangeArrowheads="1" noCrop="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2140769" y="757116"/>
          <a:ext cx="1245577" cy="12455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512883</xdr:colOff>
      <xdr:row>98</xdr:row>
      <xdr:rowOff>146537</xdr:rowOff>
    </xdr:from>
    <xdr:to>
      <xdr:col>22</xdr:col>
      <xdr:colOff>730294</xdr:colOff>
      <xdr:row>102</xdr:row>
      <xdr:rowOff>134327</xdr:rowOff>
    </xdr:to>
    <xdr:pic>
      <xdr:nvPicPr>
        <xdr:cNvPr id="3" name="2 Imagen">
          <a:hlinkClick xmlns:r="http://schemas.openxmlformats.org/officeDocument/2006/relationships" r:id="rId3"/>
          <a:extLst>
            <a:ext uri="{FF2B5EF4-FFF2-40B4-BE49-F238E27FC236}">
              <a16:creationId xmlns:a16="http://schemas.microsoft.com/office/drawing/2014/main" id="{00000000-0008-0000-0D00-000003000000}"/>
            </a:ext>
          </a:extLst>
        </xdr:cNvPr>
        <xdr:cNvPicPr/>
      </xdr:nvPicPr>
      <xdr:blipFill rotWithShape="1">
        <a:blip xmlns:r="http://schemas.openxmlformats.org/officeDocument/2006/relationships" r:embed="rId4"/>
        <a:srcRect b="49500"/>
        <a:stretch/>
      </xdr:blipFill>
      <xdr:spPr bwMode="auto">
        <a:xfrm>
          <a:off x="30357883" y="56466152"/>
          <a:ext cx="3345963" cy="1416540"/>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clientData/>
  </xdr:twoCellAnchor>
  <xdr:twoCellAnchor editAs="oneCell">
    <xdr:from>
      <xdr:col>0</xdr:col>
      <xdr:colOff>-42752</xdr:colOff>
      <xdr:row>0</xdr:row>
      <xdr:rowOff>-15335</xdr:rowOff>
    </xdr:from>
    <xdr:to>
      <xdr:col>1</xdr:col>
      <xdr:colOff>7657960</xdr:colOff>
      <xdr:row>5</xdr:row>
      <xdr:rowOff>91536</xdr:rowOff>
    </xdr:to>
    <xdr:pic>
      <xdr:nvPicPr>
        <xdr:cNvPr id="6" name="Imagen 5">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5"/>
        <a:stretch>
          <a:fillRect/>
        </a:stretch>
      </xdr:blipFill>
      <xdr:spPr>
        <a:xfrm>
          <a:off x="-42752" y="-15335"/>
          <a:ext cx="8635894" cy="309772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16</xdr:col>
      <xdr:colOff>361950</xdr:colOff>
      <xdr:row>1</xdr:row>
      <xdr:rowOff>47625</xdr:rowOff>
    </xdr:from>
    <xdr:to>
      <xdr:col>16</xdr:col>
      <xdr:colOff>1047750</xdr:colOff>
      <xdr:row>4</xdr:row>
      <xdr:rowOff>161925</xdr:rowOff>
    </xdr:to>
    <xdr:pic>
      <xdr:nvPicPr>
        <xdr:cNvPr id="2" name="Imagen 1" descr="Resultado de imagen para Logo bogota">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77975" y="247650"/>
          <a:ext cx="685800"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19050</xdr:colOff>
      <xdr:row>1</xdr:row>
      <xdr:rowOff>0</xdr:rowOff>
    </xdr:from>
    <xdr:to>
      <xdr:col>2</xdr:col>
      <xdr:colOff>19050</xdr:colOff>
      <xdr:row>4</xdr:row>
      <xdr:rowOff>190500</xdr:rowOff>
    </xdr:to>
    <xdr:pic>
      <xdr:nvPicPr>
        <xdr:cNvPr id="5" name="Imagen 4">
          <a:extLst>
            <a:ext uri="{FF2B5EF4-FFF2-40B4-BE49-F238E27FC236}">
              <a16:creationId xmlns:a16="http://schemas.microsoft.com/office/drawing/2014/main" id="{00000000-0008-0000-0E00-000005000000}"/>
            </a:ext>
          </a:extLst>
        </xdr:cNvPr>
        <xdr:cNvPicPr>
          <a:picLocks noChangeAspect="1"/>
        </xdr:cNvPicPr>
      </xdr:nvPicPr>
      <xdr:blipFill>
        <a:blip xmlns:r="http://schemas.openxmlformats.org/officeDocument/2006/relationships" r:embed="rId2"/>
        <a:stretch>
          <a:fillRect/>
        </a:stretch>
      </xdr:blipFill>
      <xdr:spPr>
        <a:xfrm>
          <a:off x="323850" y="200025"/>
          <a:ext cx="3248025" cy="762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102576</xdr:colOff>
      <xdr:row>22</xdr:row>
      <xdr:rowOff>168519</xdr:rowOff>
    </xdr:from>
    <xdr:to>
      <xdr:col>8</xdr:col>
      <xdr:colOff>26376</xdr:colOff>
      <xdr:row>24</xdr:row>
      <xdr:rowOff>71758</xdr:rowOff>
    </xdr:to>
    <xdr:sp macro="" textlink="">
      <xdr:nvSpPr>
        <xdr:cNvPr id="2" name="Título 4">
          <a:extLst>
            <a:ext uri="{FF2B5EF4-FFF2-40B4-BE49-F238E27FC236}">
              <a16:creationId xmlns:a16="http://schemas.microsoft.com/office/drawing/2014/main" id="{00000000-0008-0000-0100-000002000000}"/>
            </a:ext>
          </a:extLst>
        </xdr:cNvPr>
        <xdr:cNvSpPr>
          <a:spLocks noGrp="1"/>
        </xdr:cNvSpPr>
      </xdr:nvSpPr>
      <xdr:spPr>
        <a:xfrm>
          <a:off x="864576" y="6169269"/>
          <a:ext cx="9141069" cy="284239"/>
        </a:xfrm>
        <a:prstGeom prst="rect">
          <a:avLst/>
        </a:prstGeom>
      </xdr:spPr>
      <xdr:txBody>
        <a:bodyPr vert="horz" wrap="square" lIns="91440" tIns="45720" rIns="91440" bIns="45720" rtlCol="0" anchor="b">
          <a:normAutofit/>
        </a:bodyPr>
        <a:lstStyle>
          <a:lvl1pPr algn="ctr" defTabSz="914400" rtl="0" eaLnBrk="1" latinLnBrk="0" hangingPunct="1">
            <a:lnSpc>
              <a:spcPct val="90000"/>
            </a:lnSpc>
            <a:spcBef>
              <a:spcPct val="0"/>
            </a:spcBef>
            <a:buNone/>
            <a:defRPr sz="6000" b="1" kern="1200">
              <a:solidFill>
                <a:schemeClr val="tx1"/>
              </a:solidFill>
              <a:latin typeface="Arial" panose="020B0604020202020204" pitchFamily="34" charset="0"/>
              <a:ea typeface="+mj-ea"/>
              <a:cs typeface="Arial" panose="020B0604020202020204" pitchFamily="34" charset="0"/>
            </a:defRPr>
          </a:lvl1pPr>
        </a:lstStyle>
        <a:p>
          <a:r>
            <a:rPr lang="es-CO" sz="2000"/>
            <a:t>Indicadores historicos de Gestión Oficina de Control Interno</a:t>
          </a:r>
          <a:endParaRPr lang="es-ES" sz="2000"/>
        </a:p>
      </xdr:txBody>
    </xdr:sp>
    <xdr:clientData/>
  </xdr:twoCellAnchor>
  <xdr:twoCellAnchor editAs="oneCell">
    <xdr:from>
      <xdr:col>1</xdr:col>
      <xdr:colOff>299359</xdr:colOff>
      <xdr:row>1</xdr:row>
      <xdr:rowOff>13608</xdr:rowOff>
    </xdr:from>
    <xdr:to>
      <xdr:col>10</xdr:col>
      <xdr:colOff>695012</xdr:colOff>
      <xdr:row>19</xdr:row>
      <xdr:rowOff>20781</xdr:rowOff>
    </xdr:to>
    <xdr:pic>
      <xdr:nvPicPr>
        <xdr:cNvPr id="4" name="Imagen 3"/>
        <xdr:cNvPicPr>
          <a:picLocks noChangeAspect="1"/>
        </xdr:cNvPicPr>
      </xdr:nvPicPr>
      <xdr:blipFill>
        <a:blip xmlns:r="http://schemas.openxmlformats.org/officeDocument/2006/relationships" r:embed="rId1"/>
        <a:stretch>
          <a:fillRect/>
        </a:stretch>
      </xdr:blipFill>
      <xdr:spPr>
        <a:xfrm>
          <a:off x="1061359" y="204108"/>
          <a:ext cx="9416142" cy="52595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596153</xdr:colOff>
      <xdr:row>5</xdr:row>
      <xdr:rowOff>185458</xdr:rowOff>
    </xdr:from>
    <xdr:to>
      <xdr:col>18</xdr:col>
      <xdr:colOff>702751</xdr:colOff>
      <xdr:row>43</xdr:row>
      <xdr:rowOff>167416</xdr:rowOff>
    </xdr:to>
    <xdr:pic>
      <xdr:nvPicPr>
        <xdr:cNvPr id="2" name="Imagen 1"/>
        <xdr:cNvPicPr>
          <a:picLocks noChangeAspect="1"/>
        </xdr:cNvPicPr>
      </xdr:nvPicPr>
      <xdr:blipFill>
        <a:blip xmlns:r="http://schemas.openxmlformats.org/officeDocument/2006/relationships" r:embed="rId1"/>
        <a:stretch>
          <a:fillRect/>
        </a:stretch>
      </xdr:blipFill>
      <xdr:spPr>
        <a:xfrm>
          <a:off x="1358153" y="1137958"/>
          <a:ext cx="13060598" cy="722095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6324600</xdr:colOff>
      <xdr:row>0</xdr:row>
      <xdr:rowOff>38101</xdr:rowOff>
    </xdr:from>
    <xdr:to>
      <xdr:col>1</xdr:col>
      <xdr:colOff>6848474</xdr:colOff>
      <xdr:row>0</xdr:row>
      <xdr:rowOff>561975</xdr:rowOff>
    </xdr:to>
    <xdr:pic>
      <xdr:nvPicPr>
        <xdr:cNvPr id="3" name="2 Imagen" descr="Resultado de imagen para gif home">
          <a:hlinkClick xmlns:r="http://schemas.openxmlformats.org/officeDocument/2006/relationships" r:id="rId1"/>
          <a:extLst>
            <a:ext uri="{FF2B5EF4-FFF2-40B4-BE49-F238E27FC236}">
              <a16:creationId xmlns:a16="http://schemas.microsoft.com/office/drawing/2014/main" id="{00000000-0008-0000-0300-000003000000}"/>
            </a:ext>
          </a:extLst>
        </xdr:cNvPr>
        <xdr:cNvPicPr>
          <a:picLocks noChangeAspect="1" noChangeArrowheads="1" noCrop="1"/>
        </xdr:cNvPicPr>
      </xdr:nvPicPr>
      <xdr:blipFill>
        <a:blip xmlns:r="http://schemas.openxmlformats.org/officeDocument/2006/relationships" r:embed="rId2"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9210675" y="38101"/>
          <a:ext cx="523874"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200025</xdr:colOff>
      <xdr:row>1</xdr:row>
      <xdr:rowOff>16935</xdr:rowOff>
    </xdr:from>
    <xdr:to>
      <xdr:col>1</xdr:col>
      <xdr:colOff>485774</xdr:colOff>
      <xdr:row>2</xdr:row>
      <xdr:rowOff>66675</xdr:rowOff>
    </xdr:to>
    <xdr:pic>
      <xdr:nvPicPr>
        <xdr:cNvPr id="3" name="2 Imagen" descr="Resultado de imagen para gif flecha volver">
          <a:hlinkClick xmlns:r="http://schemas.openxmlformats.org/officeDocument/2006/relationships" r:id="rId1"/>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0025" y="207435"/>
          <a:ext cx="1047749" cy="240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85725</xdr:colOff>
      <xdr:row>41</xdr:row>
      <xdr:rowOff>28575</xdr:rowOff>
    </xdr:from>
    <xdr:to>
      <xdr:col>0</xdr:col>
      <xdr:colOff>1533525</xdr:colOff>
      <xdr:row>44</xdr:row>
      <xdr:rowOff>38100</xdr:rowOff>
    </xdr:to>
    <xdr:pic>
      <xdr:nvPicPr>
        <xdr:cNvPr id="3" name="2 Imagen">
          <a:hlinkClick xmlns:r="http://schemas.openxmlformats.org/officeDocument/2006/relationships" r:id="rId1"/>
          <a:extLst>
            <a:ext uri="{FF2B5EF4-FFF2-40B4-BE49-F238E27FC236}">
              <a16:creationId xmlns:a16="http://schemas.microsoft.com/office/drawing/2014/main" id="{00000000-0008-0000-0500-000003000000}"/>
            </a:ext>
          </a:extLst>
        </xdr:cNvPr>
        <xdr:cNvPicPr/>
      </xdr:nvPicPr>
      <xdr:blipFill rotWithShape="1">
        <a:blip xmlns:r="http://schemas.openxmlformats.org/officeDocument/2006/relationships" r:embed="rId2"/>
        <a:srcRect b="49500"/>
        <a:stretch/>
      </xdr:blipFill>
      <xdr:spPr bwMode="auto">
        <a:xfrm>
          <a:off x="85725" y="18773775"/>
          <a:ext cx="1447800" cy="619125"/>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clientData/>
  </xdr:twoCellAnchor>
  <xdr:twoCellAnchor editAs="oneCell">
    <xdr:from>
      <xdr:col>5</xdr:col>
      <xdr:colOff>2476500</xdr:colOff>
      <xdr:row>0</xdr:row>
      <xdr:rowOff>114300</xdr:rowOff>
    </xdr:from>
    <xdr:to>
      <xdr:col>5</xdr:col>
      <xdr:colOff>3000374</xdr:colOff>
      <xdr:row>0</xdr:row>
      <xdr:rowOff>638174</xdr:rowOff>
    </xdr:to>
    <xdr:pic>
      <xdr:nvPicPr>
        <xdr:cNvPr id="4" name="3 Imagen" descr="Resultado de imagen para gif home">
          <a:hlinkClick xmlns:r="http://schemas.openxmlformats.org/officeDocument/2006/relationships" r:id="rId3"/>
          <a:extLst>
            <a:ext uri="{FF2B5EF4-FFF2-40B4-BE49-F238E27FC236}">
              <a16:creationId xmlns:a16="http://schemas.microsoft.com/office/drawing/2014/main" id="{00000000-0008-0000-0500-000004000000}"/>
            </a:ext>
          </a:extLst>
        </xdr:cNvPr>
        <xdr:cNvPicPr>
          <a:picLocks noChangeAspect="1" noChangeArrowheads="1" noCrop="1"/>
        </xdr:cNvPicPr>
      </xdr:nvPicPr>
      <xdr:blipFill>
        <a:blip xmlns:r="http://schemas.openxmlformats.org/officeDocument/2006/relationships" r:embed="rId4"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277725" y="114300"/>
          <a:ext cx="523874" cy="523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9524</xdr:colOff>
      <xdr:row>0</xdr:row>
      <xdr:rowOff>38101</xdr:rowOff>
    </xdr:from>
    <xdr:to>
      <xdr:col>0</xdr:col>
      <xdr:colOff>1595919</xdr:colOff>
      <xdr:row>0</xdr:row>
      <xdr:rowOff>857251</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5"/>
        <a:stretch>
          <a:fillRect/>
        </a:stretch>
      </xdr:blipFill>
      <xdr:spPr>
        <a:xfrm>
          <a:off x="9524" y="38101"/>
          <a:ext cx="1586395" cy="8191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19</xdr:col>
      <xdr:colOff>361950</xdr:colOff>
      <xdr:row>1</xdr:row>
      <xdr:rowOff>47625</xdr:rowOff>
    </xdr:from>
    <xdr:ext cx="685800" cy="714375"/>
    <xdr:pic>
      <xdr:nvPicPr>
        <xdr:cNvPr id="2" name="image1.gif">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xfrm>
          <a:off x="16383000" y="238125"/>
          <a:ext cx="685800" cy="714375"/>
        </a:xfrm>
        <a:prstGeom prst="rect">
          <a:avLst/>
        </a:prstGeom>
        <a:noFill/>
      </xdr:spPr>
    </xdr:pic>
    <xdr:clientData fLocksWithSheet="0"/>
  </xdr:oneCellAnchor>
  <xdr:twoCellAnchor editAs="oneCell">
    <xdr:from>
      <xdr:col>1</xdr:col>
      <xdr:colOff>57150</xdr:colOff>
      <xdr:row>105</xdr:row>
      <xdr:rowOff>85725</xdr:rowOff>
    </xdr:from>
    <xdr:to>
      <xdr:col>1</xdr:col>
      <xdr:colOff>2085975</xdr:colOff>
      <xdr:row>109</xdr:row>
      <xdr:rowOff>0</xdr:rowOff>
    </xdr:to>
    <xdr:pic>
      <xdr:nvPicPr>
        <xdr:cNvPr id="3" name="2 Imagen">
          <a:hlinkClick xmlns:r="http://schemas.openxmlformats.org/officeDocument/2006/relationships" r:id="rId2"/>
          <a:extLst>
            <a:ext uri="{FF2B5EF4-FFF2-40B4-BE49-F238E27FC236}">
              <a16:creationId xmlns:a16="http://schemas.microsoft.com/office/drawing/2014/main" id="{00000000-0008-0000-0600-000003000000}"/>
            </a:ext>
          </a:extLst>
        </xdr:cNvPr>
        <xdr:cNvPicPr/>
      </xdr:nvPicPr>
      <xdr:blipFill rotWithShape="1">
        <a:blip xmlns:r="http://schemas.openxmlformats.org/officeDocument/2006/relationships" r:embed="rId3"/>
        <a:srcRect b="49500"/>
        <a:stretch/>
      </xdr:blipFill>
      <xdr:spPr bwMode="auto">
        <a:xfrm>
          <a:off x="361950" y="33508950"/>
          <a:ext cx="2028825" cy="676275"/>
        </a:xfrm>
        <a:prstGeom prst="rect">
          <a:avLst/>
        </a:prstGeom>
        <a:ln>
          <a:noFill/>
        </a:ln>
        <a:effectLst>
          <a:outerShdw blurRad="292100" dist="139700" dir="2700000" algn="tl" rotWithShape="0">
            <a:srgbClr val="333333">
              <a:alpha val="65000"/>
            </a:srgbClr>
          </a:outerShdw>
        </a:effectLst>
        <a:extLst>
          <a:ext uri="{53640926-AAD7-44D8-BBD7-CCE9431645EC}">
            <a14:shadowObscured xmlns:a14="http://schemas.microsoft.com/office/drawing/2010/main"/>
          </a:ext>
        </a:extLst>
      </xdr:spPr>
    </xdr:pic>
    <xdr:clientData/>
  </xdr:twoCellAnchor>
  <xdr:twoCellAnchor editAs="oneCell">
    <xdr:from>
      <xdr:col>16</xdr:col>
      <xdr:colOff>367392</xdr:colOff>
      <xdr:row>1</xdr:row>
      <xdr:rowOff>149678</xdr:rowOff>
    </xdr:from>
    <xdr:to>
      <xdr:col>16</xdr:col>
      <xdr:colOff>891693</xdr:colOff>
      <xdr:row>4</xdr:row>
      <xdr:rowOff>61658</xdr:rowOff>
    </xdr:to>
    <xdr:pic>
      <xdr:nvPicPr>
        <xdr:cNvPr id="4" name="Imagen 3">
          <a:hlinkClick xmlns:r="http://schemas.openxmlformats.org/officeDocument/2006/relationships" r:id="rId4"/>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5"/>
        <a:stretch>
          <a:fillRect/>
        </a:stretch>
      </xdr:blipFill>
      <xdr:spPr>
        <a:xfrm>
          <a:off x="15049499" y="340178"/>
          <a:ext cx="524301" cy="524301"/>
        </a:xfrm>
        <a:prstGeom prst="rect">
          <a:avLst/>
        </a:prstGeom>
      </xdr:spPr>
    </xdr:pic>
    <xdr:clientData/>
  </xdr:twoCellAnchor>
  <xdr:twoCellAnchor editAs="oneCell">
    <xdr:from>
      <xdr:col>1</xdr:col>
      <xdr:colOff>27214</xdr:colOff>
      <xdr:row>0</xdr:row>
      <xdr:rowOff>163285</xdr:rowOff>
    </xdr:from>
    <xdr:to>
      <xdr:col>2</xdr:col>
      <xdr:colOff>13607</xdr:colOff>
      <xdr:row>4</xdr:row>
      <xdr:rowOff>208307</xdr:rowOff>
    </xdr:to>
    <xdr:pic>
      <xdr:nvPicPr>
        <xdr:cNvPr id="5" name="Imagen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6"/>
        <a:stretch>
          <a:fillRect/>
        </a:stretch>
      </xdr:blipFill>
      <xdr:spPr>
        <a:xfrm>
          <a:off x="326571" y="163285"/>
          <a:ext cx="3238500" cy="84784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200025</xdr:colOff>
      <xdr:row>1</xdr:row>
      <xdr:rowOff>16935</xdr:rowOff>
    </xdr:from>
    <xdr:to>
      <xdr:col>1</xdr:col>
      <xdr:colOff>485774</xdr:colOff>
      <xdr:row>2</xdr:row>
      <xdr:rowOff>66675</xdr:rowOff>
    </xdr:to>
    <xdr:pic>
      <xdr:nvPicPr>
        <xdr:cNvPr id="2" name="1 Imagen" descr="Resultado de imagen para gif flecha volver">
          <a:hlinkClick xmlns:r="http://schemas.openxmlformats.org/officeDocument/2006/relationships" r:id="rId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0025" y="207435"/>
          <a:ext cx="1047749" cy="240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27</xdr:col>
      <xdr:colOff>201706</xdr:colOff>
      <xdr:row>1</xdr:row>
      <xdr:rowOff>44824</xdr:rowOff>
    </xdr:from>
    <xdr:ext cx="685800" cy="714375"/>
    <xdr:pic>
      <xdr:nvPicPr>
        <xdr:cNvPr id="3" name="image1.gif">
          <a:extLst>
            <a:ext uri="{FF2B5EF4-FFF2-40B4-BE49-F238E27FC236}">
              <a16:creationId xmlns:a16="http://schemas.microsoft.com/office/drawing/2014/main" id="{00000000-0008-0000-0800-000003000000}"/>
            </a:ext>
          </a:extLst>
        </xdr:cNvPr>
        <xdr:cNvPicPr preferRelativeResize="0"/>
      </xdr:nvPicPr>
      <xdr:blipFill>
        <a:blip xmlns:r="http://schemas.openxmlformats.org/officeDocument/2006/relationships" r:embed="rId1" cstate="print"/>
        <a:stretch>
          <a:fillRect/>
        </a:stretch>
      </xdr:blipFill>
      <xdr:spPr>
        <a:xfrm>
          <a:off x="16975231" y="244849"/>
          <a:ext cx="685800" cy="714375"/>
        </a:xfrm>
        <a:prstGeom prst="rect">
          <a:avLst/>
        </a:prstGeom>
        <a:noFill/>
      </xdr:spPr>
    </xdr:pic>
    <xdr:clientData fLocksWithSheet="0"/>
  </xdr:oneCellAnchor>
  <xdr:twoCellAnchor editAs="oneCell">
    <xdr:from>
      <xdr:col>14</xdr:col>
      <xdr:colOff>514350</xdr:colOff>
      <xdr:row>1</xdr:row>
      <xdr:rowOff>104775</xdr:rowOff>
    </xdr:from>
    <xdr:to>
      <xdr:col>14</xdr:col>
      <xdr:colOff>1038651</xdr:colOff>
      <xdr:row>4</xdr:row>
      <xdr:rowOff>57576</xdr:rowOff>
    </xdr:to>
    <xdr:pic>
      <xdr:nvPicPr>
        <xdr:cNvPr id="4" name="Imagen 3">
          <a:hlinkClick xmlns:r="http://schemas.openxmlformats.org/officeDocument/2006/relationships" r:id="rId2"/>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3"/>
        <a:stretch>
          <a:fillRect/>
        </a:stretch>
      </xdr:blipFill>
      <xdr:spPr>
        <a:xfrm>
          <a:off x="15659100" y="304800"/>
          <a:ext cx="524301" cy="524301"/>
        </a:xfrm>
        <a:prstGeom prst="rect">
          <a:avLst/>
        </a:prstGeom>
      </xdr:spPr>
    </xdr:pic>
    <xdr:clientData/>
  </xdr:twoCellAnchor>
  <xdr:twoCellAnchor editAs="oneCell">
    <xdr:from>
      <xdr:col>0</xdr:col>
      <xdr:colOff>0</xdr:colOff>
      <xdr:row>0</xdr:row>
      <xdr:rowOff>190501</xdr:rowOff>
    </xdr:from>
    <xdr:to>
      <xdr:col>1</xdr:col>
      <xdr:colOff>0</xdr:colOff>
      <xdr:row>5</xdr:row>
      <xdr:rowOff>393</xdr:rowOff>
    </xdr:to>
    <xdr:pic>
      <xdr:nvPicPr>
        <xdr:cNvPr id="2" name="Imagen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4"/>
        <a:stretch>
          <a:fillRect/>
        </a:stretch>
      </xdr:blipFill>
      <xdr:spPr>
        <a:xfrm>
          <a:off x="0" y="190501"/>
          <a:ext cx="2571750" cy="78144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os%20de%20Trabajo/Carpetas%20Electr&#243;nicas%20RBIA/Auditor&#237;a%20con%20Base%20en%20Riesgo%20AF%202013/D%20-%20Borrador%20Informe%20Auditor&#237;a%20Actual/RBIA%20Audit%20Opinion%20Matrix%20Auto.FINAL.6.11.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kruiz/Downloads/Hoja%20Recursos%20PA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l Scores"/>
      <sheetName val="Lookup"/>
      <sheetName val="REFERENCIAS"/>
    </sheetNames>
    <sheetDataSet>
      <sheetData sheetId="0"/>
      <sheetData sheetId="1">
        <row r="2">
          <cell r="B2" t="str">
            <v>L</v>
          </cell>
        </row>
        <row r="3">
          <cell r="B3" t="str">
            <v>M</v>
          </cell>
        </row>
        <row r="4">
          <cell r="B4" t="str">
            <v>H</v>
          </cell>
        </row>
        <row r="5">
          <cell r="B5" t="str">
            <v>N/A</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sos calculo recursos"/>
      <sheetName val="1. Horas requeridas PAAI"/>
      <sheetName val="2. Días -horas hábiles x vig"/>
      <sheetName val="3 Horas disponibles E. Auditor"/>
      <sheetName val="4. Resultado"/>
    </sheetNames>
    <sheetDataSet>
      <sheetData sheetId="0"/>
      <sheetData sheetId="1">
        <row r="25">
          <cell r="J25">
            <v>2708</v>
          </cell>
        </row>
      </sheetData>
      <sheetData sheetId="2">
        <row r="21">
          <cell r="D21">
            <v>246</v>
          </cell>
        </row>
      </sheetData>
      <sheetData sheetId="3">
        <row r="11">
          <cell r="O11">
            <v>2670.6</v>
          </cell>
        </row>
      </sheetData>
      <sheetData sheetId="4"/>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jempresarial sas jjempresarial sas" refreshedDate="45259.493064351853" createdVersion="4" refreshedVersion="5" minRefreshableVersion="3" recordCount="94">
  <cacheSource type="worksheet">
    <worksheetSource name="Tabla1"/>
  </cacheSource>
  <cacheFields count="9">
    <cacheField name="No" numFmtId="0">
      <sharedItems containsSemiMixedTypes="0" containsString="0" containsNumber="1" containsInteger="1" minValue="1" maxValue="87"/>
    </cacheField>
    <cacheField name="TIPO DE TRABAJO DE AUDITORÍA " numFmtId="0">
      <sharedItems containsBlank="1" count="5">
        <s v="Informe de Auditoria"/>
        <s v="Informe de Ley"/>
        <s v="Consultoría Procesos"/>
        <s v="Informe de Seguimiento"/>
        <m/>
      </sharedItems>
    </cacheField>
    <cacheField name="Descripción" numFmtId="0">
      <sharedItems containsBlank="1" containsMixedTypes="1" containsNumber="1" containsInteger="1" minValue="0" maxValue="0" longText="1"/>
    </cacheField>
    <cacheField name="Planeacion Auditoria/Solicitud de Informaciòn" numFmtId="0">
      <sharedItems containsString="0" containsBlank="1" containsNumber="1" containsInteger="1" minValue="1" maxValue="72"/>
    </cacheField>
    <cacheField name="Ejecucion  Auditoria/Análisis de informaciòn" numFmtId="0">
      <sharedItems containsString="0" containsBlank="1" containsNumber="1" containsInteger="1" minValue="1" maxValue="280"/>
    </cacheField>
    <cacheField name="Informe de Auditoria /Seguimiento" numFmtId="0">
      <sharedItems containsBlank="1" containsMixedTypes="1" containsNumber="1" containsInteger="1" minValue="0" maxValue="80"/>
    </cacheField>
    <cacheField name="Total horas por trabajo de auditoría" numFmtId="0">
      <sharedItems containsSemiMixedTypes="0" containsString="0" containsNumber="1" containsInteger="1" minValue="0" maxValue="8045"/>
    </cacheField>
    <cacheField name="# Informes x año" numFmtId="0">
      <sharedItems containsString="0" containsBlank="1" containsNumber="1" containsInteger="1" minValue="1" maxValue="858"/>
    </cacheField>
    <cacheField name="Horas x trabajo de auditoría" numFmtId="0">
      <sharedItems containsSemiMixedTypes="0" containsString="0" containsNumber="1" containsInteger="1" minValue="0" maxValue="16165"/>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94">
  <r>
    <n v="1"/>
    <x v="0"/>
    <s v="Seguimiento a SARLAF"/>
    <n v="16"/>
    <n v="280"/>
    <n v="24"/>
    <n v="320"/>
    <n v="1"/>
    <n v="320"/>
  </r>
  <r>
    <n v="2"/>
    <x v="0"/>
    <s v="Revisión de Polizas de Seguro Corporativa"/>
    <n v="16"/>
    <n v="280"/>
    <n v="24"/>
    <n v="320"/>
    <n v="1"/>
    <n v="320"/>
  </r>
  <r>
    <n v="3"/>
    <x v="0"/>
    <n v="0"/>
    <n v="16"/>
    <n v="280"/>
    <n v="24"/>
    <n v="320"/>
    <n v="1"/>
    <n v="320"/>
  </r>
  <r>
    <n v="4"/>
    <x v="0"/>
    <n v="0"/>
    <n v="16"/>
    <n v="280"/>
    <n v="24"/>
    <n v="320"/>
    <n v="1"/>
    <n v="320"/>
  </r>
  <r>
    <n v="5"/>
    <x v="0"/>
    <n v="0"/>
    <n v="16"/>
    <n v="280"/>
    <n v="24"/>
    <n v="320"/>
    <n v="1"/>
    <n v="320"/>
  </r>
  <r>
    <n v="6"/>
    <x v="0"/>
    <n v="0"/>
    <n v="16"/>
    <n v="280"/>
    <n v="24"/>
    <n v="320"/>
    <n v="1"/>
    <n v="320"/>
  </r>
  <r>
    <n v="7"/>
    <x v="0"/>
    <n v="0"/>
    <n v="16"/>
    <n v="280"/>
    <n v="24"/>
    <n v="320"/>
    <n v="1"/>
    <n v="320"/>
  </r>
  <r>
    <n v="8"/>
    <x v="0"/>
    <n v="0"/>
    <n v="16"/>
    <n v="280"/>
    <n v="24"/>
    <n v="320"/>
    <n v="1"/>
    <n v="320"/>
  </r>
  <r>
    <n v="9"/>
    <x v="0"/>
    <n v="0"/>
    <n v="16"/>
    <n v="280"/>
    <n v="24"/>
    <n v="320"/>
    <n v="1"/>
    <n v="320"/>
  </r>
  <r>
    <n v="10"/>
    <x v="0"/>
    <n v="0"/>
    <n v="16"/>
    <n v="280"/>
    <n v="24"/>
    <n v="320"/>
    <n v="1"/>
    <n v="320"/>
  </r>
  <r>
    <n v="11"/>
    <x v="0"/>
    <n v="0"/>
    <n v="16"/>
    <n v="280"/>
    <n v="24"/>
    <n v="320"/>
    <n v="1"/>
    <n v="320"/>
  </r>
  <r>
    <n v="12"/>
    <x v="0"/>
    <n v="0"/>
    <n v="16"/>
    <n v="280"/>
    <n v="24"/>
    <n v="320"/>
    <n v="1"/>
    <n v="320"/>
  </r>
  <r>
    <n v="13"/>
    <x v="0"/>
    <n v="0"/>
    <n v="16"/>
    <n v="280"/>
    <n v="24"/>
    <n v="320"/>
    <n v="1"/>
    <n v="320"/>
  </r>
  <r>
    <n v="7"/>
    <x v="0"/>
    <s v="Asesoria y seguimiento a la Implementación del Sistema de Gestión de Calidad bajo concepto del estándar NTC ISO 9001:2015"/>
    <n v="72"/>
    <n v="200"/>
    <n v="80"/>
    <n v="352"/>
    <n v="1"/>
    <n v="352"/>
  </r>
  <r>
    <n v="8"/>
    <x v="0"/>
    <s v="Verificacion de la Conformidad del  Sistema de Gestión de la Calidad bajo el concepto del estándar NTC ISO 9001:2015 de la Empresa (Ciclo  Auditorias Internas de Calidad 2022)."/>
    <n v="72"/>
    <n v="200"/>
    <n v="80"/>
    <n v="352"/>
    <n v="1"/>
    <n v="352"/>
  </r>
  <r>
    <n v="9"/>
    <x v="1"/>
    <s v="Seguimiento y Control de Acciones de Plan Anticorrupción y Atención al Ciudadano"/>
    <n v="32"/>
    <n v="40"/>
    <n v="8"/>
    <n v="80"/>
    <n v="3"/>
    <n v="240"/>
  </r>
  <r>
    <n v="10"/>
    <x v="1"/>
    <s v="Seguimiento Estrategia Anti trámite"/>
    <n v="32"/>
    <n v="40"/>
    <n v="8"/>
    <n v="80"/>
    <n v="1"/>
    <n v="80"/>
  </r>
  <r>
    <n v="11"/>
    <x v="1"/>
    <s v="Seguimientos a publicaciones de la Contratación en la Plataforma SECOP"/>
    <n v="32"/>
    <n v="40"/>
    <n v="8"/>
    <n v="80"/>
    <n v="3"/>
    <n v="240"/>
  </r>
  <r>
    <n v="12"/>
    <x v="1"/>
    <s v="Informe de evaluación del Sistema de Control Interno Contable"/>
    <n v="40"/>
    <n v="56"/>
    <n v="12"/>
    <n v="108"/>
    <n v="1"/>
    <n v="108"/>
  </r>
  <r>
    <n v="13"/>
    <x v="1"/>
    <s v="Informe Semestral de Evaluación Independiente del Sistema de Control Interno"/>
    <n v="40"/>
    <n v="56"/>
    <n v="12"/>
    <n v="108"/>
    <n v="1"/>
    <n v="108"/>
  </r>
  <r>
    <n v="14"/>
    <x v="1"/>
    <s v="Seguimiento Comité de Defensa Judicial, Conciliación y Repetición y SIPROJ"/>
    <n v="28"/>
    <n v="56"/>
    <n v="12"/>
    <n v="96"/>
    <n v="2"/>
    <n v="192"/>
  </r>
  <r>
    <n v="15"/>
    <x v="1"/>
    <s v="Seguimiento a Directrices para Prevenir Conductas Irregulares sobre Incumplimiento de Manuales de Funciones y de Procedimientos y Pérdida de Elementos y Documentos Público. Directiva 008 de 2021"/>
    <n v="24"/>
    <n v="24"/>
    <n v="8"/>
    <n v="56"/>
    <n v="2"/>
    <n v="112"/>
  </r>
  <r>
    <n v="16"/>
    <x v="1"/>
    <s v="Seguimiento a Peticiones, Quejas, Reclamos, Sugerencias y Felicitaciones - Derechos de Petición"/>
    <n v="40"/>
    <n v="56"/>
    <n v="12"/>
    <n v="108"/>
    <n v="2"/>
    <n v="216"/>
  </r>
  <r>
    <n v="17"/>
    <x v="1"/>
    <s v="Seguimiento Cuadro resumen auditorías externas e internas  realizadas"/>
    <n v="40"/>
    <n v="56"/>
    <n v="12"/>
    <n v="108"/>
    <n v="1"/>
    <n v="108"/>
  </r>
  <r>
    <n v="18"/>
    <x v="1"/>
    <s v="Seguimiento Estado de Cumplimiento Metas Plan de Desarrollo e Indicadores"/>
    <n v="40"/>
    <n v="56"/>
    <n v="12"/>
    <n v="108"/>
    <n v="4"/>
    <n v="432"/>
  </r>
  <r>
    <n v="19"/>
    <x v="1"/>
    <s v="Seguimiento de Acuerdos de Gestión"/>
    <n v="48"/>
    <n v="48"/>
    <n v="12"/>
    <n v="108"/>
    <n v="2"/>
    <n v="216"/>
  </r>
  <r>
    <n v="20"/>
    <x v="1"/>
    <s v="Seguimiento a Verificación, Recomendaciones y Resultados sobre Cumplimiento de normas en materia de Derechos de Autor sobre Software "/>
    <n v="20"/>
    <n v="24"/>
    <n v="16"/>
    <n v="60"/>
    <n v="1"/>
    <n v="60"/>
  </r>
  <r>
    <n v="21"/>
    <x v="1"/>
    <s v="Informe Integral de Gestión OCI "/>
    <n v="32"/>
    <n v="40"/>
    <n v="8"/>
    <n v="80"/>
    <n v="2"/>
    <n v="160"/>
  </r>
  <r>
    <n v="22"/>
    <x v="1"/>
    <s v="Seguimiento a la Austeridad en el Gasto"/>
    <n v="40"/>
    <n v="40"/>
    <n v="12"/>
    <n v="92"/>
    <n v="4"/>
    <n v="368"/>
  </r>
  <r>
    <n v="23"/>
    <x v="1"/>
    <s v="Evaluación de los Riesgos  de Corrupción"/>
    <n v="48"/>
    <n v="40"/>
    <n v="12"/>
    <n v="100"/>
    <n v="3"/>
    <n v="300"/>
  </r>
  <r>
    <n v="24"/>
    <x v="1"/>
    <s v="Evaluación de los Riesgos  de Gestión"/>
    <n v="24"/>
    <n v="20"/>
    <n v="6"/>
    <n v="50"/>
    <n v="2"/>
    <n v="100"/>
  </r>
  <r>
    <n v="25"/>
    <x v="1"/>
    <s v="Evaluación y Seguimiento Implementación MIPG  7 dimensiones y 18 políticas - e informes FURAG."/>
    <n v="64"/>
    <n v="40"/>
    <n v="40"/>
    <n v="144"/>
    <n v="1"/>
    <n v="144"/>
  </r>
  <r>
    <n v="26"/>
    <x v="1"/>
    <s v="Seguimiento Informes Gobierno Digital"/>
    <n v="20"/>
    <n v="24"/>
    <n v="16"/>
    <n v="60"/>
    <n v="1"/>
    <n v="60"/>
  </r>
  <r>
    <n v="27"/>
    <x v="1"/>
    <s v="Seguimiento Comité de Sostenibilidad Contable"/>
    <n v="40"/>
    <n v="56"/>
    <n v="12"/>
    <n v="108"/>
    <n v="1"/>
    <n v="108"/>
  </r>
  <r>
    <n v="28"/>
    <x v="1"/>
    <s v="Seguimiento a la implementación  del Código de Integridad de la Empresa vigencia 2021"/>
    <n v="32"/>
    <n v="40"/>
    <n v="8"/>
    <n v="80"/>
    <n v="1"/>
    <n v="80"/>
  </r>
  <r>
    <n v="29"/>
    <x v="1"/>
    <s v="Seguimiento a la implementación del código de integridad de la Empresa vigencia 2022_x000a_Cumplimiento y eficacia de los programas de transparencia y ética empresarial. "/>
    <n v="32"/>
    <n v="40"/>
    <n v="8"/>
    <n v="80"/>
    <n v="1"/>
    <n v="80"/>
  </r>
  <r>
    <n v="30"/>
    <x v="1"/>
    <s v="Seguimiento Reporte - Ley e índice de Transparencia y Acceso a la Información - ITA."/>
    <n v="32"/>
    <n v="40"/>
    <n v="8"/>
    <n v="80"/>
    <n v="1"/>
    <n v="80"/>
  </r>
  <r>
    <n v="31"/>
    <x v="1"/>
    <s v="Campaña de fomento de Autocontrol"/>
    <n v="40"/>
    <n v="20"/>
    <n v="32"/>
    <n v="92"/>
    <n v="2"/>
    <n v="184"/>
  </r>
  <r>
    <n v="32"/>
    <x v="1"/>
    <s v="Prestar los servicios de asesoría y acompañamiento requeridos"/>
    <n v="2"/>
    <n v="5"/>
    <n v="0"/>
    <n v="7"/>
    <n v="10"/>
    <n v="70"/>
  </r>
  <r>
    <n v="33"/>
    <x v="1"/>
    <s v="Diligenciamiento Encuestas Gobierno Corporativo - Veeduría Distrital."/>
    <n v="1"/>
    <n v="1"/>
    <n v="0"/>
    <n v="2"/>
    <n v="3"/>
    <n v="6"/>
  </r>
  <r>
    <n v="34"/>
    <x v="1"/>
    <s v="Revisión Código de Ética del Auditor Interno, Estatuto Auditoría Interna."/>
    <n v="32"/>
    <n v="40"/>
    <n v="8"/>
    <n v="80"/>
    <n v="1"/>
    <n v="80"/>
  </r>
  <r>
    <n v="35"/>
    <x v="1"/>
    <s v="Activos de Información y Funcionamiento Software que maneja la Empresa"/>
    <n v="32"/>
    <n v="40"/>
    <n v="8"/>
    <n v="80"/>
    <n v="1"/>
    <n v="80"/>
  </r>
  <r>
    <n v="36"/>
    <x v="1"/>
    <s v="Seguimiento líneas de Defensa"/>
    <n v="32"/>
    <n v="40"/>
    <n v="8"/>
    <n v="80"/>
    <n v="1"/>
    <n v="80"/>
  </r>
  <r>
    <n v="37"/>
    <x v="1"/>
    <s v="Seguimiento a la actualización de bases de datos en RNBD"/>
    <n v="32"/>
    <n v="40"/>
    <n v="8"/>
    <n v="80"/>
    <n v="1"/>
    <n v="80"/>
  </r>
  <r>
    <n v="38"/>
    <x v="1"/>
    <s v="Programa Aseguramiento Calidad de la Auditoria"/>
    <n v="32"/>
    <n v="40"/>
    <n v="8"/>
    <n v="80"/>
    <n v="1"/>
    <n v="80"/>
  </r>
  <r>
    <n v="39"/>
    <x v="1"/>
    <s v="Seguimiento Cajas Menores (SE EFECTUAN SIN PREVIO AVISO)"/>
    <n v="2"/>
    <n v="2"/>
    <n v="2"/>
    <n v="6"/>
    <n v="6"/>
    <n v="36"/>
  </r>
  <r>
    <n v="40"/>
    <x v="1"/>
    <s v="Seguimiento Plan de Mejoramiento por Procesos"/>
    <n v="32"/>
    <n v="40"/>
    <n v="8"/>
    <n v="80"/>
    <n v="1"/>
    <n v="80"/>
  </r>
  <r>
    <n v="41"/>
    <x v="1"/>
    <s v="Seguimiento Directiva 015 de 2022"/>
    <n v="32"/>
    <n v="40"/>
    <n v="8"/>
    <n v="80"/>
    <n v="1"/>
    <n v="80"/>
  </r>
  <r>
    <n v="42"/>
    <x v="2"/>
    <s v="Asistencia y Participación en los Comités Institucionales"/>
    <n v="1"/>
    <n v="2"/>
    <n v="0"/>
    <n v="3"/>
    <n v="30"/>
    <n v="90"/>
  </r>
  <r>
    <n v="43"/>
    <x v="2"/>
    <s v="Reuniones de Autoevaluación Proceso (quincenal)"/>
    <n v="1"/>
    <n v="2"/>
    <n v="1"/>
    <n v="4"/>
    <n v="24"/>
    <n v="96"/>
  </r>
  <r>
    <n v="44"/>
    <x v="2"/>
    <s v="Revisión y actualización del Proceso Evaluación y Seguimiento: Revisión procedimientos, instructivos, formatos, indicadores y riesgos del proceso, asignación y seguimiento  de tareas y actividades programadas, determinación de directrices e instrucciones al grupo de trabajo"/>
    <n v="32"/>
    <n v="40"/>
    <n v="0"/>
    <n v="72"/>
    <n v="4"/>
    <n v="288"/>
  </r>
  <r>
    <n v="45"/>
    <x v="3"/>
    <s v="Trasmisión Cuenta Mensual Contraloría"/>
    <n v="1"/>
    <n v="1"/>
    <n v="1"/>
    <n v="3"/>
    <n v="12"/>
    <n v="36"/>
  </r>
  <r>
    <n v="46"/>
    <x v="3"/>
    <s v="Auditoría de Control Fiscal en la Modalidad de Regularidad PAD 2023 Vigencia 2022"/>
    <n v="16"/>
    <n v="40"/>
    <n v="3"/>
    <n v="59"/>
    <n v="1"/>
    <n v="59"/>
  </r>
  <r>
    <n v="47"/>
    <x v="3"/>
    <s v="Auditoría de Control Fiscal en la Modalidad de Cumplimiento -Vivienda"/>
    <n v="16"/>
    <n v="40"/>
    <n v="3"/>
    <n v="59"/>
    <n v="1"/>
    <n v="59"/>
  </r>
  <r>
    <n v="48"/>
    <x v="3"/>
    <s v="Auditoría de Control Fiscal en la Modalidad de Desempeño"/>
    <n v="16"/>
    <n v="40"/>
    <n v="3"/>
    <n v="59"/>
    <n v="1"/>
    <n v="59"/>
  </r>
  <r>
    <n v="49"/>
    <x v="3"/>
    <s v="Visitas Administrativas de Control Fiscal"/>
    <n v="16"/>
    <n v="40"/>
    <n v="3"/>
    <n v="59"/>
    <n v="1"/>
    <n v="59"/>
  </r>
  <r>
    <n v="50"/>
    <x v="3"/>
    <s v="Seguimiento Plan de Mejoramiento Contraloría"/>
    <n v="16"/>
    <n v="40"/>
    <n v="3"/>
    <n v="59"/>
    <n v="2"/>
    <n v="118"/>
  </r>
  <r>
    <n v="51"/>
    <x v="3"/>
    <s v="Atención Vistas – Entes de Control - Atención requerimientos entes de control conforme a las competencias de la OCI"/>
    <n v="10"/>
    <n v="20"/>
    <n v="8"/>
    <n v="38"/>
    <n v="4"/>
    <n v="152"/>
  </r>
  <r>
    <n v="52"/>
    <x v="1"/>
    <s v="Trasmisión Cuenta Mensual Contraloría"/>
    <n v="12"/>
    <n v="8"/>
    <n v="4"/>
    <n v="24"/>
    <n v="12"/>
    <n v="288"/>
  </r>
  <r>
    <n v="53"/>
    <x v="1"/>
    <s v="Asesoría, acompañamiento  y Trasmisión Cuenta Anual Contraloría"/>
    <n v="40"/>
    <n v="45"/>
    <n v="8"/>
    <n v="93"/>
    <n v="1"/>
    <n v="93"/>
  </r>
  <r>
    <n v="54"/>
    <x v="2"/>
    <s v="Reparto, seguimiento, revisión y registro de respuestas a Entes Externos de Control"/>
    <n v="1"/>
    <n v="7"/>
    <n v="0"/>
    <n v="8"/>
    <n v="682"/>
    <n v="5456"/>
  </r>
  <r>
    <n v="55"/>
    <x v="4"/>
    <m/>
    <m/>
    <m/>
    <m/>
    <n v="0"/>
    <m/>
    <n v="0"/>
  </r>
  <r>
    <n v="56"/>
    <x v="4"/>
    <m/>
    <m/>
    <m/>
    <m/>
    <n v="0"/>
    <m/>
    <n v="0"/>
  </r>
  <r>
    <n v="57"/>
    <x v="4"/>
    <m/>
    <m/>
    <m/>
    <m/>
    <n v="0"/>
    <m/>
    <n v="0"/>
  </r>
  <r>
    <n v="58"/>
    <x v="4"/>
    <m/>
    <m/>
    <m/>
    <m/>
    <n v="0"/>
    <m/>
    <n v="0"/>
  </r>
  <r>
    <n v="59"/>
    <x v="4"/>
    <m/>
    <m/>
    <m/>
    <m/>
    <n v="0"/>
    <m/>
    <n v="0"/>
  </r>
  <r>
    <n v="60"/>
    <x v="4"/>
    <m/>
    <m/>
    <m/>
    <m/>
    <n v="0"/>
    <m/>
    <n v="0"/>
  </r>
  <r>
    <n v="61"/>
    <x v="4"/>
    <m/>
    <m/>
    <m/>
    <m/>
    <n v="0"/>
    <m/>
    <n v="0"/>
  </r>
  <r>
    <n v="62"/>
    <x v="4"/>
    <m/>
    <m/>
    <m/>
    <m/>
    <n v="0"/>
    <m/>
    <n v="0"/>
  </r>
  <r>
    <n v="63"/>
    <x v="4"/>
    <m/>
    <m/>
    <m/>
    <m/>
    <n v="0"/>
    <m/>
    <n v="0"/>
  </r>
  <r>
    <n v="64"/>
    <x v="4"/>
    <m/>
    <m/>
    <m/>
    <m/>
    <n v="0"/>
    <m/>
    <n v="0"/>
  </r>
  <r>
    <n v="65"/>
    <x v="4"/>
    <m/>
    <m/>
    <m/>
    <m/>
    <n v="0"/>
    <m/>
    <n v="0"/>
  </r>
  <r>
    <n v="66"/>
    <x v="4"/>
    <m/>
    <m/>
    <m/>
    <m/>
    <n v="0"/>
    <m/>
    <n v="0"/>
  </r>
  <r>
    <n v="67"/>
    <x v="4"/>
    <m/>
    <m/>
    <m/>
    <m/>
    <n v="0"/>
    <m/>
    <n v="0"/>
  </r>
  <r>
    <n v="68"/>
    <x v="4"/>
    <m/>
    <m/>
    <m/>
    <m/>
    <n v="0"/>
    <m/>
    <n v="0"/>
  </r>
  <r>
    <n v="69"/>
    <x v="4"/>
    <m/>
    <m/>
    <m/>
    <m/>
    <n v="0"/>
    <m/>
    <n v="0"/>
  </r>
  <r>
    <n v="70"/>
    <x v="4"/>
    <m/>
    <m/>
    <m/>
    <m/>
    <n v="0"/>
    <m/>
    <n v="0"/>
  </r>
  <r>
    <n v="71"/>
    <x v="4"/>
    <m/>
    <m/>
    <m/>
    <m/>
    <n v="0"/>
    <m/>
    <n v="0"/>
  </r>
  <r>
    <n v="72"/>
    <x v="4"/>
    <m/>
    <m/>
    <m/>
    <m/>
    <n v="0"/>
    <m/>
    <n v="0"/>
  </r>
  <r>
    <n v="73"/>
    <x v="4"/>
    <m/>
    <m/>
    <m/>
    <m/>
    <n v="0"/>
    <m/>
    <n v="0"/>
  </r>
  <r>
    <n v="74"/>
    <x v="4"/>
    <m/>
    <m/>
    <m/>
    <m/>
    <n v="0"/>
    <m/>
    <n v="0"/>
  </r>
  <r>
    <n v="75"/>
    <x v="4"/>
    <m/>
    <m/>
    <m/>
    <m/>
    <n v="0"/>
    <m/>
    <n v="0"/>
  </r>
  <r>
    <n v="76"/>
    <x v="4"/>
    <m/>
    <m/>
    <m/>
    <m/>
    <n v="0"/>
    <m/>
    <n v="0"/>
  </r>
  <r>
    <n v="77"/>
    <x v="4"/>
    <m/>
    <m/>
    <m/>
    <m/>
    <n v="0"/>
    <m/>
    <n v="0"/>
  </r>
  <r>
    <n v="78"/>
    <x v="4"/>
    <m/>
    <m/>
    <m/>
    <m/>
    <n v="0"/>
    <m/>
    <n v="0"/>
  </r>
  <r>
    <n v="79"/>
    <x v="4"/>
    <m/>
    <m/>
    <m/>
    <m/>
    <n v="0"/>
    <m/>
    <n v="0"/>
  </r>
  <r>
    <n v="80"/>
    <x v="4"/>
    <m/>
    <m/>
    <m/>
    <m/>
    <n v="0"/>
    <m/>
    <n v="0"/>
  </r>
  <r>
    <n v="81"/>
    <x v="4"/>
    <m/>
    <m/>
    <m/>
    <m/>
    <n v="0"/>
    <m/>
    <n v="0"/>
  </r>
  <r>
    <n v="82"/>
    <x v="4"/>
    <m/>
    <m/>
    <m/>
    <m/>
    <n v="0"/>
    <m/>
    <n v="0"/>
  </r>
  <r>
    <n v="83"/>
    <x v="4"/>
    <m/>
    <m/>
    <m/>
    <m/>
    <n v="0"/>
    <m/>
    <n v="0"/>
  </r>
  <r>
    <n v="84"/>
    <x v="4"/>
    <m/>
    <m/>
    <m/>
    <m/>
    <n v="0"/>
    <m/>
    <n v="0"/>
  </r>
  <r>
    <n v="85"/>
    <x v="4"/>
    <m/>
    <m/>
    <m/>
    <m/>
    <n v="0"/>
    <m/>
    <n v="0"/>
  </r>
  <r>
    <n v="86"/>
    <x v="4"/>
    <m/>
    <m/>
    <m/>
    <m/>
    <n v="0"/>
    <m/>
    <n v="0"/>
  </r>
  <r>
    <n v="87"/>
    <x v="4"/>
    <m/>
    <m/>
    <m/>
    <s v="TOTALES"/>
    <n v="8045"/>
    <n v="858"/>
    <n v="1616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1" cacheId="0" applyNumberFormats="0" applyBorderFormats="0" applyFontFormats="0" applyPatternFormats="0" applyAlignmentFormats="0" applyWidthHeightFormats="1" dataCaption="Valores" updatedVersion="5" minRefreshableVersion="3" useAutoFormatting="1" itemPrintTitles="1" createdVersion="4" indent="0" outline="1" outlineData="1" multipleFieldFilters="0">
  <location ref="A114:C118" firstHeaderRow="0" firstDataRow="1" firstDataCol="1"/>
  <pivotFields count="9">
    <pivotField showAll="0"/>
    <pivotField axis="axisRow" showAll="0">
      <items count="6">
        <item x="0"/>
        <item x="1"/>
        <item x="3"/>
        <item h="1" x="4"/>
        <item h="1" x="2"/>
        <item t="default"/>
      </items>
    </pivotField>
    <pivotField showAll="0"/>
    <pivotField showAll="0"/>
    <pivotField showAll="0"/>
    <pivotField showAll="0"/>
    <pivotField dataField="1" showAll="0"/>
    <pivotField dataField="1" showAll="0"/>
    <pivotField showAll="0"/>
  </pivotFields>
  <rowFields count="1">
    <field x="1"/>
  </rowFields>
  <rowItems count="4">
    <i>
      <x/>
    </i>
    <i>
      <x v="1"/>
    </i>
    <i>
      <x v="2"/>
    </i>
    <i t="grand">
      <x/>
    </i>
  </rowItems>
  <colFields count="1">
    <field x="-2"/>
  </colFields>
  <colItems count="2">
    <i>
      <x/>
    </i>
    <i i="1">
      <x v="1"/>
    </i>
  </colItems>
  <dataFields count="2">
    <dataField name="Suma de Total horas por trabajo de auditoría" fld="6" baseField="1" baseItem="2"/>
    <dataField name="Cuenta de # Informes x año" fld="7" subtotal="count" baseField="0" baseItem="0"/>
  </dataFields>
  <formats count="1">
    <format dxfId="55">
      <pivotArea type="all" dataOnly="0"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id="2" name="Tabla1" displayName="Tabla1" ref="A11:J109" totalsRowCount="1" headerRowDxfId="54" dataDxfId="52" headerRowBorderDxfId="53" tableBorderDxfId="51" totalsRowBorderDxfId="50">
  <tableColumns count="10">
    <tableColumn id="1" name="No" dataDxfId="49" totalsRowDxfId="48"/>
    <tableColumn id="2" name="TIPO DE TRABAJO DE AUDITORÍA " dataDxfId="47" totalsRowDxfId="46"/>
    <tableColumn id="3" name="Descripción" dataDxfId="45" totalsRowDxfId="44"/>
    <tableColumn id="4" name="Planeacion Auditoria/Solicitud de Informaciòn" dataDxfId="43" totalsRowDxfId="42"/>
    <tableColumn id="5" name="Ejecucion  Auditoria/Análisis de informaciòn" dataDxfId="41" totalsRowDxfId="40">
      <calculatedColumnFormula>320-Tabla1[[#This Row],[Planeacion Auditoria/Solicitud de Informaciòn]]-Tabla1[[#This Row],[Informe de Auditoria /Seguimiento]]</calculatedColumnFormula>
    </tableColumn>
    <tableColumn id="6" name="Informe de Auditoria /Seguimiento" dataDxfId="39" totalsRowDxfId="38"/>
    <tableColumn id="7" name="Total horas por trabajo de auditoría" dataDxfId="37" totalsRowDxfId="36"/>
    <tableColumn id="8" name="# Informes x año" dataDxfId="35" totalsRowDxfId="34"/>
    <tableColumn id="9" name="Horas x trabajo de auditoría" dataDxfId="33" totalsRowDxfId="32">
      <calculatedColumnFormula>+G12*H12</calculatedColumnFormula>
    </tableColumn>
    <tableColumn id="10" name="Observaciones" dataDxfId="31" totalsRowDxfId="30"/>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colombia.workingdays.org/" TargetMode="Externa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0.xml"/><Relationship Id="rId1" Type="http://schemas.openxmlformats.org/officeDocument/2006/relationships/pivotTable" Target="../pivotTables/pivotTable1.xml"/><Relationship Id="rId5" Type="http://schemas.openxmlformats.org/officeDocument/2006/relationships/comments" Target="../comments2.xml"/><Relationship Id="rId4" Type="http://schemas.openxmlformats.org/officeDocument/2006/relationships/table" Target="../tables/table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0.bin"/><Relationship Id="rId1" Type="http://schemas.openxmlformats.org/officeDocument/2006/relationships/hyperlink" Target="http://colombia.workingdays.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4.xml"/><Relationship Id="rId1" Type="http://schemas.openxmlformats.org/officeDocument/2006/relationships/printerSettings" Target="../printerSettings/printerSettings12.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hyperlink" Target="http://10.115.245.74/mipg-sig/mapa-procesos" TargetMode="External"/><Relationship Id="rId2" Type="http://schemas.openxmlformats.org/officeDocument/2006/relationships/hyperlink" Target="http://10.115.245.74/organigrama" TargetMode="External"/><Relationship Id="rId1" Type="http://schemas.openxmlformats.org/officeDocument/2006/relationships/hyperlink" Target="http://10.115.245.74/node/4683" TargetMode="External"/><Relationship Id="rId6" Type="http://schemas.openxmlformats.org/officeDocument/2006/relationships/drawing" Target="../drawings/drawing6.xml"/><Relationship Id="rId5" Type="http://schemas.openxmlformats.org/officeDocument/2006/relationships/printerSettings" Target="../printerSettings/printerSettings4.bin"/><Relationship Id="rId4" Type="http://schemas.openxmlformats.org/officeDocument/2006/relationships/hyperlink" Target="http://10.115.245.74/organigrama" TargetMode="Externa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N17"/>
  <sheetViews>
    <sheetView workbookViewId="0">
      <selection activeCell="C6" sqref="C6:N6"/>
    </sheetView>
  </sheetViews>
  <sheetFormatPr baseColWidth="10" defaultColWidth="11.42578125" defaultRowHeight="15" x14ac:dyDescent="0.25"/>
  <cols>
    <col min="1" max="16384" width="11.42578125" style="59"/>
  </cols>
  <sheetData>
    <row r="4" spans="3:14" ht="15.75" thickBot="1" x14ac:dyDescent="0.3"/>
    <row r="5" spans="3:14" ht="68.25" customHeight="1" thickBot="1" x14ac:dyDescent="0.3">
      <c r="C5" s="516" t="s">
        <v>21</v>
      </c>
      <c r="D5" s="517"/>
      <c r="E5" s="517"/>
      <c r="F5" s="517"/>
      <c r="G5" s="517"/>
      <c r="H5" s="517"/>
      <c r="I5" s="517"/>
      <c r="J5" s="517"/>
      <c r="K5" s="517"/>
      <c r="L5" s="517"/>
      <c r="M5" s="517"/>
      <c r="N5" s="518"/>
    </row>
    <row r="6" spans="3:14" ht="288.75" customHeight="1" thickBot="1" x14ac:dyDescent="0.3">
      <c r="C6" s="513" t="s">
        <v>607</v>
      </c>
      <c r="D6" s="514"/>
      <c r="E6" s="514"/>
      <c r="F6" s="514"/>
      <c r="G6" s="514"/>
      <c r="H6" s="514"/>
      <c r="I6" s="514"/>
      <c r="J6" s="514"/>
      <c r="K6" s="514"/>
      <c r="L6" s="514"/>
      <c r="M6" s="514"/>
      <c r="N6" s="515"/>
    </row>
    <row r="7" spans="3:14" ht="45" customHeight="1" thickBot="1" x14ac:dyDescent="0.3">
      <c r="C7" s="42"/>
      <c r="D7" s="45" t="s">
        <v>27</v>
      </c>
      <c r="E7" s="43"/>
      <c r="F7" s="43"/>
      <c r="G7" s="43"/>
      <c r="H7" s="43"/>
      <c r="I7" s="43"/>
      <c r="J7" s="43"/>
      <c r="K7" s="43"/>
      <c r="L7" s="43"/>
      <c r="M7" s="43"/>
      <c r="N7" s="44"/>
    </row>
    <row r="8" spans="3:14" ht="45" customHeight="1" x14ac:dyDescent="0.25">
      <c r="C8" s="39"/>
      <c r="D8" s="48" t="s">
        <v>57</v>
      </c>
      <c r="E8" s="40"/>
      <c r="F8" s="40"/>
      <c r="G8" s="40"/>
      <c r="H8" s="40"/>
      <c r="I8" s="40"/>
      <c r="J8" s="40"/>
      <c r="K8" s="40"/>
      <c r="L8" s="40"/>
      <c r="M8" s="40"/>
      <c r="N8" s="41"/>
    </row>
    <row r="9" spans="3:14" x14ac:dyDescent="0.25">
      <c r="C9" s="20"/>
      <c r="D9" s="15"/>
      <c r="E9" s="15"/>
      <c r="F9" s="15"/>
      <c r="G9" s="15"/>
      <c r="H9" s="15"/>
      <c r="I9" s="15"/>
      <c r="J9" s="15"/>
      <c r="K9" s="15"/>
      <c r="L9" s="15"/>
      <c r="M9" s="15"/>
      <c r="N9" s="16"/>
    </row>
    <row r="10" spans="3:14" ht="18" x14ac:dyDescent="0.25">
      <c r="C10" s="14"/>
      <c r="D10" s="21" t="s">
        <v>22</v>
      </c>
      <c r="E10" s="15"/>
      <c r="F10" s="15"/>
      <c r="G10" s="15"/>
      <c r="H10" s="15"/>
      <c r="I10" s="15"/>
      <c r="J10" s="15"/>
      <c r="K10" s="15"/>
      <c r="L10" s="15"/>
      <c r="M10" s="15"/>
      <c r="N10" s="16"/>
    </row>
    <row r="11" spans="3:14" ht="15.75" thickBot="1" x14ac:dyDescent="0.3">
      <c r="C11" s="22"/>
      <c r="D11" s="18"/>
      <c r="E11" s="18"/>
      <c r="F11" s="18"/>
      <c r="G11" s="18"/>
      <c r="H11" s="18"/>
      <c r="I11" s="18"/>
      <c r="J11" s="18"/>
      <c r="K11" s="18"/>
      <c r="L11" s="18"/>
      <c r="M11" s="18"/>
      <c r="N11" s="19"/>
    </row>
    <row r="12" spans="3:14" x14ac:dyDescent="0.25">
      <c r="C12" s="20"/>
      <c r="D12" s="15"/>
      <c r="E12" s="15"/>
      <c r="F12" s="15"/>
      <c r="G12" s="15"/>
      <c r="H12" s="15"/>
      <c r="I12" s="15"/>
      <c r="J12" s="15"/>
      <c r="K12" s="15"/>
      <c r="L12" s="15"/>
      <c r="M12" s="15"/>
      <c r="N12" s="16"/>
    </row>
    <row r="13" spans="3:14" ht="18" x14ac:dyDescent="0.25">
      <c r="C13" s="14"/>
      <c r="D13" s="21" t="s">
        <v>56</v>
      </c>
      <c r="E13" s="15"/>
      <c r="F13" s="15"/>
      <c r="G13" s="15"/>
      <c r="H13" s="15"/>
      <c r="I13" s="15"/>
      <c r="J13" s="15"/>
      <c r="K13" s="15"/>
      <c r="L13" s="15"/>
      <c r="M13" s="15"/>
      <c r="N13" s="16"/>
    </row>
    <row r="14" spans="3:14" ht="15.75" thickBot="1" x14ac:dyDescent="0.3">
      <c r="C14" s="22"/>
      <c r="D14" s="18"/>
      <c r="E14" s="18"/>
      <c r="F14" s="18"/>
      <c r="G14" s="18"/>
      <c r="H14" s="18"/>
      <c r="I14" s="18"/>
      <c r="J14" s="18"/>
      <c r="K14" s="18"/>
      <c r="L14" s="18"/>
      <c r="M14" s="18"/>
      <c r="N14" s="19"/>
    </row>
    <row r="15" spans="3:14" x14ac:dyDescent="0.25">
      <c r="C15" s="20"/>
      <c r="D15" s="15"/>
      <c r="E15" s="15"/>
      <c r="F15" s="15"/>
      <c r="G15" s="15"/>
      <c r="H15" s="15"/>
      <c r="I15" s="15"/>
      <c r="J15" s="15"/>
      <c r="K15" s="15"/>
      <c r="L15" s="15"/>
      <c r="M15" s="15"/>
      <c r="N15" s="16"/>
    </row>
    <row r="16" spans="3:14" ht="18" x14ac:dyDescent="0.25">
      <c r="C16" s="14"/>
      <c r="D16" s="21" t="s">
        <v>23</v>
      </c>
      <c r="E16" s="15"/>
      <c r="F16" s="15"/>
      <c r="G16" s="15"/>
      <c r="H16" s="15"/>
      <c r="I16" s="15"/>
      <c r="J16" s="15"/>
      <c r="K16" s="15"/>
      <c r="L16" s="15"/>
      <c r="M16" s="15"/>
      <c r="N16" s="16"/>
    </row>
    <row r="17" spans="3:14" ht="15.75" thickBot="1" x14ac:dyDescent="0.3">
      <c r="C17" s="22"/>
      <c r="D17" s="18"/>
      <c r="E17" s="18"/>
      <c r="F17" s="18"/>
      <c r="G17" s="18"/>
      <c r="H17" s="18"/>
      <c r="I17" s="18"/>
      <c r="J17" s="18"/>
      <c r="K17" s="18"/>
      <c r="L17" s="18"/>
      <c r="M17" s="18"/>
      <c r="N17" s="19"/>
    </row>
  </sheetData>
  <mergeCells count="2">
    <mergeCell ref="C6:N6"/>
    <mergeCell ref="C5:N5"/>
  </mergeCells>
  <pageMargins left="0.7" right="0.7" top="0.75" bottom="0.75" header="0.3" footer="0.3"/>
  <pageSetup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28"/>
  <sheetViews>
    <sheetView zoomScale="95" zoomScaleNormal="95" workbookViewId="0"/>
  </sheetViews>
  <sheetFormatPr baseColWidth="10" defaultColWidth="11.42578125" defaultRowHeight="15" x14ac:dyDescent="0.25"/>
  <cols>
    <col min="2" max="2" width="47.140625" customWidth="1"/>
    <col min="3" max="3" width="4.5703125" customWidth="1"/>
    <col min="4" max="4" width="84.85546875" customWidth="1"/>
    <col min="5" max="5" width="45.28515625" customWidth="1"/>
  </cols>
  <sheetData>
    <row r="3" spans="1:5" x14ac:dyDescent="0.25">
      <c r="A3" s="73"/>
      <c r="B3" s="73" t="s">
        <v>127</v>
      </c>
      <c r="C3" s="73"/>
      <c r="D3" s="73" t="s">
        <v>113</v>
      </c>
      <c r="E3" s="73" t="s">
        <v>128</v>
      </c>
    </row>
    <row r="4" spans="1:5" ht="60" customHeight="1" x14ac:dyDescent="0.25">
      <c r="A4" s="625">
        <v>1</v>
      </c>
      <c r="B4" s="628" t="s">
        <v>121</v>
      </c>
      <c r="C4" s="74" t="s">
        <v>129</v>
      </c>
      <c r="D4" s="52" t="s">
        <v>130</v>
      </c>
      <c r="E4" s="75" t="s">
        <v>131</v>
      </c>
    </row>
    <row r="5" spans="1:5" ht="45" customHeight="1" x14ac:dyDescent="0.25">
      <c r="A5" s="626"/>
      <c r="B5" s="629"/>
      <c r="C5" s="74" t="s">
        <v>122</v>
      </c>
      <c r="D5" s="52" t="s">
        <v>102</v>
      </c>
      <c r="E5" s="75" t="s">
        <v>132</v>
      </c>
    </row>
    <row r="6" spans="1:5" ht="33" x14ac:dyDescent="0.25">
      <c r="A6" s="627"/>
      <c r="B6" s="630"/>
      <c r="C6" s="74" t="s">
        <v>123</v>
      </c>
      <c r="D6" s="52" t="s">
        <v>103</v>
      </c>
      <c r="E6" s="75" t="s">
        <v>133</v>
      </c>
    </row>
    <row r="7" spans="1:5" ht="28.5" x14ac:dyDescent="0.25">
      <c r="A7" s="38">
        <v>2</v>
      </c>
      <c r="B7" s="76" t="s">
        <v>134</v>
      </c>
      <c r="C7" s="74" t="s">
        <v>135</v>
      </c>
      <c r="D7" s="52" t="s">
        <v>136</v>
      </c>
      <c r="E7" s="54"/>
    </row>
    <row r="8" spans="1:5" ht="30.75" customHeight="1" x14ac:dyDescent="0.25">
      <c r="A8" s="38"/>
      <c r="B8" s="76"/>
      <c r="C8" s="74"/>
      <c r="D8" s="52" t="s">
        <v>137</v>
      </c>
      <c r="E8" s="77" t="s">
        <v>138</v>
      </c>
    </row>
    <row r="9" spans="1:5" ht="30.75" customHeight="1" x14ac:dyDescent="0.25">
      <c r="A9" s="38"/>
      <c r="B9" s="76"/>
      <c r="C9" s="74"/>
      <c r="D9" s="52" t="s">
        <v>139</v>
      </c>
      <c r="E9" s="78" t="s">
        <v>140</v>
      </c>
    </row>
    <row r="10" spans="1:5" ht="33" x14ac:dyDescent="0.25">
      <c r="A10" s="38">
        <v>3</v>
      </c>
      <c r="B10" s="76" t="s">
        <v>141</v>
      </c>
      <c r="C10" s="74" t="s">
        <v>142</v>
      </c>
      <c r="D10" s="52" t="s">
        <v>143</v>
      </c>
      <c r="E10" s="78" t="s">
        <v>144</v>
      </c>
    </row>
    <row r="11" spans="1:5" ht="33" x14ac:dyDescent="0.3">
      <c r="A11" s="38"/>
      <c r="B11" s="76"/>
      <c r="C11" s="74" t="s">
        <v>145</v>
      </c>
      <c r="D11" s="52" t="s">
        <v>146</v>
      </c>
      <c r="E11" s="51"/>
    </row>
    <row r="12" spans="1:5" ht="33" x14ac:dyDescent="0.3">
      <c r="A12" s="53"/>
      <c r="B12" s="52"/>
      <c r="C12" s="74" t="s">
        <v>147</v>
      </c>
      <c r="D12" s="52" t="s">
        <v>148</v>
      </c>
      <c r="E12" s="51"/>
    </row>
    <row r="13" spans="1:5" ht="33" x14ac:dyDescent="0.3">
      <c r="A13" s="53"/>
      <c r="B13" s="52"/>
      <c r="C13" s="74" t="s">
        <v>149</v>
      </c>
      <c r="D13" s="52" t="s">
        <v>150</v>
      </c>
      <c r="E13" s="51"/>
    </row>
    <row r="14" spans="1:5" ht="33" x14ac:dyDescent="0.3">
      <c r="A14" s="53"/>
      <c r="B14" s="52"/>
      <c r="C14" s="74" t="s">
        <v>151</v>
      </c>
      <c r="D14" s="52" t="s">
        <v>152</v>
      </c>
      <c r="E14" s="51"/>
    </row>
    <row r="15" spans="1:5" ht="33" x14ac:dyDescent="0.3">
      <c r="A15" s="53"/>
      <c r="B15" s="52"/>
      <c r="C15" s="74" t="s">
        <v>153</v>
      </c>
      <c r="D15" s="52" t="s">
        <v>154</v>
      </c>
      <c r="E15" s="51"/>
    </row>
    <row r="16" spans="1:5" ht="33" x14ac:dyDescent="0.3">
      <c r="A16" s="53"/>
      <c r="B16" s="52"/>
      <c r="C16" s="74" t="s">
        <v>155</v>
      </c>
      <c r="D16" s="52" t="s">
        <v>156</v>
      </c>
      <c r="E16" s="51"/>
    </row>
    <row r="17" spans="1:5" ht="16.5" x14ac:dyDescent="0.3">
      <c r="A17" s="53"/>
      <c r="B17" s="52"/>
      <c r="C17" s="74"/>
      <c r="D17" s="79" t="s">
        <v>157</v>
      </c>
      <c r="E17" s="51"/>
    </row>
    <row r="18" spans="1:5" ht="33" x14ac:dyDescent="0.3">
      <c r="A18" s="53"/>
      <c r="B18" s="52"/>
      <c r="C18" s="74" t="s">
        <v>158</v>
      </c>
      <c r="D18" s="52" t="s">
        <v>159</v>
      </c>
      <c r="E18" s="51"/>
    </row>
    <row r="19" spans="1:5" ht="16.5" x14ac:dyDescent="0.3">
      <c r="A19" s="53"/>
      <c r="B19" s="52"/>
      <c r="C19" s="74"/>
      <c r="D19" s="79" t="s">
        <v>160</v>
      </c>
      <c r="E19" s="51"/>
    </row>
    <row r="20" spans="1:5" ht="16.5" x14ac:dyDescent="0.3">
      <c r="A20" s="53"/>
      <c r="B20" s="52"/>
      <c r="C20" s="53"/>
      <c r="D20" s="79" t="s">
        <v>161</v>
      </c>
      <c r="E20" s="80" t="s">
        <v>162</v>
      </c>
    </row>
    <row r="21" spans="1:5" ht="33" x14ac:dyDescent="0.3">
      <c r="A21" s="38">
        <v>4</v>
      </c>
      <c r="B21" s="76" t="s">
        <v>163</v>
      </c>
      <c r="C21" s="74" t="s">
        <v>164</v>
      </c>
      <c r="D21" s="52" t="s">
        <v>165</v>
      </c>
      <c r="E21" s="51"/>
    </row>
    <row r="22" spans="1:5" ht="16.5" x14ac:dyDescent="0.3">
      <c r="A22" s="51"/>
      <c r="B22" s="50"/>
      <c r="C22" s="51"/>
      <c r="D22" s="50"/>
      <c r="E22" s="51"/>
    </row>
    <row r="23" spans="1:5" x14ac:dyDescent="0.25">
      <c r="B23" s="10"/>
      <c r="D23" s="10"/>
    </row>
    <row r="24" spans="1:5" x14ac:dyDescent="0.25">
      <c r="B24" s="10"/>
      <c r="D24" s="10"/>
    </row>
    <row r="25" spans="1:5" x14ac:dyDescent="0.25">
      <c r="B25" s="10"/>
      <c r="D25" s="10"/>
    </row>
    <row r="26" spans="1:5" x14ac:dyDescent="0.25">
      <c r="B26" s="10"/>
      <c r="D26" s="10"/>
    </row>
    <row r="27" spans="1:5" x14ac:dyDescent="0.25">
      <c r="B27" s="10"/>
      <c r="D27" s="10"/>
    </row>
    <row r="28" spans="1:5" x14ac:dyDescent="0.25">
      <c r="B28" s="10"/>
      <c r="D28" s="10"/>
    </row>
  </sheetData>
  <mergeCells count="2">
    <mergeCell ref="A4:A6"/>
    <mergeCell ref="B4:B6"/>
  </mergeCells>
  <hyperlinks>
    <hyperlink ref="E4" location="'1. Horas requeridas PAAI'!A1" display="'1. Horas requeridas PAAI'!A1"/>
    <hyperlink ref="E10" location="'3 Horas disponibles E. Auditor'!A1" display="'3 Horas disponibles E. Auditor'!A1"/>
    <hyperlink ref="E5" location="'1. Horas requeridas PAAI'!A1" display="'1. Horas requeridas PAAI'!A1"/>
    <hyperlink ref="E6" location="'1. Horas requeridas PAAI'!A1" display="'1. Horas requeridas PAAI'!A1"/>
    <hyperlink ref="E9" location="'2. Días -horas hábiles x vig'!A1" display="'2. Días -horas hábiles x vig'!A1"/>
    <hyperlink ref="E8" r:id="rId1"/>
    <hyperlink ref="E20" location="'4. Resultado'!A1" display="'4. Resultado'!A1"/>
  </hyperlink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38"/>
  <sheetViews>
    <sheetView zoomScale="80" zoomScaleNormal="80" workbookViewId="0">
      <selection activeCell="G78" sqref="G78"/>
    </sheetView>
  </sheetViews>
  <sheetFormatPr baseColWidth="10" defaultColWidth="11.42578125" defaultRowHeight="16.5" x14ac:dyDescent="0.3"/>
  <cols>
    <col min="1" max="1" width="26.140625" style="90" customWidth="1"/>
    <col min="2" max="2" width="48.7109375" style="90" customWidth="1"/>
    <col min="3" max="3" width="30.28515625" style="90" customWidth="1"/>
    <col min="4" max="9" width="23.28515625" style="90" customWidth="1"/>
    <col min="10" max="10" width="11" style="90" customWidth="1"/>
    <col min="11" max="11" width="12.5703125" style="90" bestFit="1" customWidth="1"/>
    <col min="12" max="13" width="11.42578125" style="90"/>
    <col min="14" max="14" width="27.5703125" style="90" customWidth="1"/>
    <col min="15" max="16384" width="11.42578125" style="90"/>
  </cols>
  <sheetData>
    <row r="1" spans="1:14" s="15" customFormat="1" ht="62.25" customHeight="1" x14ac:dyDescent="0.25">
      <c r="A1"/>
      <c r="B1" s="524" t="s">
        <v>240</v>
      </c>
      <c r="C1" s="524"/>
      <c r="D1" s="524"/>
      <c r="E1" s="524"/>
      <c r="F1" s="524"/>
      <c r="G1" s="524"/>
      <c r="H1" s="524"/>
      <c r="I1" s="525"/>
      <c r="J1" s="60"/>
      <c r="K1" s="60"/>
      <c r="L1" s="62"/>
      <c r="M1" s="63"/>
    </row>
    <row r="2" spans="1:14" x14ac:dyDescent="0.3">
      <c r="A2" s="92"/>
      <c r="B2" s="25"/>
      <c r="C2" s="25"/>
      <c r="D2" s="25"/>
      <c r="E2" s="25"/>
      <c r="F2" s="25"/>
      <c r="G2" s="25"/>
      <c r="H2" s="25"/>
      <c r="I2" s="93"/>
    </row>
    <row r="3" spans="1:14" x14ac:dyDescent="0.3">
      <c r="A3" s="92" t="s">
        <v>255</v>
      </c>
      <c r="B3" s="25"/>
      <c r="C3" s="25"/>
      <c r="D3" s="25"/>
      <c r="E3" s="25"/>
      <c r="F3" s="25"/>
      <c r="G3" s="25"/>
      <c r="H3" s="25"/>
      <c r="I3" s="93"/>
    </row>
    <row r="4" spans="1:14" ht="18.75" x14ac:dyDescent="0.3">
      <c r="A4" s="156" t="s">
        <v>239</v>
      </c>
      <c r="B4" s="25"/>
      <c r="C4" s="25"/>
      <c r="D4" s="25"/>
      <c r="E4" s="25"/>
      <c r="F4" s="25"/>
      <c r="G4" s="25"/>
      <c r="H4" s="25"/>
      <c r="I4" s="93"/>
    </row>
    <row r="5" spans="1:14" ht="18.75" x14ac:dyDescent="0.3">
      <c r="A5" s="156" t="s">
        <v>238</v>
      </c>
      <c r="B5" s="25"/>
      <c r="C5" s="25"/>
      <c r="D5" s="25"/>
      <c r="E5" s="25"/>
      <c r="F5" s="25"/>
      <c r="G5" s="25"/>
      <c r="H5" s="25"/>
      <c r="I5" s="93"/>
    </row>
    <row r="6" spans="1:14" ht="18.75" x14ac:dyDescent="0.3">
      <c r="A6" s="156"/>
      <c r="B6" s="25"/>
      <c r="C6" s="25"/>
      <c r="D6" s="25"/>
      <c r="E6" s="25"/>
      <c r="F6" s="25"/>
      <c r="G6" s="25"/>
      <c r="H6" s="25"/>
      <c r="I6" s="93"/>
    </row>
    <row r="7" spans="1:14" x14ac:dyDescent="0.3">
      <c r="A7" s="145"/>
      <c r="B7" s="25"/>
      <c r="C7" s="25"/>
      <c r="D7" s="25"/>
      <c r="E7" s="25"/>
      <c r="F7" s="25"/>
      <c r="G7" s="25"/>
      <c r="H7" s="25"/>
      <c r="I7" s="93"/>
    </row>
    <row r="8" spans="1:14" x14ac:dyDescent="0.3">
      <c r="A8" s="634" t="s">
        <v>239</v>
      </c>
      <c r="B8" s="635"/>
      <c r="C8" s="635"/>
      <c r="D8" s="635"/>
      <c r="E8" s="635"/>
      <c r="F8" s="635"/>
      <c r="G8" s="635"/>
      <c r="H8" s="635"/>
      <c r="I8" s="636"/>
    </row>
    <row r="9" spans="1:14" x14ac:dyDescent="0.3">
      <c r="A9" s="94" t="s">
        <v>104</v>
      </c>
      <c r="B9" s="86" t="s">
        <v>105</v>
      </c>
      <c r="C9" s="86" t="s">
        <v>106</v>
      </c>
      <c r="D9" s="86" t="s">
        <v>107</v>
      </c>
      <c r="E9" s="86" t="s">
        <v>108</v>
      </c>
      <c r="F9" s="86" t="s">
        <v>109</v>
      </c>
      <c r="G9" s="86" t="s">
        <v>110</v>
      </c>
      <c r="H9" s="87" t="s">
        <v>111</v>
      </c>
      <c r="I9" s="95" t="s">
        <v>112</v>
      </c>
    </row>
    <row r="10" spans="1:14" x14ac:dyDescent="0.3">
      <c r="A10" s="94"/>
      <c r="B10" s="86"/>
      <c r="C10" s="86"/>
      <c r="D10" s="631" t="s">
        <v>220</v>
      </c>
      <c r="E10" s="632"/>
      <c r="F10" s="633"/>
      <c r="G10" s="86"/>
      <c r="H10" s="87"/>
      <c r="I10" s="95"/>
    </row>
    <row r="11" spans="1:14" ht="49.5" x14ac:dyDescent="0.3">
      <c r="A11" s="96" t="s">
        <v>12</v>
      </c>
      <c r="B11" s="89" t="s">
        <v>219</v>
      </c>
      <c r="C11" s="88" t="s">
        <v>113</v>
      </c>
      <c r="D11" s="89" t="s">
        <v>114</v>
      </c>
      <c r="E11" s="89" t="s">
        <v>115</v>
      </c>
      <c r="F11" s="89" t="s">
        <v>116</v>
      </c>
      <c r="G11" s="89" t="s">
        <v>223</v>
      </c>
      <c r="H11" s="89" t="s">
        <v>117</v>
      </c>
      <c r="I11" s="97" t="s">
        <v>224</v>
      </c>
      <c r="J11" s="344" t="s">
        <v>402</v>
      </c>
      <c r="N11" s="148" t="s">
        <v>245</v>
      </c>
    </row>
    <row r="12" spans="1:14" x14ac:dyDescent="0.3">
      <c r="A12" s="190">
        <v>1</v>
      </c>
      <c r="B12" s="191" t="s">
        <v>120</v>
      </c>
      <c r="C12" s="246" t="str">
        <f>+'PAA OCI  '!B19</f>
        <v>Seguimiento a SARLAFT</v>
      </c>
      <c r="D12" s="85">
        <v>16</v>
      </c>
      <c r="E12" s="333">
        <v>320</v>
      </c>
      <c r="F12" s="85">
        <v>24</v>
      </c>
      <c r="G12" s="85">
        <f>SUM(D12:F12)</f>
        <v>360</v>
      </c>
      <c r="H12" s="85">
        <v>1</v>
      </c>
      <c r="I12" s="98">
        <f>+G12*H12</f>
        <v>360</v>
      </c>
      <c r="J12" s="335"/>
      <c r="N12" s="146" t="s">
        <v>118</v>
      </c>
    </row>
    <row r="13" spans="1:14" ht="33" x14ac:dyDescent="0.3">
      <c r="A13" s="190">
        <v>2</v>
      </c>
      <c r="B13" s="191" t="s">
        <v>120</v>
      </c>
      <c r="C13" s="246" t="str">
        <f>+'PAA OCI  '!B20</f>
        <v>Revisión de Polizas de Seguro Corporativa</v>
      </c>
      <c r="D13" s="85">
        <v>16</v>
      </c>
      <c r="E13" s="333">
        <v>320</v>
      </c>
      <c r="F13" s="85">
        <v>24</v>
      </c>
      <c r="G13" s="85">
        <f>SUM(D13:F13)</f>
        <v>360</v>
      </c>
      <c r="H13" s="85">
        <v>1</v>
      </c>
      <c r="I13" s="98">
        <f t="shared" ref="I13:I35" si="0">+G13*H13</f>
        <v>360</v>
      </c>
      <c r="J13" s="335"/>
      <c r="N13" s="146" t="s">
        <v>119</v>
      </c>
    </row>
    <row r="14" spans="1:14" ht="33" x14ac:dyDescent="0.3">
      <c r="A14" s="190">
        <v>3</v>
      </c>
      <c r="B14" s="191" t="s">
        <v>120</v>
      </c>
      <c r="C14" s="246" t="str">
        <f>+'PAA OCI  '!B21</f>
        <v>Seguimiento a actos administrativos Internos</v>
      </c>
      <c r="D14" s="85">
        <v>16</v>
      </c>
      <c r="E14" s="333">
        <v>320</v>
      </c>
      <c r="F14" s="85">
        <v>24</v>
      </c>
      <c r="G14" s="85">
        <f t="shared" ref="G14:G86" si="1">SUM(D14:F14)</f>
        <v>360</v>
      </c>
      <c r="H14" s="85">
        <v>1</v>
      </c>
      <c r="I14" s="98">
        <f t="shared" si="0"/>
        <v>360</v>
      </c>
      <c r="J14" s="335"/>
      <c r="N14" s="146" t="s">
        <v>120</v>
      </c>
    </row>
    <row r="15" spans="1:14" ht="148.5" x14ac:dyDescent="0.3">
      <c r="A15" s="190">
        <v>4</v>
      </c>
      <c r="B15" s="191" t="s">
        <v>120</v>
      </c>
      <c r="C15" s="246" t="str">
        <f>+'PAA OCI  '!B22</f>
        <v>Plan Institucional de Archivos de la Entidad PINAR - Plan Estratégico de Talento Humano - Plan de Trabajo Anual en Seguridad y Salud en el Trabajo - Sistema de Gestión de Seguridad y Salud en el Trabajo</v>
      </c>
      <c r="D15" s="85">
        <v>16</v>
      </c>
      <c r="E15" s="333">
        <v>320</v>
      </c>
      <c r="F15" s="85">
        <v>24</v>
      </c>
      <c r="G15" s="85">
        <f t="shared" si="1"/>
        <v>360</v>
      </c>
      <c r="H15" s="85">
        <v>1</v>
      </c>
      <c r="I15" s="98">
        <f t="shared" si="0"/>
        <v>360</v>
      </c>
      <c r="J15" s="335"/>
      <c r="N15" s="146" t="s">
        <v>246</v>
      </c>
    </row>
    <row r="16" spans="1:14" ht="165" x14ac:dyDescent="0.3">
      <c r="A16" s="190">
        <v>5</v>
      </c>
      <c r="B16" s="191" t="s">
        <v>120</v>
      </c>
      <c r="C16" s="246" t="str">
        <f>+'PAA OCI  '!B23</f>
        <v>Plan Estratégico de Tecnologías de la Información y las Comunicaciones ­ PETI - Plan de Tratamiento de Riesgos de Seguridad y Privacidad de la Información - Plan de Seguridad y Privacidad de la Información</v>
      </c>
      <c r="D16" s="85">
        <v>16</v>
      </c>
      <c r="E16" s="333">
        <v>320</v>
      </c>
      <c r="F16" s="85">
        <v>24</v>
      </c>
      <c r="G16" s="85">
        <f t="shared" si="1"/>
        <v>360</v>
      </c>
      <c r="H16" s="85">
        <v>1</v>
      </c>
      <c r="I16" s="98">
        <f t="shared" si="0"/>
        <v>360</v>
      </c>
      <c r="J16" s="335"/>
      <c r="N16" s="146" t="s">
        <v>247</v>
      </c>
    </row>
    <row r="17" spans="1:14" ht="198" x14ac:dyDescent="0.3">
      <c r="A17" s="190">
        <v>6</v>
      </c>
      <c r="B17" s="191" t="s">
        <v>120</v>
      </c>
      <c r="C17" s="246" t="str">
        <f>+'PAA OCI  '!B24</f>
        <v>Plan de Participación Ciudadana - Estrategia rendición de cuentas - Control documental según la ISO 9001 - Política operativa de integridad, conflicto de interés y gestión anti soborno - Política administración del riesgo - Auditorías procesos SIG según requisitos norma ISO 9001</v>
      </c>
      <c r="D17" s="85">
        <v>16</v>
      </c>
      <c r="E17" s="333">
        <v>320</v>
      </c>
      <c r="F17" s="85">
        <v>24</v>
      </c>
      <c r="G17" s="85">
        <f t="shared" si="1"/>
        <v>360</v>
      </c>
      <c r="H17" s="85">
        <v>1</v>
      </c>
      <c r="I17" s="147">
        <f t="shared" ref="I17:I22" si="2">+G17*H17</f>
        <v>360</v>
      </c>
      <c r="J17" s="335"/>
      <c r="N17" s="159"/>
    </row>
    <row r="18" spans="1:14" ht="33" x14ac:dyDescent="0.3">
      <c r="A18" s="190">
        <v>7</v>
      </c>
      <c r="B18" s="191" t="s">
        <v>120</v>
      </c>
      <c r="C18" s="246" t="str">
        <f>+'PAA OCI  '!B25</f>
        <v>Seguimiento adjudicación San Victorino</v>
      </c>
      <c r="D18" s="85">
        <v>16</v>
      </c>
      <c r="E18" s="333">
        <v>320</v>
      </c>
      <c r="F18" s="85">
        <v>24</v>
      </c>
      <c r="G18" s="85">
        <f t="shared" si="1"/>
        <v>360</v>
      </c>
      <c r="H18" s="85">
        <v>1</v>
      </c>
      <c r="I18" s="147">
        <f t="shared" si="2"/>
        <v>360</v>
      </c>
      <c r="J18" s="335"/>
      <c r="N18" s="159"/>
    </row>
    <row r="19" spans="1:14" ht="33" x14ac:dyDescent="0.3">
      <c r="A19" s="190">
        <v>8</v>
      </c>
      <c r="B19" s="191" t="s">
        <v>120</v>
      </c>
      <c r="C19" s="246" t="str">
        <f>+'PAA OCI  '!B26</f>
        <v>Seguimiento estado Obra Alcaldia Mártires</v>
      </c>
      <c r="D19" s="85">
        <v>16</v>
      </c>
      <c r="E19" s="333">
        <v>320</v>
      </c>
      <c r="F19" s="85">
        <v>24</v>
      </c>
      <c r="G19" s="85">
        <f t="shared" si="1"/>
        <v>360</v>
      </c>
      <c r="H19" s="85">
        <v>1</v>
      </c>
      <c r="I19" s="147">
        <f t="shared" si="2"/>
        <v>360</v>
      </c>
      <c r="J19" s="335"/>
      <c r="N19" s="159"/>
    </row>
    <row r="20" spans="1:14" ht="33" x14ac:dyDescent="0.3">
      <c r="A20" s="190">
        <v>9</v>
      </c>
      <c r="B20" s="191" t="s">
        <v>120</v>
      </c>
      <c r="C20" s="246" t="str">
        <f>+'PAA OCI  '!B27</f>
        <v>Seguimiento rol Empresa Ciudadela del Cuidado</v>
      </c>
      <c r="D20" s="85">
        <v>16</v>
      </c>
      <c r="E20" s="333">
        <v>320</v>
      </c>
      <c r="F20" s="85">
        <v>24</v>
      </c>
      <c r="G20" s="85">
        <f t="shared" si="1"/>
        <v>360</v>
      </c>
      <c r="H20" s="85">
        <v>1</v>
      </c>
      <c r="I20" s="147">
        <f t="shared" si="2"/>
        <v>360</v>
      </c>
      <c r="J20" s="335"/>
      <c r="N20" s="159"/>
    </row>
    <row r="21" spans="1:14" ht="66" x14ac:dyDescent="0.3">
      <c r="A21" s="190">
        <v>10</v>
      </c>
      <c r="B21" s="191" t="s">
        <v>120</v>
      </c>
      <c r="C21" s="246" t="str">
        <f>+'PAA OCI  '!B28</f>
        <v xml:space="preserve">Apoyo realización comité de auditoría y seguimiento de los compromisos establecidos </v>
      </c>
      <c r="D21" s="85">
        <v>16</v>
      </c>
      <c r="E21" s="333">
        <v>320</v>
      </c>
      <c r="F21" s="85">
        <v>24</v>
      </c>
      <c r="G21" s="85">
        <f t="shared" si="1"/>
        <v>360</v>
      </c>
      <c r="H21" s="85">
        <v>1</v>
      </c>
      <c r="I21" s="147">
        <f t="shared" si="2"/>
        <v>360</v>
      </c>
      <c r="J21" s="335"/>
      <c r="N21" s="159"/>
    </row>
    <row r="22" spans="1:14" ht="165" x14ac:dyDescent="0.3">
      <c r="A22" s="190">
        <v>11</v>
      </c>
      <c r="B22" s="191" t="s">
        <v>120</v>
      </c>
      <c r="C22" s="246" t="str">
        <f>+'PAA OCI  '!B29</f>
        <v>Proceso adquisición de suelo por enajenación voluntaria, expropiación administrativa o judicial - Adquisición proyectos Tercera Concurrencia - Adquisición proyecto San Bernardo Tercer Milenio AMD 1 – Convenio 3151-2019 suscrito con el IDRD.</v>
      </c>
      <c r="D22" s="85">
        <v>16</v>
      </c>
      <c r="E22" s="333">
        <v>320</v>
      </c>
      <c r="F22" s="85">
        <v>24</v>
      </c>
      <c r="G22" s="85">
        <f t="shared" si="1"/>
        <v>360</v>
      </c>
      <c r="H22" s="85">
        <v>1</v>
      </c>
      <c r="I22" s="147">
        <f t="shared" si="2"/>
        <v>360</v>
      </c>
      <c r="J22" s="335"/>
      <c r="N22" s="159"/>
    </row>
    <row r="23" spans="1:14" ht="66" x14ac:dyDescent="0.3">
      <c r="A23" s="190">
        <v>12</v>
      </c>
      <c r="B23" s="191" t="s">
        <v>120</v>
      </c>
      <c r="C23" s="246" t="str">
        <f>+'PAA OCI  '!B30</f>
        <v>Maduración y Calidad en la construccion del anexo técnico para los proyectos - gestión contractual</v>
      </c>
      <c r="D23" s="85">
        <v>16</v>
      </c>
      <c r="E23" s="333">
        <v>320</v>
      </c>
      <c r="F23" s="85">
        <v>24</v>
      </c>
      <c r="G23" s="85">
        <f t="shared" ref="G23:G29" si="3">SUM(D23:F23)</f>
        <v>360</v>
      </c>
      <c r="H23" s="85">
        <v>1</v>
      </c>
      <c r="I23" s="300">
        <f t="shared" ref="I23:I29" si="4">+G23*H23</f>
        <v>360</v>
      </c>
      <c r="J23" s="335"/>
      <c r="N23" s="159"/>
    </row>
    <row r="24" spans="1:14" x14ac:dyDescent="0.3">
      <c r="A24" s="190">
        <v>13</v>
      </c>
      <c r="B24" s="191" t="s">
        <v>120</v>
      </c>
      <c r="C24" s="246" t="e">
        <f>+'PAA OCI  '!#REF!</f>
        <v>#REF!</v>
      </c>
      <c r="D24" s="85">
        <v>16</v>
      </c>
      <c r="E24" s="333">
        <v>320</v>
      </c>
      <c r="F24" s="85">
        <v>24</v>
      </c>
      <c r="G24" s="85">
        <f t="shared" si="3"/>
        <v>360</v>
      </c>
      <c r="H24" s="85">
        <v>1</v>
      </c>
      <c r="I24" s="300">
        <f t="shared" si="4"/>
        <v>360</v>
      </c>
      <c r="J24" s="335"/>
      <c r="N24" s="159"/>
    </row>
    <row r="25" spans="1:14" ht="33" x14ac:dyDescent="0.3">
      <c r="A25" s="190">
        <v>14</v>
      </c>
      <c r="B25" s="191" t="s">
        <v>120</v>
      </c>
      <c r="C25" s="246" t="str">
        <f>+'PAA OCI  '!B31</f>
        <v>Auditoria implementación sistema de información SIM</v>
      </c>
      <c r="D25" s="85">
        <v>16</v>
      </c>
      <c r="E25" s="333">
        <v>320</v>
      </c>
      <c r="F25" s="85">
        <v>24</v>
      </c>
      <c r="G25" s="85">
        <f t="shared" si="3"/>
        <v>360</v>
      </c>
      <c r="H25" s="85">
        <v>1</v>
      </c>
      <c r="I25" s="300">
        <f t="shared" si="4"/>
        <v>360</v>
      </c>
      <c r="J25" s="335"/>
      <c r="N25" s="159"/>
    </row>
    <row r="26" spans="1:14" ht="33" x14ac:dyDescent="0.3">
      <c r="A26" s="190">
        <v>15</v>
      </c>
      <c r="B26" s="191" t="s">
        <v>120</v>
      </c>
      <c r="C26" s="246" t="str">
        <f>+'PAA OCI  '!B32</f>
        <v>Auditoria proyecto misional 1 (proyecto san Bernardo)</v>
      </c>
      <c r="D26" s="85">
        <v>16</v>
      </c>
      <c r="E26" s="333">
        <v>320</v>
      </c>
      <c r="F26" s="85">
        <v>24</v>
      </c>
      <c r="G26" s="85">
        <f t="shared" si="3"/>
        <v>360</v>
      </c>
      <c r="H26" s="85">
        <v>1</v>
      </c>
      <c r="I26" s="300">
        <f t="shared" si="4"/>
        <v>360</v>
      </c>
      <c r="J26" s="335"/>
      <c r="N26" s="159"/>
    </row>
    <row r="27" spans="1:14" ht="49.5" x14ac:dyDescent="0.3">
      <c r="A27" s="190">
        <v>16</v>
      </c>
      <c r="B27" s="191" t="s">
        <v>120</v>
      </c>
      <c r="C27" s="246" t="str">
        <f>+'PAA OCI  '!B33</f>
        <v>Auditoria proyecto misional 2 (Actuaciones Estrategicas)</v>
      </c>
      <c r="D27" s="85">
        <v>16</v>
      </c>
      <c r="E27" s="333">
        <v>320</v>
      </c>
      <c r="F27" s="85">
        <v>24</v>
      </c>
      <c r="G27" s="85">
        <f t="shared" si="3"/>
        <v>360</v>
      </c>
      <c r="H27" s="85">
        <v>1</v>
      </c>
      <c r="I27" s="300">
        <f t="shared" si="4"/>
        <v>360</v>
      </c>
      <c r="J27" s="335"/>
      <c r="N27" s="159"/>
    </row>
    <row r="28" spans="1:14" ht="33" x14ac:dyDescent="0.3">
      <c r="A28" s="190">
        <v>17</v>
      </c>
      <c r="B28" s="191" t="s">
        <v>120</v>
      </c>
      <c r="C28" s="246" t="str">
        <f>+'PAA OCI  '!B34</f>
        <v>Auditoria de Gestión Contractual</v>
      </c>
      <c r="D28" s="85">
        <v>16</v>
      </c>
      <c r="E28" s="333">
        <v>320</v>
      </c>
      <c r="F28" s="85">
        <v>24</v>
      </c>
      <c r="G28" s="85">
        <f t="shared" si="3"/>
        <v>360</v>
      </c>
      <c r="H28" s="85">
        <v>1</v>
      </c>
      <c r="I28" s="300">
        <f t="shared" si="4"/>
        <v>360</v>
      </c>
      <c r="J28" s="335"/>
      <c r="N28" s="159"/>
    </row>
    <row r="29" spans="1:14" ht="49.5" x14ac:dyDescent="0.3">
      <c r="A29" s="190">
        <v>18</v>
      </c>
      <c r="B29" s="191" t="s">
        <v>120</v>
      </c>
      <c r="C29" s="246" t="str">
        <f>+'PAA OCI  '!B35</f>
        <v>Auditoria proceso administrativo 1 (Esquema Fiduciario)</v>
      </c>
      <c r="D29" s="85">
        <v>16</v>
      </c>
      <c r="E29" s="333">
        <v>320</v>
      </c>
      <c r="F29" s="85">
        <v>24</v>
      </c>
      <c r="G29" s="85">
        <f t="shared" si="3"/>
        <v>360</v>
      </c>
      <c r="H29" s="85">
        <v>1</v>
      </c>
      <c r="I29" s="300">
        <f t="shared" si="4"/>
        <v>360</v>
      </c>
      <c r="J29" s="335"/>
      <c r="N29" s="159"/>
    </row>
    <row r="30" spans="1:14" x14ac:dyDescent="0.3">
      <c r="A30" s="190">
        <v>19</v>
      </c>
      <c r="B30" s="191" t="s">
        <v>120</v>
      </c>
      <c r="C30" s="247" t="e">
        <f>+'PAA OCI  '!#REF!</f>
        <v>#REF!</v>
      </c>
      <c r="D30" s="85">
        <v>16</v>
      </c>
      <c r="E30" s="334">
        <v>30</v>
      </c>
      <c r="F30" s="338">
        <v>8</v>
      </c>
      <c r="G30" s="85">
        <f t="shared" si="1"/>
        <v>54</v>
      </c>
      <c r="H30" s="85">
        <v>1</v>
      </c>
      <c r="I30" s="98">
        <f t="shared" si="0"/>
        <v>54</v>
      </c>
      <c r="J30" s="335"/>
    </row>
    <row r="31" spans="1:14" ht="82.5" x14ac:dyDescent="0.3">
      <c r="A31" s="190">
        <v>20</v>
      </c>
      <c r="B31" s="191" t="s">
        <v>120</v>
      </c>
      <c r="C31" s="247" t="str">
        <f>+'PAA OCI  '!B38</f>
        <v>Asesoria y seguimiento a la Implementación del Sistema de Gestión de Calidad bajo concepto del estándar NTC ISO 9001:2015</v>
      </c>
      <c r="D31" s="334">
        <v>72</v>
      </c>
      <c r="E31" s="334">
        <v>200</v>
      </c>
      <c r="F31" s="334">
        <v>80</v>
      </c>
      <c r="G31" s="85">
        <f>SUM(D31:F31)</f>
        <v>352</v>
      </c>
      <c r="H31" s="193">
        <v>1</v>
      </c>
      <c r="I31" s="98">
        <f t="shared" si="0"/>
        <v>352</v>
      </c>
      <c r="J31" s="335"/>
    </row>
    <row r="32" spans="1:14" ht="132" x14ac:dyDescent="0.3">
      <c r="A32" s="190">
        <v>21</v>
      </c>
      <c r="B32" s="191" t="s">
        <v>120</v>
      </c>
      <c r="C32" s="247" t="str">
        <f>+'PAA OCI  '!B39</f>
        <v>Verificacion de la Conformidad del  Sistema de Gestión de la Calidad bajo el concepto del estándar NTC ISO 9001:2015 de la Empresa (Ciclo  Auditorias Internas de Calidad 2022).</v>
      </c>
      <c r="D32" s="334">
        <v>72</v>
      </c>
      <c r="E32" s="334">
        <v>200</v>
      </c>
      <c r="F32" s="334">
        <v>80</v>
      </c>
      <c r="G32" s="85">
        <f>SUM(D32:F32)</f>
        <v>352</v>
      </c>
      <c r="H32" s="193">
        <v>1</v>
      </c>
      <c r="I32" s="98">
        <f t="shared" si="0"/>
        <v>352</v>
      </c>
      <c r="J32" s="335"/>
    </row>
    <row r="33" spans="1:10" ht="49.5" x14ac:dyDescent="0.3">
      <c r="A33" s="190">
        <v>22</v>
      </c>
      <c r="B33" s="191" t="s">
        <v>118</v>
      </c>
      <c r="C33" s="248" t="str">
        <f>+'PAA OCI  '!B42</f>
        <v>Seguimiento y Control al Programa de Transparencia y Etica Pública</v>
      </c>
      <c r="D33" s="193">
        <v>32</v>
      </c>
      <c r="E33" s="193">
        <v>40</v>
      </c>
      <c r="F33" s="193">
        <v>8</v>
      </c>
      <c r="G33" s="85">
        <f t="shared" si="1"/>
        <v>80</v>
      </c>
      <c r="H33" s="193">
        <v>3</v>
      </c>
      <c r="I33" s="98">
        <f t="shared" si="0"/>
        <v>240</v>
      </c>
      <c r="J33" s="335"/>
    </row>
    <row r="34" spans="1:10" ht="66" x14ac:dyDescent="0.3">
      <c r="A34" s="190">
        <v>23</v>
      </c>
      <c r="B34" s="191" t="s">
        <v>118</v>
      </c>
      <c r="C34" s="248" t="str">
        <f>+'PAA OCI  '!B43</f>
        <v>Seguimientos a publicaciones de la Contratación en la Plataforma SECOP</v>
      </c>
      <c r="D34" s="334">
        <v>16</v>
      </c>
      <c r="E34" s="334">
        <v>32</v>
      </c>
      <c r="F34" s="193">
        <v>8</v>
      </c>
      <c r="G34" s="85">
        <f t="shared" si="1"/>
        <v>56</v>
      </c>
      <c r="H34" s="334">
        <v>6</v>
      </c>
      <c r="I34" s="98">
        <f t="shared" si="0"/>
        <v>336</v>
      </c>
      <c r="J34" s="335"/>
    </row>
    <row r="35" spans="1:10" ht="49.5" x14ac:dyDescent="0.3">
      <c r="A35" s="190">
        <v>24</v>
      </c>
      <c r="B35" s="191" t="s">
        <v>118</v>
      </c>
      <c r="C35" s="248" t="str">
        <f>+'PAA OCI  '!B44</f>
        <v>Informe de evaluación del Sistema de Control Interno Contable</v>
      </c>
      <c r="D35" s="193">
        <v>8</v>
      </c>
      <c r="E35" s="193">
        <v>24</v>
      </c>
      <c r="F35" s="193">
        <v>16</v>
      </c>
      <c r="G35" s="85">
        <f t="shared" si="1"/>
        <v>48</v>
      </c>
      <c r="H35" s="193">
        <v>1</v>
      </c>
      <c r="I35" s="98">
        <f t="shared" si="0"/>
        <v>48</v>
      </c>
      <c r="J35" s="335"/>
    </row>
    <row r="36" spans="1:10" ht="66" x14ac:dyDescent="0.3">
      <c r="A36" s="190">
        <v>25</v>
      </c>
      <c r="B36" s="191" t="s">
        <v>118</v>
      </c>
      <c r="C36" s="248" t="str">
        <f>+'PAA OCI  '!B45</f>
        <v>Informe Semestral de Evaluación Independiente del Sistema de Control Interno</v>
      </c>
      <c r="D36" s="334">
        <v>36</v>
      </c>
      <c r="E36" s="334">
        <v>72</v>
      </c>
      <c r="F36" s="193">
        <v>16</v>
      </c>
      <c r="G36" s="85">
        <f t="shared" si="1"/>
        <v>124</v>
      </c>
      <c r="H36" s="334">
        <v>2</v>
      </c>
      <c r="I36" s="147">
        <f>+G36*H36</f>
        <v>248</v>
      </c>
      <c r="J36" s="335"/>
    </row>
    <row r="37" spans="1:10" ht="66" x14ac:dyDescent="0.3">
      <c r="A37" s="190">
        <v>26</v>
      </c>
      <c r="B37" s="191" t="s">
        <v>118</v>
      </c>
      <c r="C37" s="248" t="str">
        <f>+'PAA OCI  '!B46</f>
        <v>Seguimiento Comité de Defensa Judicial, Conciliación y Repetición y SIPROJ</v>
      </c>
      <c r="D37" s="193">
        <f>3.5*8</f>
        <v>28</v>
      </c>
      <c r="E37" s="193">
        <f>7*8</f>
        <v>56</v>
      </c>
      <c r="F37" s="193">
        <f>1.5*8</f>
        <v>12</v>
      </c>
      <c r="G37" s="85">
        <f t="shared" si="1"/>
        <v>96</v>
      </c>
      <c r="H37" s="193">
        <v>2</v>
      </c>
      <c r="I37" s="147">
        <f t="shared" ref="I37:I70" si="5">+G37*H37</f>
        <v>192</v>
      </c>
      <c r="J37" s="335"/>
    </row>
    <row r="38" spans="1:10" ht="148.5" x14ac:dyDescent="0.3">
      <c r="A38" s="190">
        <v>27</v>
      </c>
      <c r="B38" s="191" t="s">
        <v>118</v>
      </c>
      <c r="C38" s="248" t="str">
        <f>+'PAA OCI  '!B47</f>
        <v>Seguimiento a Directrices para Prevenir Conductas Irregulares sobre Incumplimiento de Manuales de Funciones y de Procedimientos y Pérdida de Elementos y Documentos Público. Directiva 008 de 2021</v>
      </c>
      <c r="D38" s="334">
        <v>24</v>
      </c>
      <c r="E38" s="193">
        <v>24</v>
      </c>
      <c r="F38" s="193">
        <v>8</v>
      </c>
      <c r="G38" s="85">
        <f t="shared" si="1"/>
        <v>56</v>
      </c>
      <c r="H38" s="193">
        <v>1</v>
      </c>
      <c r="I38" s="147">
        <f>+G38*H38</f>
        <v>56</v>
      </c>
      <c r="J38" s="335"/>
    </row>
    <row r="39" spans="1:10" ht="82.5" x14ac:dyDescent="0.3">
      <c r="A39" s="190">
        <v>28</v>
      </c>
      <c r="B39" s="191" t="s">
        <v>118</v>
      </c>
      <c r="C39" s="248" t="str">
        <f>+'PAA OCI  '!B48</f>
        <v>Seguimiento a Peticiones, Quejas, Reclamos, Sugerencias y Felicitaciones - Derechos de Petición</v>
      </c>
      <c r="D39" s="193">
        <v>40</v>
      </c>
      <c r="E39" s="193">
        <f>7*8</f>
        <v>56</v>
      </c>
      <c r="F39" s="193">
        <f>1.5*8</f>
        <v>12</v>
      </c>
      <c r="G39" s="85">
        <f t="shared" si="1"/>
        <v>108</v>
      </c>
      <c r="H39" s="334">
        <v>4</v>
      </c>
      <c r="I39" s="147">
        <f t="shared" si="5"/>
        <v>432</v>
      </c>
      <c r="J39" s="335"/>
    </row>
    <row r="40" spans="1:10" ht="66" x14ac:dyDescent="0.3">
      <c r="A40" s="190">
        <v>29</v>
      </c>
      <c r="B40" s="191" t="s">
        <v>118</v>
      </c>
      <c r="C40" s="248" t="str">
        <f>+'PAA OCI  '!B49</f>
        <v>Seguimiento Cuadro resumen auditorías externas e internas  realizadas</v>
      </c>
      <c r="D40" s="193">
        <v>40</v>
      </c>
      <c r="E40" s="193">
        <f>7*8</f>
        <v>56</v>
      </c>
      <c r="F40" s="193">
        <f>1.5*8</f>
        <v>12</v>
      </c>
      <c r="G40" s="85">
        <f t="shared" si="1"/>
        <v>108</v>
      </c>
      <c r="H40" s="334">
        <v>2</v>
      </c>
      <c r="I40" s="147">
        <f t="shared" si="5"/>
        <v>216</v>
      </c>
      <c r="J40" s="335"/>
    </row>
    <row r="41" spans="1:10" ht="66" x14ac:dyDescent="0.3">
      <c r="A41" s="190">
        <v>30</v>
      </c>
      <c r="B41" s="191" t="s">
        <v>118</v>
      </c>
      <c r="C41" s="248" t="str">
        <f>+'PAA OCI  '!B50</f>
        <v>Seguimiento Estado de Cumplimiento Metas Plan de Desarrollo e Indicadores</v>
      </c>
      <c r="D41" s="193">
        <v>40</v>
      </c>
      <c r="E41" s="193">
        <f>7*8</f>
        <v>56</v>
      </c>
      <c r="F41" s="193">
        <f>1.5*8</f>
        <v>12</v>
      </c>
      <c r="G41" s="85">
        <f t="shared" si="1"/>
        <v>108</v>
      </c>
      <c r="H41" s="193">
        <v>4</v>
      </c>
      <c r="I41" s="147">
        <f t="shared" si="5"/>
        <v>432</v>
      </c>
      <c r="J41" s="335"/>
    </row>
    <row r="42" spans="1:10" ht="33" x14ac:dyDescent="0.3">
      <c r="A42" s="190">
        <v>31</v>
      </c>
      <c r="B42" s="191" t="s">
        <v>118</v>
      </c>
      <c r="C42" s="248" t="str">
        <f>+'PAA OCI  '!B51</f>
        <v>Seguimiento Acuerdos de Gestión</v>
      </c>
      <c r="D42" s="334">
        <v>48</v>
      </c>
      <c r="E42" s="193">
        <v>48</v>
      </c>
      <c r="F42" s="193">
        <v>12</v>
      </c>
      <c r="G42" s="85">
        <f t="shared" si="1"/>
        <v>108</v>
      </c>
      <c r="H42" s="193">
        <v>2</v>
      </c>
      <c r="I42" s="147">
        <f t="shared" si="5"/>
        <v>216</v>
      </c>
      <c r="J42" s="335"/>
    </row>
    <row r="43" spans="1:10" ht="99" x14ac:dyDescent="0.3">
      <c r="A43" s="190">
        <v>32</v>
      </c>
      <c r="B43" s="191" t="s">
        <v>118</v>
      </c>
      <c r="C43" s="248" t="str">
        <f>+'PAA OCI  '!B52</f>
        <v xml:space="preserve">Seguimiento a Verificación, Recomendaciones y Resultados sobre Cumplimiento de normas en materia de Derechos de Autor sobre Software </v>
      </c>
      <c r="D43" s="193">
        <f>2.5*8</f>
        <v>20</v>
      </c>
      <c r="E43" s="334">
        <v>120</v>
      </c>
      <c r="F43" s="193">
        <f>2*8</f>
        <v>16</v>
      </c>
      <c r="G43" s="85">
        <f t="shared" si="1"/>
        <v>156</v>
      </c>
      <c r="H43" s="193">
        <v>1</v>
      </c>
      <c r="I43" s="147">
        <f t="shared" si="5"/>
        <v>156</v>
      </c>
      <c r="J43" s="335"/>
    </row>
    <row r="44" spans="1:10" ht="33" x14ac:dyDescent="0.3">
      <c r="A44" s="190">
        <v>33</v>
      </c>
      <c r="B44" s="191" t="s">
        <v>118</v>
      </c>
      <c r="C44" s="248" t="str">
        <f>+'PAA OCI  '!B53</f>
        <v xml:space="preserve">Informe Integral de Gestión OCI </v>
      </c>
      <c r="D44" s="193">
        <v>32</v>
      </c>
      <c r="E44" s="193">
        <v>40</v>
      </c>
      <c r="F44" s="334">
        <v>16</v>
      </c>
      <c r="G44" s="85">
        <f t="shared" si="1"/>
        <v>88</v>
      </c>
      <c r="H44" s="193">
        <v>2</v>
      </c>
      <c r="I44" s="147">
        <f t="shared" si="5"/>
        <v>176</v>
      </c>
      <c r="J44" s="335"/>
    </row>
    <row r="45" spans="1:10" ht="33" x14ac:dyDescent="0.3">
      <c r="A45" s="190">
        <v>34</v>
      </c>
      <c r="B45" s="191" t="s">
        <v>118</v>
      </c>
      <c r="C45" s="248" t="str">
        <f>+'PAA OCI  '!B54</f>
        <v>Seguimiento a la Austeridad en el Gasto</v>
      </c>
      <c r="D45" s="334">
        <v>32</v>
      </c>
      <c r="E45" s="193">
        <v>40</v>
      </c>
      <c r="F45" s="193">
        <v>12</v>
      </c>
      <c r="G45" s="85">
        <f t="shared" si="1"/>
        <v>84</v>
      </c>
      <c r="H45" s="193">
        <v>4</v>
      </c>
      <c r="I45" s="147">
        <f t="shared" si="5"/>
        <v>336</v>
      </c>
      <c r="J45" s="335"/>
    </row>
    <row r="46" spans="1:10" ht="33" x14ac:dyDescent="0.3">
      <c r="A46" s="190">
        <v>35</v>
      </c>
      <c r="B46" s="191" t="s">
        <v>118</v>
      </c>
      <c r="C46" s="248" t="str">
        <f>+'PAA OCI  '!B55</f>
        <v>Evaluación de los Riesgos  de Corrupción</v>
      </c>
      <c r="D46" s="193">
        <v>48</v>
      </c>
      <c r="E46" s="193">
        <v>40</v>
      </c>
      <c r="F46" s="193">
        <v>12</v>
      </c>
      <c r="G46" s="85">
        <f t="shared" si="1"/>
        <v>100</v>
      </c>
      <c r="H46" s="193">
        <v>3</v>
      </c>
      <c r="I46" s="147">
        <f t="shared" si="5"/>
        <v>300</v>
      </c>
      <c r="J46" s="335"/>
    </row>
    <row r="47" spans="1:10" ht="33" x14ac:dyDescent="0.3">
      <c r="A47" s="190">
        <v>36</v>
      </c>
      <c r="B47" s="191" t="s">
        <v>118</v>
      </c>
      <c r="C47" s="248" t="str">
        <f>+'PAA OCI  '!B56</f>
        <v>Evaluación de los Riesgos  de Gestión</v>
      </c>
      <c r="D47" s="193">
        <v>24</v>
      </c>
      <c r="E47" s="193">
        <v>20</v>
      </c>
      <c r="F47" s="334">
        <v>12</v>
      </c>
      <c r="G47" s="85">
        <f t="shared" si="1"/>
        <v>56</v>
      </c>
      <c r="H47" s="193">
        <v>2</v>
      </c>
      <c r="I47" s="147">
        <f t="shared" si="5"/>
        <v>112</v>
      </c>
      <c r="J47" s="335"/>
    </row>
    <row r="48" spans="1:10" ht="66" x14ac:dyDescent="0.3">
      <c r="A48" s="190">
        <v>37</v>
      </c>
      <c r="B48" s="191" t="s">
        <v>118</v>
      </c>
      <c r="C48" s="248" t="str">
        <f>+'PAA OCI  '!B57</f>
        <v>Evaluación y Seguimiento Implementación MIPG  7 dimensiones y 18 políticas - e informes FURAG.</v>
      </c>
      <c r="D48" s="334">
        <v>64</v>
      </c>
      <c r="E48" s="193">
        <v>40</v>
      </c>
      <c r="F48" s="193">
        <v>16</v>
      </c>
      <c r="G48" s="85">
        <f t="shared" si="1"/>
        <v>120</v>
      </c>
      <c r="H48" s="193">
        <v>1</v>
      </c>
      <c r="I48" s="147">
        <f t="shared" si="5"/>
        <v>120</v>
      </c>
      <c r="J48" s="335"/>
    </row>
    <row r="49" spans="1:10" ht="66" x14ac:dyDescent="0.3">
      <c r="A49" s="190">
        <v>38</v>
      </c>
      <c r="B49" s="191" t="s">
        <v>118</v>
      </c>
      <c r="C49" s="248" t="str">
        <f>+'PAA OCI  '!B58</f>
        <v>Seguimiento Proceso Armonización Planes de Desarrollo - continuidad proyectos</v>
      </c>
      <c r="D49" s="193">
        <f>2.5*8</f>
        <v>20</v>
      </c>
      <c r="E49" s="193">
        <f>3*8</f>
        <v>24</v>
      </c>
      <c r="F49" s="193">
        <f>2*8</f>
        <v>16</v>
      </c>
      <c r="G49" s="85">
        <f t="shared" si="1"/>
        <v>60</v>
      </c>
      <c r="H49" s="193">
        <v>1</v>
      </c>
      <c r="I49" s="147">
        <f t="shared" si="5"/>
        <v>60</v>
      </c>
      <c r="J49" s="335"/>
    </row>
    <row r="50" spans="1:10" ht="33" x14ac:dyDescent="0.3">
      <c r="A50" s="190">
        <v>39</v>
      </c>
      <c r="B50" s="191" t="s">
        <v>118</v>
      </c>
      <c r="C50" s="248" t="str">
        <f>+'PAA OCI  '!B59</f>
        <v>Seguimiento Comité de Sostenibilidad Contable</v>
      </c>
      <c r="D50" s="193">
        <v>8</v>
      </c>
      <c r="E50" s="193">
        <v>16</v>
      </c>
      <c r="F50" s="193">
        <v>4</v>
      </c>
      <c r="G50" s="85">
        <f t="shared" si="1"/>
        <v>28</v>
      </c>
      <c r="H50" s="193">
        <v>2</v>
      </c>
      <c r="I50" s="147">
        <f t="shared" si="5"/>
        <v>56</v>
      </c>
      <c r="J50" s="335"/>
    </row>
    <row r="51" spans="1:10" ht="66" x14ac:dyDescent="0.3">
      <c r="A51" s="190">
        <v>40</v>
      </c>
      <c r="B51" s="191" t="s">
        <v>118</v>
      </c>
      <c r="C51" s="248" t="str">
        <f>+'PAA OCI  '!B60</f>
        <v>Seguimiento a la implementación  del Código de Integridad de la Empresa vigencia 2024</v>
      </c>
      <c r="D51" s="334">
        <v>40</v>
      </c>
      <c r="E51" s="334">
        <v>48</v>
      </c>
      <c r="F51" s="334">
        <v>16</v>
      </c>
      <c r="G51" s="85">
        <f t="shared" si="1"/>
        <v>104</v>
      </c>
      <c r="H51" s="334">
        <v>2</v>
      </c>
      <c r="I51" s="147">
        <f t="shared" si="5"/>
        <v>208</v>
      </c>
      <c r="J51" s="335"/>
    </row>
    <row r="52" spans="1:10" ht="66" x14ac:dyDescent="0.3">
      <c r="A52" s="190">
        <v>41</v>
      </c>
      <c r="B52" s="191" t="s">
        <v>118</v>
      </c>
      <c r="C52" s="248" t="str">
        <f>+'PAA OCI  '!B61</f>
        <v>Seguimiento Reporte - Ley e índice de Transparencia y Acceso a la Información - ITA.</v>
      </c>
      <c r="D52" s="193">
        <v>32</v>
      </c>
      <c r="E52" s="193">
        <v>64</v>
      </c>
      <c r="F52" s="334">
        <v>24</v>
      </c>
      <c r="G52" s="85">
        <f t="shared" si="1"/>
        <v>120</v>
      </c>
      <c r="H52" s="334">
        <v>3</v>
      </c>
      <c r="I52" s="147">
        <f t="shared" si="5"/>
        <v>360</v>
      </c>
      <c r="J52" s="335"/>
    </row>
    <row r="53" spans="1:10" ht="33" x14ac:dyDescent="0.3">
      <c r="A53" s="190">
        <v>42</v>
      </c>
      <c r="B53" s="191" t="s">
        <v>118</v>
      </c>
      <c r="C53" s="248" t="str">
        <f>+'PAA OCI  '!B62</f>
        <v>Campaña de fomento de Autocontrol</v>
      </c>
      <c r="D53" s="334">
        <v>40</v>
      </c>
      <c r="E53" s="334">
        <v>20</v>
      </c>
      <c r="F53" s="334">
        <v>32</v>
      </c>
      <c r="G53" s="85">
        <f t="shared" si="1"/>
        <v>92</v>
      </c>
      <c r="H53" s="193">
        <v>2</v>
      </c>
      <c r="I53" s="147">
        <f t="shared" si="5"/>
        <v>184</v>
      </c>
      <c r="J53" s="335"/>
    </row>
    <row r="54" spans="1:10" ht="66" x14ac:dyDescent="0.3">
      <c r="A54" s="190">
        <v>43</v>
      </c>
      <c r="B54" s="191" t="s">
        <v>118</v>
      </c>
      <c r="C54" s="248" t="str">
        <f>+'PAA OCI  '!B63</f>
        <v>Prestar los servicios de asesoría y acompañamiento requeridos</v>
      </c>
      <c r="D54" s="334">
        <v>72</v>
      </c>
      <c r="E54" s="337">
        <f>200+1175</f>
        <v>1375</v>
      </c>
      <c r="F54" s="193">
        <v>0</v>
      </c>
      <c r="G54" s="85">
        <f t="shared" si="1"/>
        <v>1447</v>
      </c>
      <c r="H54" s="334">
        <v>1</v>
      </c>
      <c r="I54" s="147">
        <f t="shared" si="5"/>
        <v>1447</v>
      </c>
      <c r="J54" s="336" t="s">
        <v>570</v>
      </c>
    </row>
    <row r="55" spans="1:10" x14ac:dyDescent="0.3">
      <c r="A55" s="190">
        <v>44</v>
      </c>
      <c r="B55" s="191" t="s">
        <v>118</v>
      </c>
      <c r="C55" s="248" t="e">
        <f>+'PAA OCI  '!#REF!</f>
        <v>#REF!</v>
      </c>
      <c r="D55" s="193">
        <v>1</v>
      </c>
      <c r="E55" s="193">
        <v>1</v>
      </c>
      <c r="F55" s="193">
        <v>0</v>
      </c>
      <c r="G55" s="85">
        <f t="shared" si="1"/>
        <v>2</v>
      </c>
      <c r="H55" s="193">
        <v>3</v>
      </c>
      <c r="I55" s="147">
        <f t="shared" si="5"/>
        <v>6</v>
      </c>
      <c r="J55" s="335"/>
    </row>
    <row r="56" spans="1:10" ht="33" x14ac:dyDescent="0.3">
      <c r="A56" s="190">
        <v>45</v>
      </c>
      <c r="B56" s="191" t="s">
        <v>118</v>
      </c>
      <c r="C56" s="248" t="str">
        <f>+'PAA OCI  '!B64</f>
        <v xml:space="preserve">Diagnóstico implementación NIAS </v>
      </c>
      <c r="D56" s="193">
        <v>32</v>
      </c>
      <c r="E56" s="334">
        <v>48</v>
      </c>
      <c r="F56" s="334">
        <v>36</v>
      </c>
      <c r="G56" s="85">
        <f t="shared" si="1"/>
        <v>116</v>
      </c>
      <c r="H56" s="193">
        <v>1</v>
      </c>
      <c r="I56" s="147">
        <f t="shared" si="5"/>
        <v>116</v>
      </c>
      <c r="J56" s="335"/>
    </row>
    <row r="57" spans="1:10" ht="49.5" x14ac:dyDescent="0.3">
      <c r="A57" s="190">
        <v>46</v>
      </c>
      <c r="B57" s="191" t="s">
        <v>118</v>
      </c>
      <c r="C57" s="248" t="str">
        <f>+'PAA OCI  '!B65</f>
        <v>Activos de Información y Funcionamiento Software que maneja la Empresa</v>
      </c>
      <c r="D57" s="341">
        <v>0</v>
      </c>
      <c r="E57" s="341">
        <v>0</v>
      </c>
      <c r="F57" s="341">
        <v>0</v>
      </c>
      <c r="G57" s="342">
        <f t="shared" si="1"/>
        <v>0</v>
      </c>
      <c r="H57" s="341">
        <v>0</v>
      </c>
      <c r="I57" s="343">
        <f t="shared" si="5"/>
        <v>0</v>
      </c>
      <c r="J57" s="335"/>
    </row>
    <row r="58" spans="1:10" ht="33" x14ac:dyDescent="0.3">
      <c r="A58" s="190">
        <v>47</v>
      </c>
      <c r="B58" s="191" t="s">
        <v>118</v>
      </c>
      <c r="C58" s="248" t="str">
        <f>+'PAA OCI  '!B66</f>
        <v>Seguimiento líneas de Defensa</v>
      </c>
      <c r="D58" s="193">
        <v>32</v>
      </c>
      <c r="E58" s="334">
        <v>48</v>
      </c>
      <c r="F58" s="334">
        <v>36</v>
      </c>
      <c r="G58" s="85">
        <f t="shared" si="1"/>
        <v>116</v>
      </c>
      <c r="H58" s="193">
        <v>1</v>
      </c>
      <c r="I58" s="300">
        <f>+G58*H58</f>
        <v>116</v>
      </c>
      <c r="J58" s="335"/>
    </row>
    <row r="59" spans="1:10" ht="49.5" x14ac:dyDescent="0.3">
      <c r="A59" s="190">
        <v>48</v>
      </c>
      <c r="B59" s="191" t="s">
        <v>118</v>
      </c>
      <c r="C59" s="248" t="str">
        <f>+'PAA OCI  '!B67</f>
        <v>Seguimiento a la actualización de bases de datos en RNBD</v>
      </c>
      <c r="D59" s="193">
        <v>32</v>
      </c>
      <c r="E59" s="193">
        <v>40</v>
      </c>
      <c r="F59" s="334">
        <v>16</v>
      </c>
      <c r="G59" s="85">
        <f t="shared" si="1"/>
        <v>88</v>
      </c>
      <c r="H59" s="193">
        <v>1</v>
      </c>
      <c r="I59" s="147">
        <f t="shared" si="5"/>
        <v>88</v>
      </c>
      <c r="J59" s="335"/>
    </row>
    <row r="60" spans="1:10" ht="33" x14ac:dyDescent="0.3">
      <c r="A60" s="190">
        <v>49</v>
      </c>
      <c r="B60" s="191" t="s">
        <v>118</v>
      </c>
      <c r="C60" s="248" t="str">
        <f>+'PAA OCI  '!B68</f>
        <v>Programa Aseguramiento Calidad de la Auditoria</v>
      </c>
      <c r="D60" s="193">
        <v>32</v>
      </c>
      <c r="E60" s="334">
        <v>48</v>
      </c>
      <c r="F60" s="334">
        <v>36</v>
      </c>
      <c r="G60" s="85">
        <f t="shared" ref="G60:G63" si="6">SUM(D60:F60)</f>
        <v>116</v>
      </c>
      <c r="H60" s="193">
        <v>1</v>
      </c>
      <c r="I60" s="300">
        <f>+G60*H60</f>
        <v>116</v>
      </c>
      <c r="J60" s="335"/>
    </row>
    <row r="61" spans="1:10" ht="49.5" x14ac:dyDescent="0.3">
      <c r="A61" s="190">
        <v>50</v>
      </c>
      <c r="B61" s="191" t="s">
        <v>118</v>
      </c>
      <c r="C61" s="248" t="str">
        <f>+'PAA OCI  '!B69</f>
        <v>Seguimiento Cajas Menores (SE EFECTUAN SIN PREVIO AVISO)</v>
      </c>
      <c r="D61" s="334">
        <v>8</v>
      </c>
      <c r="E61" s="334">
        <v>10</v>
      </c>
      <c r="F61" s="334">
        <v>6</v>
      </c>
      <c r="G61" s="85">
        <f t="shared" si="6"/>
        <v>24</v>
      </c>
      <c r="H61" s="334">
        <v>4</v>
      </c>
      <c r="I61" s="147">
        <f>+G61*H61</f>
        <v>96</v>
      </c>
      <c r="J61" s="335"/>
    </row>
    <row r="62" spans="1:10" ht="33" x14ac:dyDescent="0.3">
      <c r="A62" s="190">
        <v>51</v>
      </c>
      <c r="B62" s="191" t="s">
        <v>118</v>
      </c>
      <c r="C62" s="248" t="str">
        <f>+'PAA OCI  '!B70</f>
        <v>Seguimiento Plan de Mejoramiento por Procesos</v>
      </c>
      <c r="D62" s="193">
        <v>32</v>
      </c>
      <c r="E62" s="193">
        <v>40</v>
      </c>
      <c r="F62" s="193">
        <v>8</v>
      </c>
      <c r="G62" s="85">
        <f t="shared" si="6"/>
        <v>80</v>
      </c>
      <c r="H62" s="193">
        <v>1</v>
      </c>
      <c r="I62" s="147">
        <f>+G62*H62</f>
        <v>80</v>
      </c>
      <c r="J62" s="335"/>
    </row>
    <row r="63" spans="1:10" ht="33" x14ac:dyDescent="0.3">
      <c r="A63" s="190">
        <v>52</v>
      </c>
      <c r="B63" s="191" t="s">
        <v>118</v>
      </c>
      <c r="C63" s="248" t="str">
        <f>+'PAA OCI  '!B71</f>
        <v>Seguimiento Directiva 015 de 2022</v>
      </c>
      <c r="D63" s="193">
        <v>16</v>
      </c>
      <c r="E63" s="193">
        <v>32</v>
      </c>
      <c r="F63" s="334">
        <v>8</v>
      </c>
      <c r="G63" s="85">
        <f t="shared" si="6"/>
        <v>56</v>
      </c>
      <c r="H63" s="193">
        <v>1</v>
      </c>
      <c r="I63" s="300">
        <f>+G63*H63</f>
        <v>56</v>
      </c>
      <c r="J63" s="335"/>
    </row>
    <row r="64" spans="1:10" ht="49.5" x14ac:dyDescent="0.3">
      <c r="A64" s="190">
        <v>53</v>
      </c>
      <c r="B64" s="191" t="s">
        <v>246</v>
      </c>
      <c r="C64" s="249" t="str">
        <f>+'PAA OCI  '!B73</f>
        <v>Asistencia y Participación en los Comités Institucionales</v>
      </c>
      <c r="D64" s="193">
        <v>1</v>
      </c>
      <c r="E64" s="193">
        <v>2</v>
      </c>
      <c r="F64" s="334">
        <v>1</v>
      </c>
      <c r="G64" s="85">
        <f t="shared" si="1"/>
        <v>4</v>
      </c>
      <c r="H64" s="193">
        <v>30</v>
      </c>
      <c r="I64" s="147">
        <f t="shared" si="5"/>
        <v>120</v>
      </c>
      <c r="J64" s="335"/>
    </row>
    <row r="65" spans="1:10" ht="33" x14ac:dyDescent="0.3">
      <c r="A65" s="190">
        <v>54</v>
      </c>
      <c r="B65" s="191" t="s">
        <v>246</v>
      </c>
      <c r="C65" s="249" t="str">
        <f>+'PAA OCI  '!B74</f>
        <v xml:space="preserve">Reuniones de Autoevaluación Proceso </v>
      </c>
      <c r="D65" s="193">
        <v>1</v>
      </c>
      <c r="E65" s="193">
        <v>1</v>
      </c>
      <c r="F65" s="334">
        <v>3</v>
      </c>
      <c r="G65" s="85">
        <f t="shared" si="1"/>
        <v>5</v>
      </c>
      <c r="H65" s="193">
        <v>12</v>
      </c>
      <c r="I65" s="147">
        <f t="shared" si="5"/>
        <v>60</v>
      </c>
      <c r="J65" s="336" t="s">
        <v>569</v>
      </c>
    </row>
    <row r="66" spans="1:10" ht="198" x14ac:dyDescent="0.3">
      <c r="A66" s="190">
        <v>55</v>
      </c>
      <c r="B66" s="191" t="s">
        <v>246</v>
      </c>
      <c r="C66" s="249" t="str">
        <f>+'PAA OCI  '!B75</f>
        <v>Revisión y actualización del Proceso Evaluación y Seguimiento: Revisión procedimientos, instructivos, formatos, indicadores y riesgos del proceso, asignación y seguimiento  de tareas y actividades programadas, determinación de directrices e instrucciones al grupo de trabajo</v>
      </c>
      <c r="D66" s="193">
        <v>32</v>
      </c>
      <c r="E66" s="334">
        <v>72</v>
      </c>
      <c r="F66" s="193">
        <v>0</v>
      </c>
      <c r="G66" s="85">
        <f t="shared" si="1"/>
        <v>104</v>
      </c>
      <c r="H66" s="193">
        <v>4</v>
      </c>
      <c r="I66" s="147">
        <f t="shared" si="5"/>
        <v>416</v>
      </c>
      <c r="J66" s="335"/>
    </row>
    <row r="67" spans="1:10" ht="49.5" x14ac:dyDescent="0.3">
      <c r="A67" s="190">
        <v>56</v>
      </c>
      <c r="B67" s="191" t="s">
        <v>119</v>
      </c>
      <c r="C67" s="250" t="str">
        <f>+'PAA OCI  '!B77</f>
        <v>Auditoría Financiera y de Gestión PAD 2024 Vigencia 2023</v>
      </c>
      <c r="D67" s="193">
        <v>16</v>
      </c>
      <c r="E67" s="193">
        <v>40</v>
      </c>
      <c r="F67" s="193">
        <v>3</v>
      </c>
      <c r="G67" s="85">
        <f t="shared" si="1"/>
        <v>59</v>
      </c>
      <c r="H67" s="193">
        <v>1</v>
      </c>
      <c r="I67" s="147">
        <f t="shared" si="5"/>
        <v>59</v>
      </c>
      <c r="J67" s="335"/>
    </row>
    <row r="68" spans="1:10" ht="99" x14ac:dyDescent="0.3">
      <c r="A68" s="190">
        <v>57</v>
      </c>
      <c r="B68" s="191" t="s">
        <v>119</v>
      </c>
      <c r="C68" s="250" t="str">
        <f>+'PAA OCI  '!B78</f>
        <v>Auditoría de Control Fiscal en Modalidad de Actuación Especial de Fiscalización - San Victorino y Fondo de Cargas 2019 - 2023</v>
      </c>
      <c r="D68" s="193">
        <v>16</v>
      </c>
      <c r="E68" s="193">
        <v>40</v>
      </c>
      <c r="F68" s="193">
        <v>3</v>
      </c>
      <c r="G68" s="85">
        <f t="shared" si="1"/>
        <v>59</v>
      </c>
      <c r="H68" s="193">
        <v>1</v>
      </c>
      <c r="I68" s="147">
        <f t="shared" si="5"/>
        <v>59</v>
      </c>
      <c r="J68" s="335"/>
    </row>
    <row r="69" spans="1:10" x14ac:dyDescent="0.3">
      <c r="A69" s="190">
        <v>58</v>
      </c>
      <c r="B69" s="191" t="s">
        <v>119</v>
      </c>
      <c r="C69" s="250" t="e">
        <f>+'PAA OCI  '!#REF!</f>
        <v>#REF!</v>
      </c>
      <c r="D69" s="193">
        <v>16</v>
      </c>
      <c r="E69" s="193">
        <v>40</v>
      </c>
      <c r="F69" s="193">
        <v>3</v>
      </c>
      <c r="G69" s="85">
        <f t="shared" si="1"/>
        <v>59</v>
      </c>
      <c r="H69" s="193">
        <v>1</v>
      </c>
      <c r="I69" s="147">
        <f t="shared" si="5"/>
        <v>59</v>
      </c>
      <c r="J69" s="335"/>
    </row>
    <row r="70" spans="1:10" ht="33" x14ac:dyDescent="0.3">
      <c r="A70" s="190">
        <v>59</v>
      </c>
      <c r="B70" s="191" t="s">
        <v>119</v>
      </c>
      <c r="C70" s="250" t="str">
        <f>+'PAA OCI  '!B81</f>
        <v>Visitas Administrativas Entes de Control ( a demanda)</v>
      </c>
      <c r="D70" s="334">
        <v>2</v>
      </c>
      <c r="E70" s="334">
        <v>8</v>
      </c>
      <c r="F70" s="334">
        <v>2</v>
      </c>
      <c r="G70" s="85">
        <f t="shared" si="1"/>
        <v>12</v>
      </c>
      <c r="H70" s="334">
        <v>5</v>
      </c>
      <c r="I70" s="147">
        <f t="shared" si="5"/>
        <v>60</v>
      </c>
      <c r="J70" s="335"/>
    </row>
    <row r="71" spans="1:10" ht="33" x14ac:dyDescent="0.3">
      <c r="A71" s="190">
        <v>60</v>
      </c>
      <c r="B71" s="191" t="s">
        <v>119</v>
      </c>
      <c r="C71" s="250" t="str">
        <f>+'PAA OCI  '!B82</f>
        <v>Seguimiento Plan de Mejoramiento Contraloría</v>
      </c>
      <c r="D71" s="193">
        <v>16</v>
      </c>
      <c r="E71" s="193">
        <v>40</v>
      </c>
      <c r="F71" s="334">
        <v>16</v>
      </c>
      <c r="G71" s="85">
        <f>SUM(D71:F71)</f>
        <v>72</v>
      </c>
      <c r="H71" s="193">
        <v>2</v>
      </c>
      <c r="I71" s="259">
        <f>+G71*H71</f>
        <v>144</v>
      </c>
      <c r="J71" s="335"/>
    </row>
    <row r="72" spans="1:10" x14ac:dyDescent="0.3">
      <c r="A72" s="190">
        <v>61</v>
      </c>
      <c r="B72" s="191" t="s">
        <v>119</v>
      </c>
      <c r="C72" s="250" t="e">
        <f>+'PAA OCI  '!#REF!</f>
        <v>#REF!</v>
      </c>
      <c r="D72" s="334">
        <v>2</v>
      </c>
      <c r="E72" s="334">
        <v>8</v>
      </c>
      <c r="F72" s="334">
        <v>2</v>
      </c>
      <c r="G72" s="85">
        <f t="shared" si="1"/>
        <v>12</v>
      </c>
      <c r="H72" s="334">
        <v>15</v>
      </c>
      <c r="I72" s="147">
        <f t="shared" ref="I72:I103" si="7">+G72*H72</f>
        <v>180</v>
      </c>
      <c r="J72" s="335"/>
    </row>
    <row r="73" spans="1:10" ht="33" x14ac:dyDescent="0.3">
      <c r="A73" s="190">
        <v>62</v>
      </c>
      <c r="B73" s="191" t="s">
        <v>118</v>
      </c>
      <c r="C73" s="248" t="str">
        <f>+'PAA OCI  '!B83</f>
        <v>Trasmisión Cuenta Mensual Contraloría</v>
      </c>
      <c r="D73" s="193">
        <v>1</v>
      </c>
      <c r="E73" s="193">
        <v>1</v>
      </c>
      <c r="F73" s="193">
        <v>0</v>
      </c>
      <c r="G73" s="85">
        <f t="shared" si="1"/>
        <v>2</v>
      </c>
      <c r="H73" s="193">
        <v>12</v>
      </c>
      <c r="I73" s="147">
        <f t="shared" si="7"/>
        <v>24</v>
      </c>
      <c r="J73" s="335"/>
    </row>
    <row r="74" spans="1:10" ht="49.5" x14ac:dyDescent="0.3">
      <c r="A74" s="190">
        <v>63</v>
      </c>
      <c r="B74" s="191" t="s">
        <v>118</v>
      </c>
      <c r="C74" s="248" t="str">
        <f>+'PAA OCI  '!B84</f>
        <v>Asesoría, acompañamiento  y Trasmisión Cuenta Anual Contraloría</v>
      </c>
      <c r="D74" s="193">
        <v>4</v>
      </c>
      <c r="E74" s="193">
        <v>24</v>
      </c>
      <c r="F74" s="193">
        <v>0</v>
      </c>
      <c r="G74" s="85">
        <f t="shared" si="1"/>
        <v>28</v>
      </c>
      <c r="H74" s="193">
        <v>1</v>
      </c>
      <c r="I74" s="147">
        <f t="shared" si="7"/>
        <v>28</v>
      </c>
      <c r="J74" s="335"/>
    </row>
    <row r="75" spans="1:10" ht="66" x14ac:dyDescent="0.3">
      <c r="A75" s="190">
        <v>64</v>
      </c>
      <c r="B75" s="191" t="s">
        <v>246</v>
      </c>
      <c r="C75" s="249" t="str">
        <f>+'PAA OCI  '!B85</f>
        <v>Reparto, seguimiento, revisión y registro de respuestas a Entes Externos de Control</v>
      </c>
      <c r="D75" s="193">
        <v>1</v>
      </c>
      <c r="E75" s="193">
        <v>2</v>
      </c>
      <c r="F75" s="334">
        <v>1</v>
      </c>
      <c r="G75" s="85">
        <f t="shared" si="1"/>
        <v>4</v>
      </c>
      <c r="H75" s="193">
        <v>785</v>
      </c>
      <c r="I75" s="147">
        <f t="shared" si="7"/>
        <v>3140</v>
      </c>
      <c r="J75" s="335"/>
    </row>
    <row r="76" spans="1:10" x14ac:dyDescent="0.3">
      <c r="A76" s="190">
        <v>65</v>
      </c>
      <c r="B76" s="191" t="s">
        <v>246</v>
      </c>
      <c r="C76" s="249" t="e">
        <f>+'PAA OCI  '!#REF!</f>
        <v>#REF!</v>
      </c>
      <c r="D76" s="334">
        <v>16</v>
      </c>
      <c r="E76" s="334">
        <v>40</v>
      </c>
      <c r="F76" s="334">
        <v>3</v>
      </c>
      <c r="G76" s="85">
        <f t="shared" ref="G76" si="8">SUM(D76:F76)</f>
        <v>59</v>
      </c>
      <c r="H76" s="334">
        <v>1</v>
      </c>
      <c r="I76" s="147">
        <f t="shared" ref="I76" si="9">+G76*H76</f>
        <v>59</v>
      </c>
      <c r="J76" s="335"/>
    </row>
    <row r="77" spans="1:10" x14ac:dyDescent="0.3">
      <c r="A77" s="190">
        <v>66</v>
      </c>
      <c r="B77" s="191" t="s">
        <v>246</v>
      </c>
      <c r="C77" s="249" t="e">
        <f>+'PAA OCI  '!#REF!</f>
        <v>#REF!</v>
      </c>
      <c r="D77" s="334">
        <v>16</v>
      </c>
      <c r="E77" s="334">
        <v>40</v>
      </c>
      <c r="F77" s="334">
        <v>3</v>
      </c>
      <c r="G77" s="85">
        <f t="shared" ref="G77:G78" si="10">SUM(D77:F77)</f>
        <v>59</v>
      </c>
      <c r="H77" s="334">
        <v>1</v>
      </c>
      <c r="I77" s="147">
        <f t="shared" ref="I77:I78" si="11">+G77*H77</f>
        <v>59</v>
      </c>
      <c r="J77" s="335"/>
    </row>
    <row r="78" spans="1:10" ht="49.5" x14ac:dyDescent="0.3">
      <c r="A78" s="190">
        <v>67</v>
      </c>
      <c r="B78" s="191" t="s">
        <v>246</v>
      </c>
      <c r="C78" s="249" t="str">
        <f>+'PAA OCI  '!B79</f>
        <v>Auditoría DRI - Actuación Especial Fiscalización - Contrato 430 de 2023</v>
      </c>
      <c r="D78" s="334">
        <v>16</v>
      </c>
      <c r="E78" s="334">
        <v>40</v>
      </c>
      <c r="F78" s="334">
        <v>3</v>
      </c>
      <c r="G78" s="85">
        <f t="shared" si="10"/>
        <v>59</v>
      </c>
      <c r="H78" s="334">
        <v>1</v>
      </c>
      <c r="I78" s="147">
        <f t="shared" si="11"/>
        <v>59</v>
      </c>
      <c r="J78" s="335"/>
    </row>
    <row r="79" spans="1:10" x14ac:dyDescent="0.3">
      <c r="A79" s="190">
        <v>68</v>
      </c>
      <c r="B79" s="191"/>
      <c r="C79" s="193"/>
      <c r="D79" s="193"/>
      <c r="E79" s="193"/>
      <c r="F79" s="193"/>
      <c r="G79" s="85">
        <f t="shared" si="1"/>
        <v>0</v>
      </c>
      <c r="H79" s="193"/>
      <c r="I79" s="147">
        <f t="shared" si="7"/>
        <v>0</v>
      </c>
      <c r="J79" s="335"/>
    </row>
    <row r="80" spans="1:10" x14ac:dyDescent="0.3">
      <c r="A80" s="190">
        <v>69</v>
      </c>
      <c r="B80" s="191"/>
      <c r="C80" s="193"/>
      <c r="D80" s="193"/>
      <c r="E80" s="193"/>
      <c r="F80" s="193"/>
      <c r="G80" s="85">
        <f t="shared" si="1"/>
        <v>0</v>
      </c>
      <c r="H80" s="193"/>
      <c r="I80" s="147">
        <f t="shared" si="7"/>
        <v>0</v>
      </c>
      <c r="J80" s="335"/>
    </row>
    <row r="81" spans="1:10" x14ac:dyDescent="0.3">
      <c r="A81" s="190">
        <v>70</v>
      </c>
      <c r="B81" s="191"/>
      <c r="C81" s="193"/>
      <c r="D81" s="193"/>
      <c r="E81" s="193"/>
      <c r="F81" s="193"/>
      <c r="G81" s="85">
        <f t="shared" si="1"/>
        <v>0</v>
      </c>
      <c r="H81" s="193"/>
      <c r="I81" s="147">
        <f t="shared" si="7"/>
        <v>0</v>
      </c>
      <c r="J81" s="335"/>
    </row>
    <row r="82" spans="1:10" x14ac:dyDescent="0.3">
      <c r="A82" s="190">
        <v>71</v>
      </c>
      <c r="B82" s="191"/>
      <c r="C82" s="193"/>
      <c r="D82" s="193"/>
      <c r="E82" s="193"/>
      <c r="F82" s="193"/>
      <c r="G82" s="85">
        <f t="shared" si="1"/>
        <v>0</v>
      </c>
      <c r="H82" s="193"/>
      <c r="I82" s="147">
        <f t="shared" si="7"/>
        <v>0</v>
      </c>
      <c r="J82" s="335"/>
    </row>
    <row r="83" spans="1:10" x14ac:dyDescent="0.3">
      <c r="A83" s="190">
        <v>72</v>
      </c>
      <c r="B83" s="191"/>
      <c r="C83" s="192"/>
      <c r="D83" s="193"/>
      <c r="E83" s="193"/>
      <c r="F83" s="193"/>
      <c r="G83" s="85">
        <f t="shared" si="1"/>
        <v>0</v>
      </c>
      <c r="H83" s="193"/>
      <c r="I83" s="147">
        <f t="shared" si="7"/>
        <v>0</v>
      </c>
      <c r="J83" s="335"/>
    </row>
    <row r="84" spans="1:10" x14ac:dyDescent="0.3">
      <c r="A84" s="190">
        <v>73</v>
      </c>
      <c r="B84" s="191"/>
      <c r="C84" s="192"/>
      <c r="D84" s="193"/>
      <c r="E84" s="193"/>
      <c r="F84" s="193"/>
      <c r="G84" s="85">
        <f t="shared" si="1"/>
        <v>0</v>
      </c>
      <c r="H84" s="193"/>
      <c r="I84" s="147">
        <f t="shared" si="7"/>
        <v>0</v>
      </c>
      <c r="J84" s="335"/>
    </row>
    <row r="85" spans="1:10" x14ac:dyDescent="0.3">
      <c r="A85" s="190">
        <v>74</v>
      </c>
      <c r="B85" s="191"/>
      <c r="C85" s="192"/>
      <c r="D85" s="193"/>
      <c r="E85" s="193"/>
      <c r="F85" s="193"/>
      <c r="G85" s="85">
        <f t="shared" si="1"/>
        <v>0</v>
      </c>
      <c r="H85" s="193"/>
      <c r="I85" s="147">
        <f t="shared" si="7"/>
        <v>0</v>
      </c>
      <c r="J85" s="335"/>
    </row>
    <row r="86" spans="1:10" x14ac:dyDescent="0.3">
      <c r="A86" s="190">
        <v>75</v>
      </c>
      <c r="B86" s="191"/>
      <c r="C86" s="192"/>
      <c r="D86" s="193"/>
      <c r="E86" s="193"/>
      <c r="F86" s="193"/>
      <c r="G86" s="85">
        <f t="shared" si="1"/>
        <v>0</v>
      </c>
      <c r="H86" s="193"/>
      <c r="I86" s="147">
        <f t="shared" si="7"/>
        <v>0</v>
      </c>
      <c r="J86" s="335"/>
    </row>
    <row r="87" spans="1:10" x14ac:dyDescent="0.3">
      <c r="A87" s="190">
        <v>76</v>
      </c>
      <c r="B87" s="191"/>
      <c r="C87" s="192"/>
      <c r="D87" s="193"/>
      <c r="E87" s="193"/>
      <c r="F87" s="193"/>
      <c r="G87" s="85">
        <f t="shared" ref="G87:G99" si="12">SUM(D87:F87)</f>
        <v>0</v>
      </c>
      <c r="H87" s="193"/>
      <c r="I87" s="147">
        <f t="shared" si="7"/>
        <v>0</v>
      </c>
      <c r="J87" s="335"/>
    </row>
    <row r="88" spans="1:10" x14ac:dyDescent="0.3">
      <c r="A88" s="190">
        <v>77</v>
      </c>
      <c r="B88" s="191"/>
      <c r="C88" s="192"/>
      <c r="D88" s="193"/>
      <c r="E88" s="193"/>
      <c r="F88" s="193"/>
      <c r="G88" s="85">
        <f t="shared" si="12"/>
        <v>0</v>
      </c>
      <c r="H88" s="193"/>
      <c r="I88" s="147">
        <f t="shared" si="7"/>
        <v>0</v>
      </c>
      <c r="J88" s="335"/>
    </row>
    <row r="89" spans="1:10" x14ac:dyDescent="0.3">
      <c r="A89" s="190">
        <v>78</v>
      </c>
      <c r="B89" s="191"/>
      <c r="C89" s="192"/>
      <c r="D89" s="193"/>
      <c r="E89" s="193"/>
      <c r="F89" s="193"/>
      <c r="G89" s="85">
        <f t="shared" si="12"/>
        <v>0</v>
      </c>
      <c r="H89" s="193"/>
      <c r="I89" s="147">
        <f t="shared" si="7"/>
        <v>0</v>
      </c>
      <c r="J89" s="335"/>
    </row>
    <row r="90" spans="1:10" x14ac:dyDescent="0.3">
      <c r="A90" s="190">
        <v>79</v>
      </c>
      <c r="B90" s="191"/>
      <c r="C90" s="192"/>
      <c r="D90" s="193"/>
      <c r="E90" s="193"/>
      <c r="F90" s="193"/>
      <c r="G90" s="85">
        <f t="shared" si="12"/>
        <v>0</v>
      </c>
      <c r="H90" s="193"/>
      <c r="I90" s="147">
        <f t="shared" si="7"/>
        <v>0</v>
      </c>
      <c r="J90" s="335"/>
    </row>
    <row r="91" spans="1:10" x14ac:dyDescent="0.3">
      <c r="A91" s="190">
        <v>80</v>
      </c>
      <c r="B91" s="191"/>
      <c r="C91" s="192"/>
      <c r="D91" s="193"/>
      <c r="E91" s="193"/>
      <c r="F91" s="193"/>
      <c r="G91" s="85">
        <f t="shared" si="12"/>
        <v>0</v>
      </c>
      <c r="H91" s="193"/>
      <c r="I91" s="147">
        <f t="shared" si="7"/>
        <v>0</v>
      </c>
      <c r="J91" s="335"/>
    </row>
    <row r="92" spans="1:10" x14ac:dyDescent="0.3">
      <c r="A92" s="190">
        <v>81</v>
      </c>
      <c r="B92" s="191"/>
      <c r="C92" s="192"/>
      <c r="D92" s="193"/>
      <c r="E92" s="193"/>
      <c r="F92" s="193"/>
      <c r="G92" s="85">
        <f t="shared" si="12"/>
        <v>0</v>
      </c>
      <c r="H92" s="193"/>
      <c r="I92" s="147">
        <f t="shared" si="7"/>
        <v>0</v>
      </c>
      <c r="J92" s="335"/>
    </row>
    <row r="93" spans="1:10" x14ac:dyDescent="0.3">
      <c r="A93" s="190">
        <v>82</v>
      </c>
      <c r="B93" s="191"/>
      <c r="C93" s="192"/>
      <c r="D93" s="193"/>
      <c r="E93" s="193"/>
      <c r="F93" s="193"/>
      <c r="G93" s="85">
        <f t="shared" si="12"/>
        <v>0</v>
      </c>
      <c r="H93" s="193"/>
      <c r="I93" s="147">
        <f t="shared" si="7"/>
        <v>0</v>
      </c>
      <c r="J93" s="335"/>
    </row>
    <row r="94" spans="1:10" x14ac:dyDescent="0.3">
      <c r="A94" s="190">
        <v>83</v>
      </c>
      <c r="B94" s="191"/>
      <c r="C94" s="192"/>
      <c r="D94" s="193"/>
      <c r="E94" s="193"/>
      <c r="F94" s="193"/>
      <c r="G94" s="85">
        <f t="shared" si="12"/>
        <v>0</v>
      </c>
      <c r="H94" s="193"/>
      <c r="I94" s="147">
        <f t="shared" si="7"/>
        <v>0</v>
      </c>
      <c r="J94" s="335"/>
    </row>
    <row r="95" spans="1:10" x14ac:dyDescent="0.3">
      <c r="A95" s="190">
        <v>84</v>
      </c>
      <c r="B95" s="191"/>
      <c r="C95" s="192"/>
      <c r="D95" s="193"/>
      <c r="E95" s="193"/>
      <c r="F95" s="193"/>
      <c r="G95" s="85">
        <f t="shared" si="12"/>
        <v>0</v>
      </c>
      <c r="H95" s="193"/>
      <c r="I95" s="147">
        <f t="shared" si="7"/>
        <v>0</v>
      </c>
      <c r="J95" s="335"/>
    </row>
    <row r="96" spans="1:10" x14ac:dyDescent="0.3">
      <c r="A96" s="190">
        <v>85</v>
      </c>
      <c r="B96" s="191"/>
      <c r="C96" s="192"/>
      <c r="D96" s="193"/>
      <c r="E96" s="193"/>
      <c r="F96" s="193"/>
      <c r="G96" s="85">
        <f t="shared" si="12"/>
        <v>0</v>
      </c>
      <c r="H96" s="193"/>
      <c r="I96" s="147">
        <f t="shared" si="7"/>
        <v>0</v>
      </c>
      <c r="J96" s="335"/>
    </row>
    <row r="97" spans="1:11" x14ac:dyDescent="0.3">
      <c r="A97" s="190">
        <v>86</v>
      </c>
      <c r="B97" s="191"/>
      <c r="C97" s="192"/>
      <c r="D97" s="193"/>
      <c r="E97" s="193"/>
      <c r="F97" s="193"/>
      <c r="G97" s="85">
        <f t="shared" si="12"/>
        <v>0</v>
      </c>
      <c r="H97" s="193"/>
      <c r="I97" s="147">
        <f t="shared" si="7"/>
        <v>0</v>
      </c>
      <c r="J97" s="335"/>
    </row>
    <row r="98" spans="1:11" x14ac:dyDescent="0.3">
      <c r="A98" s="190">
        <v>87</v>
      </c>
      <c r="B98" s="191"/>
      <c r="C98" s="192"/>
      <c r="D98" s="193"/>
      <c r="E98" s="193"/>
      <c r="F98" s="193"/>
      <c r="G98" s="85">
        <f t="shared" si="12"/>
        <v>0</v>
      </c>
      <c r="H98" s="193"/>
      <c r="I98" s="147">
        <f t="shared" si="7"/>
        <v>0</v>
      </c>
      <c r="J98" s="335"/>
    </row>
    <row r="99" spans="1:11" x14ac:dyDescent="0.3">
      <c r="A99" s="190">
        <v>88</v>
      </c>
      <c r="B99" s="191"/>
      <c r="C99" s="192"/>
      <c r="D99" s="193"/>
      <c r="E99" s="193"/>
      <c r="F99" s="193"/>
      <c r="G99" s="85">
        <f t="shared" si="12"/>
        <v>0</v>
      </c>
      <c r="H99" s="193"/>
      <c r="I99" s="147">
        <f t="shared" si="7"/>
        <v>0</v>
      </c>
      <c r="J99" s="335"/>
    </row>
    <row r="100" spans="1:11" x14ac:dyDescent="0.3">
      <c r="A100" s="190">
        <v>89</v>
      </c>
      <c r="B100" s="191"/>
      <c r="C100" s="192"/>
      <c r="D100" s="193"/>
      <c r="E100" s="193"/>
      <c r="F100" s="193"/>
      <c r="G100" s="85">
        <f t="shared" ref="G100:G107" si="13">SUM(D100:F100)</f>
        <v>0</v>
      </c>
      <c r="H100" s="193"/>
      <c r="I100" s="147">
        <f t="shared" si="7"/>
        <v>0</v>
      </c>
      <c r="J100" s="335"/>
    </row>
    <row r="101" spans="1:11" x14ac:dyDescent="0.3">
      <c r="A101" s="190">
        <v>90</v>
      </c>
      <c r="B101" s="191"/>
      <c r="C101" s="192"/>
      <c r="D101" s="193"/>
      <c r="E101" s="193"/>
      <c r="F101" s="193"/>
      <c r="G101" s="85">
        <f t="shared" si="13"/>
        <v>0</v>
      </c>
      <c r="H101" s="193"/>
      <c r="I101" s="147">
        <f t="shared" si="7"/>
        <v>0</v>
      </c>
      <c r="J101" s="335"/>
    </row>
    <row r="102" spans="1:11" x14ac:dyDescent="0.3">
      <c r="A102" s="190">
        <v>91</v>
      </c>
      <c r="B102" s="191"/>
      <c r="C102" s="192"/>
      <c r="D102" s="193"/>
      <c r="E102" s="193"/>
      <c r="F102" s="193"/>
      <c r="G102" s="85">
        <f t="shared" si="13"/>
        <v>0</v>
      </c>
      <c r="H102" s="193"/>
      <c r="I102" s="147">
        <f t="shared" si="7"/>
        <v>0</v>
      </c>
      <c r="J102" s="335"/>
    </row>
    <row r="103" spans="1:11" x14ac:dyDescent="0.3">
      <c r="A103" s="190">
        <v>92</v>
      </c>
      <c r="B103" s="191"/>
      <c r="C103" s="192"/>
      <c r="D103" s="193"/>
      <c r="E103" s="193"/>
      <c r="F103" s="193"/>
      <c r="G103" s="85">
        <f t="shared" si="13"/>
        <v>0</v>
      </c>
      <c r="H103" s="193"/>
      <c r="I103" s="147">
        <f t="shared" si="7"/>
        <v>0</v>
      </c>
      <c r="J103" s="335"/>
    </row>
    <row r="104" spans="1:11" x14ac:dyDescent="0.3">
      <c r="A104" s="190">
        <v>93</v>
      </c>
      <c r="B104" s="191"/>
      <c r="C104" s="192"/>
      <c r="D104" s="193"/>
      <c r="E104" s="193"/>
      <c r="F104" s="193"/>
      <c r="G104" s="85">
        <f t="shared" si="13"/>
        <v>0</v>
      </c>
      <c r="H104" s="193"/>
      <c r="I104" s="147">
        <f>+G104*H104</f>
        <v>0</v>
      </c>
      <c r="J104" s="335"/>
    </row>
    <row r="105" spans="1:11" x14ac:dyDescent="0.3">
      <c r="A105" s="190">
        <v>94</v>
      </c>
      <c r="B105" s="191"/>
      <c r="C105" s="192"/>
      <c r="D105" s="193"/>
      <c r="E105" s="193"/>
      <c r="F105" s="193"/>
      <c r="G105" s="85">
        <f t="shared" si="13"/>
        <v>0</v>
      </c>
      <c r="H105" s="193"/>
      <c r="I105" s="147">
        <f>+G105*H105</f>
        <v>0</v>
      </c>
      <c r="J105" s="335"/>
    </row>
    <row r="106" spans="1:11" x14ac:dyDescent="0.3">
      <c r="A106" s="190">
        <v>95</v>
      </c>
      <c r="B106" s="191"/>
      <c r="C106" s="192"/>
      <c r="D106" s="193"/>
      <c r="E106" s="193"/>
      <c r="F106" s="193"/>
      <c r="G106" s="85">
        <f t="shared" si="13"/>
        <v>0</v>
      </c>
      <c r="H106" s="193"/>
      <c r="I106" s="147">
        <f>+G106*H106</f>
        <v>0</v>
      </c>
      <c r="J106" s="335"/>
    </row>
    <row r="107" spans="1:11" x14ac:dyDescent="0.3">
      <c r="A107" s="190">
        <v>96</v>
      </c>
      <c r="B107" s="191"/>
      <c r="C107" s="192"/>
      <c r="D107" s="193"/>
      <c r="E107" s="193"/>
      <c r="F107" s="193"/>
      <c r="G107" s="85">
        <f t="shared" si="13"/>
        <v>0</v>
      </c>
      <c r="H107" s="193"/>
      <c r="I107" s="147">
        <f>+G107*H107</f>
        <v>0</v>
      </c>
      <c r="J107" s="335"/>
    </row>
    <row r="108" spans="1:11" ht="17.25" thickBot="1" x14ac:dyDescent="0.35">
      <c r="A108" s="190">
        <v>97</v>
      </c>
      <c r="B108" s="99"/>
      <c r="C108" s="99"/>
      <c r="D108" s="100"/>
      <c r="E108" s="100"/>
      <c r="F108" s="101" t="s">
        <v>222</v>
      </c>
      <c r="G108" s="101">
        <f>SUBTOTAL(109,G12:G107)</f>
        <v>11780</v>
      </c>
      <c r="H108" s="101">
        <f>SUBTOTAL(109,H12:H107)</f>
        <v>957</v>
      </c>
      <c r="I108" s="101">
        <f>SUBTOTAL(109,I12:I107)</f>
        <v>18369</v>
      </c>
      <c r="J108" s="335"/>
    </row>
    <row r="109" spans="1:11" x14ac:dyDescent="0.3">
      <c r="A109" s="328"/>
      <c r="B109" s="329"/>
      <c r="C109" s="329"/>
      <c r="D109" s="330"/>
      <c r="E109" s="330"/>
      <c r="F109" s="330"/>
      <c r="G109" s="331"/>
      <c r="H109" s="330"/>
      <c r="I109" s="332"/>
      <c r="J109" s="330"/>
    </row>
    <row r="110" spans="1:11" x14ac:dyDescent="0.3">
      <c r="K110" s="91"/>
    </row>
    <row r="111" spans="1:11" x14ac:dyDescent="0.3">
      <c r="K111" s="91"/>
    </row>
    <row r="112" spans="1:11" x14ac:dyDescent="0.3">
      <c r="A112" s="149" t="s">
        <v>244</v>
      </c>
      <c r="K112" s="91"/>
    </row>
    <row r="113" spans="1:11" x14ac:dyDescent="0.3">
      <c r="A113" s="149"/>
      <c r="K113" s="91"/>
    </row>
    <row r="114" spans="1:11" x14ac:dyDescent="0.3">
      <c r="A114" s="312" t="s">
        <v>248</v>
      </c>
      <c r="B114" s="25" t="s">
        <v>251</v>
      </c>
      <c r="C114" s="25" t="s">
        <v>250</v>
      </c>
      <c r="D114"/>
      <c r="E114"/>
      <c r="F114"/>
      <c r="G114"/>
      <c r="H114"/>
      <c r="I114"/>
      <c r="J114"/>
      <c r="K114"/>
    </row>
    <row r="115" spans="1:11" x14ac:dyDescent="0.3">
      <c r="A115" s="313" t="s">
        <v>120</v>
      </c>
      <c r="B115" s="25">
        <v>4864</v>
      </c>
      <c r="C115" s="25">
        <v>15</v>
      </c>
      <c r="D115"/>
      <c r="E115"/>
      <c r="F115"/>
      <c r="G115"/>
      <c r="H115"/>
      <c r="I115"/>
      <c r="J115"/>
      <c r="K115"/>
    </row>
    <row r="116" spans="1:11" x14ac:dyDescent="0.3">
      <c r="A116" s="313" t="s">
        <v>118</v>
      </c>
      <c r="B116" s="25">
        <v>2758</v>
      </c>
      <c r="C116" s="25">
        <v>35</v>
      </c>
      <c r="D116"/>
      <c r="E116"/>
      <c r="F116"/>
      <c r="G116"/>
      <c r="H116"/>
      <c r="I116"/>
      <c r="J116"/>
      <c r="K116"/>
    </row>
    <row r="117" spans="1:11" x14ac:dyDescent="0.3">
      <c r="A117" s="313" t="s">
        <v>119</v>
      </c>
      <c r="B117" s="25">
        <v>336</v>
      </c>
      <c r="C117" s="25">
        <v>7</v>
      </c>
      <c r="D117"/>
      <c r="E117"/>
      <c r="F117"/>
      <c r="G117"/>
      <c r="H117"/>
      <c r="I117"/>
      <c r="J117"/>
      <c r="K117"/>
    </row>
    <row r="118" spans="1:11" x14ac:dyDescent="0.3">
      <c r="A118" s="313" t="s">
        <v>249</v>
      </c>
      <c r="B118" s="25">
        <v>7958</v>
      </c>
      <c r="C118" s="25">
        <v>57</v>
      </c>
      <c r="D118"/>
      <c r="E118"/>
      <c r="F118"/>
      <c r="G118"/>
      <c r="H118"/>
      <c r="I118"/>
      <c r="J118"/>
      <c r="K118"/>
    </row>
    <row r="119" spans="1:11" x14ac:dyDescent="0.3">
      <c r="A119"/>
      <c r="B119"/>
      <c r="C119"/>
      <c r="D119"/>
      <c r="E119"/>
      <c r="F119"/>
      <c r="G119"/>
      <c r="H119"/>
      <c r="I119"/>
      <c r="J119"/>
      <c r="K119"/>
    </row>
    <row r="120" spans="1:11" x14ac:dyDescent="0.3">
      <c r="A120"/>
      <c r="B120"/>
      <c r="C120"/>
      <c r="D120"/>
      <c r="E120"/>
      <c r="F120"/>
      <c r="G120"/>
      <c r="H120"/>
      <c r="I120"/>
      <c r="J120"/>
      <c r="K120"/>
    </row>
    <row r="121" spans="1:11" x14ac:dyDescent="0.3">
      <c r="A121"/>
      <c r="B121"/>
      <c r="C121"/>
    </row>
    <row r="122" spans="1:11" x14ac:dyDescent="0.3">
      <c r="A122"/>
      <c r="B122"/>
      <c r="C122"/>
    </row>
    <row r="123" spans="1:11" x14ac:dyDescent="0.3">
      <c r="A123"/>
      <c r="B123"/>
      <c r="C123"/>
    </row>
    <row r="124" spans="1:11" x14ac:dyDescent="0.3">
      <c r="A124"/>
      <c r="B124"/>
      <c r="C124"/>
    </row>
    <row r="125" spans="1:11" x14ac:dyDescent="0.3">
      <c r="A125"/>
      <c r="B125"/>
      <c r="C125"/>
    </row>
    <row r="126" spans="1:11" x14ac:dyDescent="0.3">
      <c r="A126"/>
      <c r="B126"/>
      <c r="C126"/>
    </row>
    <row r="127" spans="1:11" x14ac:dyDescent="0.3">
      <c r="A127"/>
      <c r="B127"/>
      <c r="C127"/>
    </row>
    <row r="128" spans="1:11" x14ac:dyDescent="0.3">
      <c r="A128"/>
      <c r="B128"/>
      <c r="C128"/>
    </row>
    <row r="129" spans="1:3" x14ac:dyDescent="0.3">
      <c r="A129"/>
      <c r="B129"/>
      <c r="C129"/>
    </row>
    <row r="130" spans="1:3" x14ac:dyDescent="0.3">
      <c r="A130"/>
      <c r="B130"/>
      <c r="C130"/>
    </row>
    <row r="131" spans="1:3" x14ac:dyDescent="0.3">
      <c r="A131"/>
      <c r="B131"/>
      <c r="C131"/>
    </row>
    <row r="132" spans="1:3" x14ac:dyDescent="0.3">
      <c r="A132"/>
      <c r="B132"/>
      <c r="C132"/>
    </row>
    <row r="133" spans="1:3" x14ac:dyDescent="0.3">
      <c r="A133"/>
      <c r="B133"/>
      <c r="C133"/>
    </row>
    <row r="134" spans="1:3" x14ac:dyDescent="0.3">
      <c r="A134"/>
      <c r="B134"/>
      <c r="C134"/>
    </row>
    <row r="135" spans="1:3" x14ac:dyDescent="0.3">
      <c r="A135"/>
      <c r="B135"/>
      <c r="C135"/>
    </row>
    <row r="136" spans="1:3" x14ac:dyDescent="0.3">
      <c r="A136"/>
      <c r="B136"/>
      <c r="C136"/>
    </row>
    <row r="137" spans="1:3" x14ac:dyDescent="0.3">
      <c r="A137"/>
      <c r="B137"/>
      <c r="C137"/>
    </row>
    <row r="138" spans="1:3" x14ac:dyDescent="0.3">
      <c r="A138"/>
      <c r="B138"/>
      <c r="C138"/>
    </row>
  </sheetData>
  <mergeCells count="3">
    <mergeCell ref="D10:F10"/>
    <mergeCell ref="B1:I1"/>
    <mergeCell ref="A8:I8"/>
  </mergeCells>
  <phoneticPr fontId="58" type="noConversion"/>
  <dataValidations disablePrompts="1" count="6">
    <dataValidation allowBlank="1" showInputMessage="1" showErrorMessage="1" prompt="Para el cálculo de las horas requeridas para el desarrollo del PAAI, liste todos los informes de ley que debe realizar la OCI, seguimientos y auditorias priorizadas" sqref="C11"/>
    <dataValidation allowBlank="1" showInputMessage="1" showErrorMessage="1" prompt="Registre para cada informe a realizar, las horas estimadas en cada fase o etapa (planeación, ejecucion y elaboracion del informe)" sqref="D11:F11"/>
    <dataValidation allowBlank="1" showInputMessage="1" showErrorMessage="1" prompt="Registre el numero de informes que se proyectan realizar en la vigencia según la periodicidad" sqref="H11"/>
    <dataValidation allowBlank="1" showInputMessage="1" showErrorMessage="1" prompt="En esta columna se determina el numero de horas requeridas para el desarrollo del PAAI" sqref="I11"/>
    <dataValidation allowBlank="1" showInputMessage="1" showErrorMessage="1" prompt="Identifique el tipo de trabajo de auditoría a realizar de acuerdo a la priorización realizada" sqref="B11"/>
    <dataValidation type="list" allowBlank="1" showInputMessage="1" showErrorMessage="1" sqref="B12:B107">
      <formula1>$N$12:$N$16</formula1>
    </dataValidation>
  </dataValidations>
  <hyperlinks>
    <hyperlink ref="A4" location="'1. Horas requeridas PAAI'!A9" display="1.CÁLCULO DE HORAS REQUERIDAS PARA EL PAA"/>
    <hyperlink ref="A5" location="'2. Días -horas hábiles x vig'!A1" display="2.CALCULO DIAS -HORAS LABORALES POR AÑO Y POR AUDITOR"/>
  </hyperlinks>
  <pageMargins left="0.7" right="0.7" top="0.75" bottom="0.75" header="0.3" footer="0.3"/>
  <drawing r:id="rId2"/>
  <legacyDrawing r:id="rId3"/>
  <tableParts count="1">
    <tablePart r:id="rId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K21"/>
  <sheetViews>
    <sheetView workbookViewId="0">
      <selection activeCell="B59" sqref="B59"/>
    </sheetView>
  </sheetViews>
  <sheetFormatPr baseColWidth="10" defaultColWidth="11.42578125" defaultRowHeight="15" x14ac:dyDescent="0.25"/>
  <cols>
    <col min="1" max="2" width="11.42578125" style="15"/>
    <col min="3" max="3" width="16.85546875" style="15" customWidth="1"/>
    <col min="4" max="16384" width="11.42578125" style="15"/>
  </cols>
  <sheetData>
    <row r="4" spans="3:11" ht="15.75" thickBot="1" x14ac:dyDescent="0.3"/>
    <row r="5" spans="3:11" x14ac:dyDescent="0.25">
      <c r="C5" s="139" t="s">
        <v>235</v>
      </c>
      <c r="D5" s="140"/>
      <c r="E5" s="140"/>
      <c r="F5" s="140"/>
      <c r="G5" s="140"/>
      <c r="H5" s="140"/>
      <c r="I5" s="140"/>
      <c r="J5" s="140"/>
      <c r="K5" s="141"/>
    </row>
    <row r="6" spans="3:11" ht="32.25" customHeight="1" thickBot="1" x14ac:dyDescent="0.3">
      <c r="C6" s="158" t="s">
        <v>256</v>
      </c>
      <c r="D6" s="637" t="s">
        <v>260</v>
      </c>
      <c r="E6" s="637"/>
      <c r="F6" s="637"/>
      <c r="G6" s="637"/>
      <c r="H6" s="637"/>
      <c r="I6" s="637"/>
      <c r="J6" s="637"/>
      <c r="K6" s="638"/>
    </row>
    <row r="9" spans="3:11" ht="384" customHeight="1" x14ac:dyDescent="0.25">
      <c r="C9" s="581" t="s">
        <v>259</v>
      </c>
      <c r="D9" s="581"/>
      <c r="E9" s="581"/>
      <c r="F9" s="581"/>
      <c r="G9" s="581"/>
      <c r="H9" s="581"/>
      <c r="I9" s="581"/>
      <c r="J9" s="581"/>
      <c r="K9" s="581"/>
    </row>
    <row r="10" spans="3:11" ht="205.5" customHeight="1" x14ac:dyDescent="0.25">
      <c r="C10" s="581" t="s">
        <v>257</v>
      </c>
      <c r="D10" s="581"/>
      <c r="E10" s="581"/>
      <c r="F10" s="581"/>
      <c r="G10" s="581"/>
      <c r="H10" s="581"/>
      <c r="I10" s="581"/>
      <c r="J10" s="581"/>
      <c r="K10" s="581"/>
    </row>
    <row r="11" spans="3:11" ht="205.5" customHeight="1" thickBot="1" x14ac:dyDescent="0.3">
      <c r="C11" s="581" t="s">
        <v>258</v>
      </c>
      <c r="D11" s="581"/>
      <c r="E11" s="581"/>
      <c r="F11" s="581"/>
      <c r="G11" s="581"/>
      <c r="H11" s="581"/>
      <c r="I11" s="581"/>
      <c r="J11" s="581"/>
      <c r="K11" s="581"/>
    </row>
    <row r="12" spans="3:11" ht="39.75" customHeight="1" x14ac:dyDescent="0.25">
      <c r="C12" s="139" t="s">
        <v>235</v>
      </c>
      <c r="D12" s="140"/>
      <c r="E12" s="140"/>
      <c r="F12" s="140"/>
      <c r="G12" s="140"/>
      <c r="H12" s="140"/>
      <c r="I12" s="140"/>
      <c r="J12" s="140"/>
      <c r="K12" s="141"/>
    </row>
    <row r="13" spans="3:11" ht="15.75" thickBot="1" x14ac:dyDescent="0.3">
      <c r="C13" s="158" t="s">
        <v>261</v>
      </c>
      <c r="D13" s="637" t="s">
        <v>262</v>
      </c>
      <c r="E13" s="637"/>
      <c r="F13" s="637"/>
      <c r="G13" s="637"/>
      <c r="H13" s="637"/>
      <c r="I13" s="637"/>
      <c r="J13" s="637"/>
      <c r="K13" s="638"/>
    </row>
    <row r="16" spans="3:11" ht="184.5" customHeight="1" x14ac:dyDescent="0.25">
      <c r="C16" s="581" t="s">
        <v>263</v>
      </c>
      <c r="D16" s="581"/>
      <c r="E16" s="581"/>
      <c r="F16" s="581"/>
      <c r="G16" s="581"/>
      <c r="H16" s="581"/>
      <c r="I16" s="581"/>
      <c r="J16" s="581"/>
      <c r="K16" s="581"/>
    </row>
    <row r="17" spans="3:11" ht="320.25" customHeight="1" x14ac:dyDescent="0.25">
      <c r="C17" s="581" t="s">
        <v>264</v>
      </c>
      <c r="D17" s="581"/>
      <c r="E17" s="581"/>
      <c r="F17" s="581"/>
      <c r="G17" s="581"/>
      <c r="H17" s="581"/>
      <c r="I17" s="581"/>
      <c r="J17" s="581"/>
      <c r="K17" s="581"/>
    </row>
    <row r="18" spans="3:11" ht="242.25" customHeight="1" x14ac:dyDescent="0.25">
      <c r="C18" s="581" t="s">
        <v>265</v>
      </c>
      <c r="D18" s="581"/>
      <c r="E18" s="581"/>
      <c r="F18" s="581"/>
      <c r="G18" s="581"/>
      <c r="H18" s="581"/>
      <c r="I18" s="581"/>
      <c r="J18" s="581"/>
      <c r="K18" s="581"/>
    </row>
    <row r="19" spans="3:11" ht="252" customHeight="1" x14ac:dyDescent="0.25">
      <c r="C19" s="581" t="s">
        <v>266</v>
      </c>
      <c r="D19" s="581"/>
      <c r="E19" s="581"/>
      <c r="F19" s="581"/>
      <c r="G19" s="581"/>
      <c r="H19" s="581"/>
      <c r="I19" s="581"/>
      <c r="J19" s="581"/>
      <c r="K19" s="581"/>
    </row>
    <row r="20" spans="3:11" ht="161.25" customHeight="1" x14ac:dyDescent="0.25">
      <c r="C20" s="581" t="s">
        <v>267</v>
      </c>
      <c r="D20" s="581"/>
      <c r="E20" s="581"/>
      <c r="F20" s="581"/>
      <c r="G20" s="581"/>
      <c r="H20" s="581"/>
      <c r="I20" s="581"/>
      <c r="J20" s="581"/>
      <c r="K20" s="581"/>
    </row>
    <row r="21" spans="3:11" ht="16.5" x14ac:dyDescent="0.25">
      <c r="C21" s="639" t="s">
        <v>243</v>
      </c>
      <c r="D21" s="639"/>
      <c r="E21" s="639"/>
      <c r="F21" s="639"/>
      <c r="G21" s="639"/>
      <c r="H21" s="639"/>
      <c r="I21" s="639"/>
      <c r="J21" s="639"/>
      <c r="K21" s="639"/>
    </row>
  </sheetData>
  <mergeCells count="11">
    <mergeCell ref="C9:K9"/>
    <mergeCell ref="C10:K10"/>
    <mergeCell ref="C11:K11"/>
    <mergeCell ref="D6:K6"/>
    <mergeCell ref="C21:K21"/>
    <mergeCell ref="D13:K13"/>
    <mergeCell ref="C16:K16"/>
    <mergeCell ref="C18:K18"/>
    <mergeCell ref="C20:K20"/>
    <mergeCell ref="C17:K17"/>
    <mergeCell ref="C19:K19"/>
  </mergeCells>
  <pageMargins left="0.7" right="0.7" top="0.75" bottom="0.75" header="0.3" footer="0.3"/>
  <pageSetup orientation="portrait" horizontalDpi="4294967295" verticalDpi="4294967295"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2"/>
  <sheetViews>
    <sheetView topLeftCell="A47" zoomScale="110" zoomScaleNormal="110" workbookViewId="0">
      <selection activeCell="C59" sqref="C59"/>
    </sheetView>
  </sheetViews>
  <sheetFormatPr baseColWidth="10" defaultColWidth="11.42578125" defaultRowHeight="11.25" x14ac:dyDescent="0.2"/>
  <cols>
    <col min="1" max="1" width="26.140625" style="103" customWidth="1"/>
    <col min="2" max="2" width="21.28515625" style="103" customWidth="1"/>
    <col min="3" max="3" width="11.42578125" style="103"/>
    <col min="4" max="4" width="13.140625" style="103" customWidth="1"/>
    <col min="5" max="5" width="21.5703125" style="103" customWidth="1"/>
    <col min="6" max="6" width="11.42578125" style="103"/>
    <col min="7" max="7" width="26.42578125" style="103" customWidth="1"/>
    <col min="8" max="8" width="27.5703125" style="103" customWidth="1"/>
    <col min="9" max="9" width="15.85546875" style="103" customWidth="1"/>
    <col min="10" max="10" width="23.85546875" style="103" customWidth="1"/>
    <col min="11" max="11" width="11.42578125" style="103"/>
    <col min="12" max="12" width="12.28515625" style="103" customWidth="1"/>
    <col min="13" max="15" width="11.42578125" style="103"/>
    <col min="16" max="16" width="18.42578125" style="103" customWidth="1"/>
    <col min="17" max="16384" width="11.42578125" style="103"/>
  </cols>
  <sheetData>
    <row r="1" spans="1:15" s="15" customFormat="1" ht="72" customHeight="1" x14ac:dyDescent="0.25">
      <c r="A1" s="54" t="s">
        <v>16</v>
      </c>
      <c r="B1" s="640" t="s">
        <v>241</v>
      </c>
      <c r="C1" s="640"/>
      <c r="D1" s="640"/>
      <c r="E1" s="640"/>
      <c r="F1" s="640"/>
      <c r="G1" s="640"/>
      <c r="H1" s="79"/>
      <c r="I1" s="115"/>
      <c r="J1" s="115"/>
      <c r="K1" s="115"/>
      <c r="L1" s="115"/>
      <c r="M1" s="115"/>
      <c r="N1" s="115"/>
      <c r="O1" s="115"/>
    </row>
    <row r="2" spans="1:15" ht="12.75" x14ac:dyDescent="0.25">
      <c r="A2" s="112" t="s">
        <v>491</v>
      </c>
      <c r="B2" s="81"/>
      <c r="C2" s="81"/>
      <c r="D2" s="81"/>
      <c r="E2" s="81"/>
      <c r="F2" s="81"/>
      <c r="G2" s="81"/>
      <c r="H2" s="81"/>
    </row>
    <row r="3" spans="1:15" ht="12.75" x14ac:dyDescent="0.25">
      <c r="A3" s="643" t="s">
        <v>238</v>
      </c>
      <c r="B3" s="643"/>
      <c r="C3" s="643"/>
      <c r="D3" s="643"/>
      <c r="E3" s="643"/>
      <c r="F3" s="643"/>
      <c r="G3" s="643"/>
      <c r="H3" s="643"/>
    </row>
    <row r="4" spans="1:15" ht="18.75" customHeight="1" x14ac:dyDescent="0.25">
      <c r="A4" s="646" t="s">
        <v>221</v>
      </c>
      <c r="B4" s="646"/>
      <c r="C4" s="646"/>
      <c r="D4" s="646"/>
      <c r="E4" s="646"/>
      <c r="F4" s="646"/>
      <c r="G4" s="646"/>
      <c r="H4" s="646"/>
    </row>
    <row r="5" spans="1:15" ht="12.75" x14ac:dyDescent="0.25">
      <c r="A5" s="107" t="s">
        <v>225</v>
      </c>
      <c r="B5" s="107" t="s">
        <v>167</v>
      </c>
      <c r="C5" s="107" t="s">
        <v>168</v>
      </c>
      <c r="D5" s="107" t="s">
        <v>169</v>
      </c>
      <c r="E5" s="107" t="s">
        <v>226</v>
      </c>
      <c r="F5" s="107" t="s">
        <v>168</v>
      </c>
      <c r="G5" s="107" t="s">
        <v>169</v>
      </c>
      <c r="H5" s="107" t="s">
        <v>227</v>
      </c>
      <c r="I5" s="104"/>
      <c r="J5" s="104"/>
      <c r="K5" s="104"/>
      <c r="L5" s="104"/>
    </row>
    <row r="6" spans="1:15" ht="13.5" x14ac:dyDescent="0.3">
      <c r="A6" s="110" t="s">
        <v>170</v>
      </c>
      <c r="B6" s="108">
        <v>21</v>
      </c>
      <c r="C6" s="108">
        <v>8</v>
      </c>
      <c r="D6" s="108">
        <f>+C6*B6</f>
        <v>168</v>
      </c>
      <c r="E6" s="108"/>
      <c r="F6" s="108">
        <v>8</v>
      </c>
      <c r="G6" s="108">
        <f>+F6*E6</f>
        <v>0</v>
      </c>
      <c r="H6" s="108">
        <f>+D6-G6</f>
        <v>168</v>
      </c>
      <c r="J6" s="105"/>
      <c r="K6" s="105"/>
      <c r="L6" s="105"/>
    </row>
    <row r="7" spans="1:15" ht="13.5" x14ac:dyDescent="0.3">
      <c r="A7" s="110" t="s">
        <v>171</v>
      </c>
      <c r="B7" s="108">
        <v>21</v>
      </c>
      <c r="C7" s="108">
        <v>8</v>
      </c>
      <c r="D7" s="108">
        <f t="shared" ref="D7:D17" si="0">+C7*B7</f>
        <v>168</v>
      </c>
      <c r="E7" s="108"/>
      <c r="F7" s="108">
        <v>8</v>
      </c>
      <c r="G7" s="108">
        <f t="shared" ref="G7:G17" si="1">+F7*E7</f>
        <v>0</v>
      </c>
      <c r="H7" s="108">
        <f t="shared" ref="H7:H17" si="2">+D7-G7</f>
        <v>168</v>
      </c>
      <c r="J7" s="105"/>
      <c r="K7" s="105"/>
      <c r="L7" s="105"/>
    </row>
    <row r="8" spans="1:15" ht="13.5" x14ac:dyDescent="0.3">
      <c r="A8" s="110" t="s">
        <v>172</v>
      </c>
      <c r="B8" s="108">
        <v>18</v>
      </c>
      <c r="C8" s="108">
        <v>8</v>
      </c>
      <c r="D8" s="108">
        <f t="shared" si="0"/>
        <v>144</v>
      </c>
      <c r="E8" s="108"/>
      <c r="F8" s="108">
        <v>8</v>
      </c>
      <c r="G8" s="108">
        <f t="shared" si="1"/>
        <v>0</v>
      </c>
      <c r="H8" s="108">
        <f t="shared" si="2"/>
        <v>144</v>
      </c>
      <c r="J8" s="105"/>
      <c r="K8" s="105"/>
      <c r="L8" s="105"/>
    </row>
    <row r="9" spans="1:15" ht="13.5" x14ac:dyDescent="0.3">
      <c r="A9" s="110" t="s">
        <v>173</v>
      </c>
      <c r="B9" s="108">
        <v>22</v>
      </c>
      <c r="C9" s="108">
        <v>8</v>
      </c>
      <c r="D9" s="108">
        <f t="shared" si="0"/>
        <v>176</v>
      </c>
      <c r="E9" s="108"/>
      <c r="F9" s="108">
        <v>8</v>
      </c>
      <c r="G9" s="108">
        <f t="shared" si="1"/>
        <v>0</v>
      </c>
      <c r="H9" s="108">
        <f t="shared" si="2"/>
        <v>176</v>
      </c>
      <c r="J9" s="105"/>
      <c r="K9" s="105"/>
      <c r="L9" s="105"/>
    </row>
    <row r="10" spans="1:15" ht="13.5" x14ac:dyDescent="0.3">
      <c r="A10" s="110" t="s">
        <v>174</v>
      </c>
      <c r="B10" s="108">
        <v>21</v>
      </c>
      <c r="C10" s="108">
        <v>8</v>
      </c>
      <c r="D10" s="108">
        <f t="shared" si="0"/>
        <v>168</v>
      </c>
      <c r="E10" s="108"/>
      <c r="F10" s="108">
        <v>8</v>
      </c>
      <c r="G10" s="108">
        <f t="shared" si="1"/>
        <v>0</v>
      </c>
      <c r="H10" s="108">
        <f t="shared" si="2"/>
        <v>168</v>
      </c>
      <c r="J10" s="105"/>
      <c r="K10" s="105"/>
      <c r="L10" s="105"/>
    </row>
    <row r="11" spans="1:15" ht="13.5" x14ac:dyDescent="0.3">
      <c r="A11" s="110" t="s">
        <v>175</v>
      </c>
      <c r="B11" s="108">
        <v>18</v>
      </c>
      <c r="C11" s="108">
        <v>8</v>
      </c>
      <c r="D11" s="108">
        <f t="shared" si="0"/>
        <v>144</v>
      </c>
      <c r="E11" s="108"/>
      <c r="F11" s="108">
        <v>8</v>
      </c>
      <c r="G11" s="108">
        <f t="shared" si="1"/>
        <v>0</v>
      </c>
      <c r="H11" s="108">
        <f t="shared" si="2"/>
        <v>144</v>
      </c>
      <c r="J11" s="105"/>
      <c r="K11" s="105"/>
      <c r="L11" s="105"/>
    </row>
    <row r="12" spans="1:15" ht="13.5" x14ac:dyDescent="0.3">
      <c r="A12" s="110" t="s">
        <v>176</v>
      </c>
      <c r="B12" s="108">
        <v>22</v>
      </c>
      <c r="C12" s="108">
        <v>8</v>
      </c>
      <c r="D12" s="108">
        <f t="shared" si="0"/>
        <v>176</v>
      </c>
      <c r="E12" s="108"/>
      <c r="F12" s="108">
        <v>8</v>
      </c>
      <c r="G12" s="108">
        <f t="shared" si="1"/>
        <v>0</v>
      </c>
      <c r="H12" s="108">
        <f t="shared" si="2"/>
        <v>176</v>
      </c>
      <c r="J12" s="105"/>
      <c r="K12" s="105"/>
      <c r="L12" s="105"/>
    </row>
    <row r="13" spans="1:15" ht="13.5" x14ac:dyDescent="0.3">
      <c r="A13" s="110" t="s">
        <v>177</v>
      </c>
      <c r="B13" s="108">
        <v>20</v>
      </c>
      <c r="C13" s="108">
        <v>8</v>
      </c>
      <c r="D13" s="108">
        <f t="shared" si="0"/>
        <v>160</v>
      </c>
      <c r="E13" s="108"/>
      <c r="F13" s="108">
        <v>8</v>
      </c>
      <c r="G13" s="108">
        <f t="shared" si="1"/>
        <v>0</v>
      </c>
      <c r="H13" s="108">
        <f t="shared" si="2"/>
        <v>160</v>
      </c>
      <c r="J13" s="105"/>
      <c r="K13" s="105"/>
      <c r="L13" s="105"/>
    </row>
    <row r="14" spans="1:15" ht="13.5" x14ac:dyDescent="0.3">
      <c r="A14" s="110" t="s">
        <v>178</v>
      </c>
      <c r="B14" s="108">
        <v>21</v>
      </c>
      <c r="C14" s="108">
        <v>8</v>
      </c>
      <c r="D14" s="108">
        <f t="shared" si="0"/>
        <v>168</v>
      </c>
      <c r="E14" s="108"/>
      <c r="F14" s="108">
        <v>8</v>
      </c>
      <c r="G14" s="108">
        <f t="shared" si="1"/>
        <v>0</v>
      </c>
      <c r="H14" s="108">
        <f t="shared" si="2"/>
        <v>168</v>
      </c>
      <c r="J14" s="105"/>
      <c r="K14" s="105"/>
      <c r="L14" s="105"/>
    </row>
    <row r="15" spans="1:15" ht="13.5" x14ac:dyDescent="0.3">
      <c r="A15" s="110" t="s">
        <v>179</v>
      </c>
      <c r="B15" s="108">
        <v>22</v>
      </c>
      <c r="C15" s="108">
        <v>8</v>
      </c>
      <c r="D15" s="108">
        <f t="shared" si="0"/>
        <v>176</v>
      </c>
      <c r="E15" s="108"/>
      <c r="F15" s="108">
        <v>8</v>
      </c>
      <c r="G15" s="108">
        <f t="shared" si="1"/>
        <v>0</v>
      </c>
      <c r="H15" s="108">
        <f t="shared" si="2"/>
        <v>176</v>
      </c>
      <c r="J15" s="105"/>
      <c r="K15" s="105"/>
      <c r="L15" s="105"/>
    </row>
    <row r="16" spans="1:15" ht="13.5" x14ac:dyDescent="0.3">
      <c r="A16" s="110" t="s">
        <v>180</v>
      </c>
      <c r="B16" s="108">
        <v>19</v>
      </c>
      <c r="C16" s="108">
        <v>8</v>
      </c>
      <c r="D16" s="108">
        <f t="shared" si="0"/>
        <v>152</v>
      </c>
      <c r="E16" s="108"/>
      <c r="F16" s="108">
        <v>8</v>
      </c>
      <c r="G16" s="108">
        <f t="shared" si="1"/>
        <v>0</v>
      </c>
      <c r="H16" s="108">
        <f t="shared" si="2"/>
        <v>152</v>
      </c>
      <c r="J16" s="105"/>
      <c r="K16" s="105"/>
      <c r="L16" s="105"/>
    </row>
    <row r="17" spans="1:15" ht="13.5" x14ac:dyDescent="0.3">
      <c r="A17" s="110" t="s">
        <v>181</v>
      </c>
      <c r="B17" s="108">
        <v>21</v>
      </c>
      <c r="C17" s="108">
        <v>8</v>
      </c>
      <c r="D17" s="108">
        <f t="shared" si="0"/>
        <v>168</v>
      </c>
      <c r="E17" s="108"/>
      <c r="F17" s="108">
        <v>8</v>
      </c>
      <c r="G17" s="108">
        <f t="shared" si="1"/>
        <v>0</v>
      </c>
      <c r="H17" s="108">
        <f t="shared" si="2"/>
        <v>168</v>
      </c>
      <c r="J17" s="105"/>
      <c r="K17" s="105"/>
      <c r="L17" s="105"/>
    </row>
    <row r="18" spans="1:15" ht="12.75" x14ac:dyDescent="0.25">
      <c r="A18" s="111" t="s">
        <v>5</v>
      </c>
      <c r="B18" s="107">
        <f>SUM(B6:B17)</f>
        <v>246</v>
      </c>
      <c r="C18" s="107"/>
      <c r="D18" s="107">
        <f>SUM(D6:D17)</f>
        <v>1968</v>
      </c>
      <c r="E18" s="107">
        <f>SUM(E6:E17)</f>
        <v>0</v>
      </c>
      <c r="F18" s="107"/>
      <c r="G18" s="107">
        <f>SUM(G6:G17)</f>
        <v>0</v>
      </c>
      <c r="H18" s="107">
        <f>SUM(H6:H17)</f>
        <v>1968</v>
      </c>
      <c r="I18" s="106"/>
      <c r="J18" s="104"/>
      <c r="K18" s="104"/>
      <c r="L18" s="104"/>
    </row>
    <row r="19" spans="1:15" x14ac:dyDescent="0.2">
      <c r="A19" s="109"/>
      <c r="B19" s="114"/>
      <c r="C19" s="81"/>
      <c r="D19" s="81"/>
      <c r="E19" s="81"/>
      <c r="F19" s="81"/>
      <c r="G19" s="82"/>
      <c r="H19" s="81"/>
      <c r="L19" s="105"/>
    </row>
    <row r="20" spans="1:15" ht="25.5" customHeight="1" x14ac:dyDescent="0.25">
      <c r="A20" s="641" t="s">
        <v>231</v>
      </c>
      <c r="B20" s="642"/>
    </row>
    <row r="21" spans="1:15" ht="12.75" x14ac:dyDescent="0.25">
      <c r="A21" s="111" t="s">
        <v>228</v>
      </c>
      <c r="B21" s="102">
        <f>+B18-E18</f>
        <v>246</v>
      </c>
      <c r="F21" s="104"/>
      <c r="G21" s="104"/>
      <c r="H21" s="104"/>
      <c r="I21" s="104"/>
      <c r="K21" s="104"/>
      <c r="L21" s="104"/>
      <c r="M21" s="104"/>
      <c r="N21" s="104"/>
    </row>
    <row r="22" spans="1:15" ht="12.75" x14ac:dyDescent="0.25">
      <c r="A22" s="111" t="s">
        <v>229</v>
      </c>
      <c r="B22" s="102">
        <f>+D18-G18</f>
        <v>1968</v>
      </c>
      <c r="G22" s="105"/>
      <c r="H22" s="105"/>
      <c r="I22" s="105"/>
      <c r="L22" s="105"/>
      <c r="M22" s="105"/>
      <c r="N22" s="105"/>
    </row>
    <row r="23" spans="1:15" x14ac:dyDescent="0.2">
      <c r="G23" s="105"/>
      <c r="H23" s="105"/>
      <c r="I23" s="105"/>
      <c r="L23" s="105"/>
      <c r="M23" s="105"/>
      <c r="N23" s="105"/>
    </row>
    <row r="24" spans="1:15" x14ac:dyDescent="0.2">
      <c r="G24" s="105"/>
      <c r="H24" s="105"/>
      <c r="I24" s="105"/>
      <c r="L24" s="105"/>
      <c r="M24" s="105"/>
      <c r="N24" s="105"/>
    </row>
    <row r="25" spans="1:15" ht="15" x14ac:dyDescent="0.25">
      <c r="A25" s="113" t="s">
        <v>166</v>
      </c>
      <c r="G25" s="105"/>
      <c r="H25" s="105"/>
      <c r="I25" s="105"/>
      <c r="L25" s="105"/>
      <c r="M25" s="105"/>
      <c r="N25" s="105"/>
    </row>
    <row r="26" spans="1:15" x14ac:dyDescent="0.2">
      <c r="G26" s="105"/>
      <c r="H26" s="105"/>
      <c r="I26" s="105"/>
      <c r="L26" s="105"/>
      <c r="M26" s="105"/>
      <c r="N26" s="105"/>
    </row>
    <row r="27" spans="1:15" s="81" customFormat="1" ht="17.25" customHeight="1" x14ac:dyDescent="0.25">
      <c r="A27" s="646" t="s">
        <v>230</v>
      </c>
      <c r="B27" s="646"/>
      <c r="C27" s="646"/>
      <c r="D27" s="646"/>
      <c r="E27" s="646"/>
      <c r="F27" s="646"/>
      <c r="G27" s="646"/>
      <c r="H27" s="646"/>
      <c r="I27" s="646"/>
      <c r="J27" s="646"/>
      <c r="K27" s="646"/>
      <c r="L27" s="646"/>
      <c r="M27" s="646"/>
      <c r="N27" s="646"/>
      <c r="O27" s="646"/>
    </row>
    <row r="28" spans="1:15" s="82" customFormat="1" ht="18" customHeight="1" x14ac:dyDescent="0.2">
      <c r="A28" s="647" t="s">
        <v>104</v>
      </c>
      <c r="B28" s="647" t="s">
        <v>105</v>
      </c>
      <c r="C28" s="647" t="s">
        <v>107</v>
      </c>
      <c r="D28" s="647" t="s">
        <v>108</v>
      </c>
      <c r="E28" s="647" t="s">
        <v>110</v>
      </c>
      <c r="F28" s="83" t="s">
        <v>111</v>
      </c>
      <c r="G28" s="83" t="s">
        <v>184</v>
      </c>
      <c r="H28" s="84" t="s">
        <v>112</v>
      </c>
      <c r="I28" s="84" t="s">
        <v>185</v>
      </c>
      <c r="J28" s="647" t="s">
        <v>186</v>
      </c>
      <c r="K28" s="649" t="s">
        <v>187</v>
      </c>
      <c r="L28" s="647" t="s">
        <v>188</v>
      </c>
      <c r="M28" s="647" t="s">
        <v>189</v>
      </c>
      <c r="N28" s="647" t="s">
        <v>190</v>
      </c>
    </row>
    <row r="29" spans="1:15" s="81" customFormat="1" x14ac:dyDescent="0.2">
      <c r="A29" s="648"/>
      <c r="B29" s="648"/>
      <c r="C29" s="648"/>
      <c r="D29" s="648"/>
      <c r="E29" s="648"/>
      <c r="F29" s="651" t="s">
        <v>191</v>
      </c>
      <c r="G29" s="651"/>
      <c r="H29" s="652" t="s">
        <v>192</v>
      </c>
      <c r="I29" s="652"/>
      <c r="J29" s="648"/>
      <c r="K29" s="650"/>
      <c r="L29" s="648"/>
      <c r="M29" s="648"/>
      <c r="N29" s="648"/>
    </row>
    <row r="30" spans="1:15" s="120" customFormat="1" ht="77.25" customHeight="1" x14ac:dyDescent="0.3">
      <c r="A30" s="116" t="s">
        <v>193</v>
      </c>
      <c r="B30" s="116" t="s">
        <v>194</v>
      </c>
      <c r="C30" s="117" t="s">
        <v>195</v>
      </c>
      <c r="D30" s="117" t="s">
        <v>182</v>
      </c>
      <c r="E30" s="118" t="s">
        <v>196</v>
      </c>
      <c r="F30" s="117" t="s">
        <v>197</v>
      </c>
      <c r="G30" s="117" t="s">
        <v>198</v>
      </c>
      <c r="H30" s="117" t="s">
        <v>199</v>
      </c>
      <c r="I30" s="117" t="s">
        <v>200</v>
      </c>
      <c r="J30" s="117" t="s">
        <v>201</v>
      </c>
      <c r="K30" s="119" t="s">
        <v>202</v>
      </c>
      <c r="L30" s="117" t="s">
        <v>203</v>
      </c>
      <c r="M30" s="117" t="s">
        <v>204</v>
      </c>
      <c r="N30" s="117" t="s">
        <v>205</v>
      </c>
    </row>
    <row r="31" spans="1:15" s="25" customFormat="1" ht="16.5" x14ac:dyDescent="0.3">
      <c r="A31" s="121"/>
      <c r="B31" s="121"/>
      <c r="C31" s="121"/>
      <c r="D31" s="121"/>
      <c r="E31" s="121"/>
      <c r="F31" s="122">
        <v>0.1</v>
      </c>
      <c r="G31" s="122">
        <v>0.05</v>
      </c>
      <c r="H31" s="122">
        <v>2.5000000000000001E-2</v>
      </c>
      <c r="I31" s="123">
        <f>+I32/E32</f>
        <v>6.097560975609756E-2</v>
      </c>
      <c r="J31" s="124">
        <f>SUM(F31:I31)</f>
        <v>0.23597560975609758</v>
      </c>
      <c r="K31" s="125"/>
      <c r="L31" s="126"/>
      <c r="M31" s="126"/>
      <c r="N31" s="121"/>
    </row>
    <row r="32" spans="1:15" s="120" customFormat="1" ht="13.5" x14ac:dyDescent="0.3">
      <c r="A32" s="108" t="s">
        <v>383</v>
      </c>
      <c r="B32" s="108">
        <v>1</v>
      </c>
      <c r="C32" s="108">
        <f>+B21</f>
        <v>246</v>
      </c>
      <c r="D32" s="108">
        <v>0</v>
      </c>
      <c r="E32" s="127">
        <f t="shared" ref="E32:E38" si="3">+C32-D32</f>
        <v>246</v>
      </c>
      <c r="F32" s="128">
        <f>+E32*$F$31*0</f>
        <v>0</v>
      </c>
      <c r="G32" s="129">
        <f t="shared" ref="G32:G38" si="4">+E32*$G$31</f>
        <v>12.3</v>
      </c>
      <c r="H32" s="129">
        <f t="shared" ref="H32:H38" si="5">+E32*$H$31</f>
        <v>6.15</v>
      </c>
      <c r="I32" s="128">
        <v>15</v>
      </c>
      <c r="J32" s="128">
        <f>SUM(F32:I32)</f>
        <v>33.450000000000003</v>
      </c>
      <c r="K32" s="130">
        <f>+E32-J32</f>
        <v>212.55</v>
      </c>
      <c r="L32" s="131">
        <v>8</v>
      </c>
      <c r="M32" s="131">
        <f>+K32*L32</f>
        <v>1700.4</v>
      </c>
      <c r="N32" s="131">
        <f>+M32*B32</f>
        <v>1700.4</v>
      </c>
    </row>
    <row r="33" spans="1:14" s="120" customFormat="1" ht="13.5" x14ac:dyDescent="0.3">
      <c r="A33" s="108" t="s">
        <v>434</v>
      </c>
      <c r="B33" s="108">
        <v>2</v>
      </c>
      <c r="C33" s="108">
        <f>+B21</f>
        <v>246</v>
      </c>
      <c r="D33" s="108">
        <f>+'[2]2. Días -horas hábiles x vig'!D63</f>
        <v>0</v>
      </c>
      <c r="E33" s="127">
        <f t="shared" si="3"/>
        <v>246</v>
      </c>
      <c r="F33" s="128">
        <f t="shared" ref="F33:F34" si="6">+E33*$F$31*0</f>
        <v>0</v>
      </c>
      <c r="G33" s="129">
        <f t="shared" si="4"/>
        <v>12.3</v>
      </c>
      <c r="H33" s="129">
        <f t="shared" si="5"/>
        <v>6.15</v>
      </c>
      <c r="I33" s="128">
        <v>0</v>
      </c>
      <c r="J33" s="128">
        <f>SUM(F33:I33)</f>
        <v>18.450000000000003</v>
      </c>
      <c r="K33" s="130">
        <f>+E33-J33</f>
        <v>227.55</v>
      </c>
      <c r="L33" s="131">
        <v>8</v>
      </c>
      <c r="M33" s="131">
        <f>+K33*L33</f>
        <v>1820.4</v>
      </c>
      <c r="N33" s="131">
        <f>+M33*B33</f>
        <v>3640.8</v>
      </c>
    </row>
    <row r="34" spans="1:14" s="120" customFormat="1" ht="13.5" x14ac:dyDescent="0.3">
      <c r="A34" s="108" t="s">
        <v>401</v>
      </c>
      <c r="B34" s="108">
        <v>6</v>
      </c>
      <c r="C34" s="108">
        <f>+B21</f>
        <v>246</v>
      </c>
      <c r="D34" s="108">
        <v>0</v>
      </c>
      <c r="E34" s="127">
        <f t="shared" si="3"/>
        <v>246</v>
      </c>
      <c r="F34" s="128">
        <f t="shared" si="6"/>
        <v>0</v>
      </c>
      <c r="G34" s="129">
        <f t="shared" si="4"/>
        <v>12.3</v>
      </c>
      <c r="H34" s="129">
        <f t="shared" si="5"/>
        <v>6.15</v>
      </c>
      <c r="I34" s="128">
        <v>0</v>
      </c>
      <c r="J34" s="128">
        <f>SUM(F34:I34)</f>
        <v>18.450000000000003</v>
      </c>
      <c r="K34" s="130">
        <f>+E34-J34</f>
        <v>227.55</v>
      </c>
      <c r="L34" s="131">
        <v>8</v>
      </c>
      <c r="M34" s="131">
        <f>+K34*L34</f>
        <v>1820.4</v>
      </c>
      <c r="N34" s="131">
        <f>+M34*B34</f>
        <v>10922.400000000001</v>
      </c>
    </row>
    <row r="35" spans="1:14" s="120" customFormat="1" ht="13.5" x14ac:dyDescent="0.3">
      <c r="A35" s="108"/>
      <c r="B35" s="108"/>
      <c r="C35" s="108"/>
      <c r="D35" s="108">
        <v>0</v>
      </c>
      <c r="E35" s="127">
        <f t="shared" si="3"/>
        <v>0</v>
      </c>
      <c r="F35" s="128">
        <f t="shared" ref="F35:F38" si="7">+E35*$F$31</f>
        <v>0</v>
      </c>
      <c r="G35" s="129">
        <f t="shared" si="4"/>
        <v>0</v>
      </c>
      <c r="H35" s="129">
        <f t="shared" si="5"/>
        <v>0</v>
      </c>
      <c r="I35" s="128">
        <v>0</v>
      </c>
      <c r="J35" s="128">
        <f t="shared" ref="J35:J42" si="8">SUM(F35:I35)</f>
        <v>0</v>
      </c>
      <c r="K35" s="130">
        <f t="shared" ref="K35:K42" si="9">+E35-J35</f>
        <v>0</v>
      </c>
      <c r="L35" s="131">
        <v>8</v>
      </c>
      <c r="M35" s="131">
        <f t="shared" ref="M35:M42" si="10">+K35*L35</f>
        <v>0</v>
      </c>
      <c r="N35" s="131">
        <f t="shared" ref="N35:N42" si="11">+M35*B35</f>
        <v>0</v>
      </c>
    </row>
    <row r="36" spans="1:14" s="120" customFormat="1" ht="13.5" x14ac:dyDescent="0.3">
      <c r="A36" s="108"/>
      <c r="B36" s="108"/>
      <c r="C36" s="108"/>
      <c r="D36" s="108">
        <v>0</v>
      </c>
      <c r="E36" s="127">
        <f t="shared" si="3"/>
        <v>0</v>
      </c>
      <c r="F36" s="128">
        <f t="shared" si="7"/>
        <v>0</v>
      </c>
      <c r="G36" s="129">
        <f t="shared" si="4"/>
        <v>0</v>
      </c>
      <c r="H36" s="129">
        <f t="shared" si="5"/>
        <v>0</v>
      </c>
      <c r="I36" s="128">
        <v>0</v>
      </c>
      <c r="J36" s="128">
        <f t="shared" si="8"/>
        <v>0</v>
      </c>
      <c r="K36" s="130">
        <f t="shared" si="9"/>
        <v>0</v>
      </c>
      <c r="L36" s="131">
        <v>8</v>
      </c>
      <c r="M36" s="131">
        <f t="shared" si="10"/>
        <v>0</v>
      </c>
      <c r="N36" s="131">
        <f t="shared" si="11"/>
        <v>0</v>
      </c>
    </row>
    <row r="37" spans="1:14" s="120" customFormat="1" ht="13.5" x14ac:dyDescent="0.3">
      <c r="A37" s="108"/>
      <c r="B37" s="108"/>
      <c r="C37" s="108"/>
      <c r="D37" s="108">
        <v>0</v>
      </c>
      <c r="E37" s="127">
        <f t="shared" si="3"/>
        <v>0</v>
      </c>
      <c r="F37" s="128">
        <f t="shared" si="7"/>
        <v>0</v>
      </c>
      <c r="G37" s="129">
        <f t="shared" si="4"/>
        <v>0</v>
      </c>
      <c r="H37" s="129">
        <f t="shared" si="5"/>
        <v>0</v>
      </c>
      <c r="I37" s="128">
        <v>0</v>
      </c>
      <c r="J37" s="128">
        <f t="shared" si="8"/>
        <v>0</v>
      </c>
      <c r="K37" s="130">
        <f t="shared" si="9"/>
        <v>0</v>
      </c>
      <c r="L37" s="131">
        <v>8</v>
      </c>
      <c r="M37" s="131">
        <f t="shared" si="10"/>
        <v>0</v>
      </c>
      <c r="N37" s="131">
        <f t="shared" si="11"/>
        <v>0</v>
      </c>
    </row>
    <row r="38" spans="1:14" s="120" customFormat="1" ht="13.5" x14ac:dyDescent="0.3">
      <c r="A38" s="108"/>
      <c r="B38" s="108"/>
      <c r="C38" s="108"/>
      <c r="D38" s="108">
        <v>0</v>
      </c>
      <c r="E38" s="127">
        <f t="shared" si="3"/>
        <v>0</v>
      </c>
      <c r="F38" s="128">
        <f t="shared" si="7"/>
        <v>0</v>
      </c>
      <c r="G38" s="129">
        <f t="shared" si="4"/>
        <v>0</v>
      </c>
      <c r="H38" s="129">
        <f t="shared" si="5"/>
        <v>0</v>
      </c>
      <c r="I38" s="128">
        <v>0</v>
      </c>
      <c r="J38" s="128">
        <f t="shared" si="8"/>
        <v>0</v>
      </c>
      <c r="K38" s="130">
        <f t="shared" si="9"/>
        <v>0</v>
      </c>
      <c r="L38" s="131">
        <v>8</v>
      </c>
      <c r="M38" s="131">
        <f t="shared" si="10"/>
        <v>0</v>
      </c>
      <c r="N38" s="131">
        <f t="shared" si="11"/>
        <v>0</v>
      </c>
    </row>
    <row r="39" spans="1:14" s="120" customFormat="1" ht="13.5" x14ac:dyDescent="0.3">
      <c r="A39" s="108"/>
      <c r="B39" s="108"/>
      <c r="C39" s="108"/>
      <c r="D39" s="108"/>
      <c r="E39" s="127"/>
      <c r="F39" s="128"/>
      <c r="G39" s="129"/>
      <c r="H39" s="129"/>
      <c r="I39" s="128"/>
      <c r="J39" s="128">
        <f t="shared" si="8"/>
        <v>0</v>
      </c>
      <c r="K39" s="130">
        <f t="shared" si="9"/>
        <v>0</v>
      </c>
      <c r="L39" s="131"/>
      <c r="M39" s="131">
        <f t="shared" si="10"/>
        <v>0</v>
      </c>
      <c r="N39" s="131">
        <f t="shared" si="11"/>
        <v>0</v>
      </c>
    </row>
    <row r="40" spans="1:14" s="120" customFormat="1" ht="13.5" x14ac:dyDescent="0.3">
      <c r="A40" s="108"/>
      <c r="B40" s="108"/>
      <c r="C40" s="108"/>
      <c r="D40" s="108"/>
      <c r="E40" s="127"/>
      <c r="F40" s="128"/>
      <c r="G40" s="129"/>
      <c r="H40" s="129"/>
      <c r="I40" s="128"/>
      <c r="J40" s="128">
        <f t="shared" si="8"/>
        <v>0</v>
      </c>
      <c r="K40" s="130">
        <f t="shared" si="9"/>
        <v>0</v>
      </c>
      <c r="L40" s="131"/>
      <c r="M40" s="131">
        <f t="shared" si="10"/>
        <v>0</v>
      </c>
      <c r="N40" s="131">
        <f t="shared" si="11"/>
        <v>0</v>
      </c>
    </row>
    <row r="41" spans="1:14" s="120" customFormat="1" ht="13.5" x14ac:dyDescent="0.3">
      <c r="A41" s="108"/>
      <c r="B41" s="108"/>
      <c r="C41" s="108"/>
      <c r="D41" s="108"/>
      <c r="E41" s="127"/>
      <c r="F41" s="128"/>
      <c r="G41" s="129"/>
      <c r="H41" s="129"/>
      <c r="I41" s="128"/>
      <c r="J41" s="128">
        <f t="shared" si="8"/>
        <v>0</v>
      </c>
      <c r="K41" s="130">
        <f t="shared" si="9"/>
        <v>0</v>
      </c>
      <c r="L41" s="131"/>
      <c r="M41" s="131">
        <f t="shared" si="10"/>
        <v>0</v>
      </c>
      <c r="N41" s="131">
        <f t="shared" si="11"/>
        <v>0</v>
      </c>
    </row>
    <row r="42" spans="1:14" s="120" customFormat="1" ht="13.5" x14ac:dyDescent="0.3">
      <c r="A42" s="108"/>
      <c r="B42" s="108"/>
      <c r="C42" s="108"/>
      <c r="D42" s="108"/>
      <c r="E42" s="127"/>
      <c r="F42" s="128"/>
      <c r="G42" s="129"/>
      <c r="H42" s="129"/>
      <c r="I42" s="128"/>
      <c r="J42" s="128">
        <f t="shared" si="8"/>
        <v>0</v>
      </c>
      <c r="K42" s="130">
        <f t="shared" si="9"/>
        <v>0</v>
      </c>
      <c r="L42" s="131"/>
      <c r="M42" s="131">
        <f t="shared" si="10"/>
        <v>0</v>
      </c>
      <c r="N42" s="131">
        <f t="shared" si="11"/>
        <v>0</v>
      </c>
    </row>
    <row r="43" spans="1:14" s="120" customFormat="1" ht="13.5" x14ac:dyDescent="0.3">
      <c r="A43" s="132"/>
      <c r="B43" s="133"/>
      <c r="C43" s="133"/>
      <c r="D43" s="133"/>
      <c r="E43" s="133"/>
      <c r="F43" s="133"/>
      <c r="G43" s="133"/>
      <c r="H43" s="133"/>
      <c r="I43" s="133"/>
      <c r="J43" s="134" t="s">
        <v>222</v>
      </c>
      <c r="K43" s="135">
        <f>SUM(K32:K42)</f>
        <v>667.65000000000009</v>
      </c>
      <c r="L43" s="135"/>
      <c r="M43" s="135"/>
      <c r="N43" s="135">
        <f>SUM(N32:N42)</f>
        <v>16263.600000000002</v>
      </c>
    </row>
    <row r="44" spans="1:14" s="136" customFormat="1" ht="13.5" x14ac:dyDescent="0.3"/>
    <row r="45" spans="1:14" s="136" customFormat="1" ht="13.5" x14ac:dyDescent="0.3"/>
    <row r="46" spans="1:14" s="136" customFormat="1" ht="13.5" x14ac:dyDescent="0.3"/>
    <row r="48" spans="1:14" ht="23.25" customHeight="1" x14ac:dyDescent="0.25">
      <c r="A48" s="641" t="s">
        <v>232</v>
      </c>
      <c r="B48" s="642"/>
    </row>
    <row r="49" spans="1:3" ht="22.5" customHeight="1" x14ac:dyDescent="0.25">
      <c r="A49" s="111" t="s">
        <v>228</v>
      </c>
      <c r="B49" s="137">
        <f>K43</f>
        <v>667.65000000000009</v>
      </c>
    </row>
    <row r="50" spans="1:3" ht="27.75" customHeight="1" x14ac:dyDescent="0.25">
      <c r="A50" s="138" t="s">
        <v>233</v>
      </c>
      <c r="B50" s="137">
        <f>+N43</f>
        <v>16263.600000000002</v>
      </c>
    </row>
    <row r="54" spans="1:3" ht="12" thickBot="1" x14ac:dyDescent="0.25"/>
    <row r="55" spans="1:3" ht="41.25" customHeight="1" x14ac:dyDescent="0.25">
      <c r="A55" s="644" t="s">
        <v>252</v>
      </c>
      <c r="B55" s="645"/>
    </row>
    <row r="56" spans="1:3" ht="15" x14ac:dyDescent="0.25">
      <c r="A56" s="5"/>
      <c r="B56" s="150" t="s">
        <v>168</v>
      </c>
    </row>
    <row r="57" spans="1:3" ht="25.5" x14ac:dyDescent="0.25">
      <c r="A57" s="151" t="s">
        <v>101</v>
      </c>
      <c r="B57" s="152">
        <f>+'1. Horas requeridas PAAI'!I108</f>
        <v>18369</v>
      </c>
    </row>
    <row r="58" spans="1:3" ht="25.5" x14ac:dyDescent="0.25">
      <c r="A58" s="151" t="s">
        <v>183</v>
      </c>
      <c r="B58" s="153">
        <f>+B50</f>
        <v>16263.600000000002</v>
      </c>
    </row>
    <row r="59" spans="1:3" ht="12.75" x14ac:dyDescent="0.25">
      <c r="A59" s="151" t="s">
        <v>254</v>
      </c>
      <c r="B59" s="339">
        <f>+B58-B57</f>
        <v>-2105.3999999999978</v>
      </c>
      <c r="C59" s="340">
        <f>+B59/1968</f>
        <v>-1.0698170731707306</v>
      </c>
    </row>
    <row r="60" spans="1:3" ht="36.75" customHeight="1" thickBot="1" x14ac:dyDescent="0.3">
      <c r="A60" s="154" t="s">
        <v>253</v>
      </c>
      <c r="B60" s="155" t="str">
        <f>IF(B58&gt;B57,"NO PRESENTA DÉFICIT","PRESENTA DÉFICIT")</f>
        <v>PRESENTA DÉFICIT</v>
      </c>
    </row>
    <row r="61" spans="1:3" ht="15" x14ac:dyDescent="0.25">
      <c r="A61"/>
      <c r="B61"/>
    </row>
    <row r="62" spans="1:3" ht="15" x14ac:dyDescent="0.25">
      <c r="A62"/>
    </row>
  </sheetData>
  <mergeCells count="19">
    <mergeCell ref="C28:C29"/>
    <mergeCell ref="D28:D29"/>
    <mergeCell ref="E28:E29"/>
    <mergeCell ref="B1:G1"/>
    <mergeCell ref="A20:B20"/>
    <mergeCell ref="A3:H3"/>
    <mergeCell ref="A55:B55"/>
    <mergeCell ref="A4:H4"/>
    <mergeCell ref="A27:O27"/>
    <mergeCell ref="A48:B48"/>
    <mergeCell ref="J28:J29"/>
    <mergeCell ref="K28:K29"/>
    <mergeCell ref="L28:L29"/>
    <mergeCell ref="M28:M29"/>
    <mergeCell ref="N28:N29"/>
    <mergeCell ref="F29:G29"/>
    <mergeCell ref="H29:I29"/>
    <mergeCell ref="A28:A29"/>
    <mergeCell ref="B28:B29"/>
  </mergeCells>
  <dataValidations count="8">
    <dataValidation allowBlank="1" showInputMessage="1" showErrorMessage="1" prompt="Registre el numero de auditores de la OCI, discrimado por tipo de vinculacion ej Carrera Administrativa, Provisional o Contratista" sqref="B30"/>
    <dataValidation allowBlank="1" showInputMessage="1" showErrorMessage="1" prompt="Registre el tipo de vinculacion por auditor disponible en el equipo: Carrera Administrativa, Provisional,  Contratista  u otro." sqref="A30"/>
    <dataValidation allowBlank="1" showInputMessage="1" showErrorMessage="1" prompt="En caso de contar con auditores con permiso sindical registrelo de manera independiente, para efectuar el calculo respectivo" sqref="D30"/>
    <dataValidation allowBlank="1" showInputMessage="1" showErrorMessage="1" prompt="Registre en la celda inferior (amarilla) el % estimado a actividades administrativas y/o atencion a entes de control" sqref="F30"/>
    <dataValidation allowBlank="1" showInputMessage="1" showErrorMessage="1" prompt="Registre en celda inferior (amarilla) &quot; el % estimado a reuniones y/o capacitaciones" sqref="G30"/>
    <dataValidation allowBlank="1" showInputMessage="1" showErrorMessage="1" prompt="Registre en la en la celda inferior (amarilla) el % estimado por incapacidades y permisos" sqref="H30"/>
    <dataValidation allowBlank="1" showInputMessage="1" showErrorMessage="1" prompt="Registre los 15 dias habiles correspondientes de los auditores con derecho a disfrute a vacaciones" sqref="I30"/>
    <dataValidation allowBlank="1" showInputMessage="1" showErrorMessage="1" prompt="Registre el numero de horas laborables por tipo de vinculacion" sqref="L30"/>
  </dataValidations>
  <hyperlinks>
    <hyperlink ref="A25" r:id="rId1"/>
  </hyperlinks>
  <pageMargins left="0.7" right="0.7" top="0.75" bottom="0.75" header="0.3" footer="0.3"/>
  <pageSetup paperSize="9" orientation="portrait"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C100"/>
  <sheetViews>
    <sheetView tabSelected="1" topLeftCell="A10" zoomScale="40" zoomScaleNormal="40" zoomScaleSheetLayoutView="40" workbookViewId="0">
      <pane xSplit="1" topLeftCell="B1" activePane="topRight" state="frozen"/>
      <selection pane="topRight" activeCell="A12" sqref="A12:A15"/>
    </sheetView>
  </sheetViews>
  <sheetFormatPr baseColWidth="10" defaultColWidth="11.42578125" defaultRowHeight="28.5" x14ac:dyDescent="0.45"/>
  <cols>
    <col min="1" max="1" width="13.7109375" style="32" customWidth="1"/>
    <col min="2" max="2" width="117" style="34" bestFit="1" customWidth="1"/>
    <col min="3" max="3" width="255.7109375" style="35" hidden="1" customWidth="1"/>
    <col min="4" max="4" width="255.7109375" style="36" hidden="1" customWidth="1"/>
    <col min="5" max="5" width="65.140625" style="36" customWidth="1"/>
    <col min="6" max="8" width="13.140625" style="35" customWidth="1"/>
    <col min="9" max="10" width="12.28515625" style="35" customWidth="1"/>
    <col min="11" max="11" width="17.42578125" style="35" customWidth="1"/>
    <col min="12" max="13" width="11.85546875" style="35" customWidth="1"/>
    <col min="14" max="23" width="11.85546875" style="34" customWidth="1"/>
    <col min="24" max="24" width="116.42578125" style="34" customWidth="1"/>
    <col min="25" max="25" width="122.85546875" style="34" customWidth="1"/>
    <col min="26" max="26" width="8" style="34" bestFit="1" customWidth="1"/>
    <col min="27" max="88" width="11.42578125" style="34"/>
    <col min="89" max="89" width="10.85546875" style="34" customWidth="1"/>
    <col min="90" max="92" width="11.42578125" style="34"/>
    <col min="93" max="16384" width="11.42578125" style="35"/>
  </cols>
  <sheetData>
    <row r="1" spans="1:107" s="30" customFormat="1" x14ac:dyDescent="0.25">
      <c r="A1" s="689" t="s">
        <v>18</v>
      </c>
      <c r="B1" s="690"/>
      <c r="C1" s="698" t="s">
        <v>514</v>
      </c>
      <c r="D1" s="699"/>
      <c r="E1" s="699"/>
      <c r="F1" s="699"/>
      <c r="G1" s="699"/>
      <c r="H1" s="699"/>
      <c r="I1" s="699"/>
      <c r="J1" s="699"/>
      <c r="K1" s="699"/>
      <c r="L1" s="699"/>
      <c r="M1" s="699"/>
      <c r="N1" s="702">
        <v>263</v>
      </c>
      <c r="O1" s="702"/>
      <c r="P1" s="702"/>
      <c r="Q1" s="702"/>
      <c r="R1" s="702"/>
      <c r="S1" s="702"/>
      <c r="T1" s="702"/>
      <c r="U1" s="702"/>
      <c r="V1" s="702"/>
      <c r="W1" s="703"/>
    </row>
    <row r="2" spans="1:107" s="30" customFormat="1" x14ac:dyDescent="0.25">
      <c r="A2" s="689"/>
      <c r="B2" s="690"/>
      <c r="C2" s="700"/>
      <c r="D2" s="701"/>
      <c r="E2" s="701"/>
      <c r="F2" s="701"/>
      <c r="G2" s="701"/>
      <c r="H2" s="701"/>
      <c r="I2" s="701"/>
      <c r="J2" s="701"/>
      <c r="K2" s="701"/>
      <c r="L2" s="701"/>
      <c r="M2" s="701"/>
      <c r="N2" s="704"/>
      <c r="O2" s="704"/>
      <c r="P2" s="704"/>
      <c r="Q2" s="704"/>
      <c r="R2" s="704"/>
      <c r="S2" s="704"/>
      <c r="T2" s="704"/>
      <c r="U2" s="704"/>
      <c r="V2" s="704"/>
      <c r="W2" s="705"/>
    </row>
    <row r="3" spans="1:107" s="30" customFormat="1" x14ac:dyDescent="0.25">
      <c r="A3" s="689"/>
      <c r="B3" s="690"/>
      <c r="C3" s="700"/>
      <c r="D3" s="701"/>
      <c r="E3" s="701"/>
      <c r="F3" s="701"/>
      <c r="G3" s="701"/>
      <c r="H3" s="701"/>
      <c r="I3" s="701"/>
      <c r="J3" s="701"/>
      <c r="K3" s="701"/>
      <c r="L3" s="701"/>
      <c r="M3" s="701"/>
      <c r="N3" s="704"/>
      <c r="O3" s="704"/>
      <c r="P3" s="704"/>
      <c r="Q3" s="704"/>
      <c r="R3" s="704"/>
      <c r="S3" s="704"/>
      <c r="T3" s="704"/>
      <c r="U3" s="704"/>
      <c r="V3" s="704"/>
      <c r="W3" s="705"/>
    </row>
    <row r="4" spans="1:107" s="30" customFormat="1" ht="52.5" customHeight="1" x14ac:dyDescent="0.25">
      <c r="A4" s="689"/>
      <c r="B4" s="690"/>
      <c r="C4" s="694" t="s">
        <v>350</v>
      </c>
      <c r="D4" s="694"/>
      <c r="E4" s="694"/>
      <c r="F4" s="694"/>
      <c r="G4" s="694"/>
      <c r="H4" s="694"/>
      <c r="I4" s="694"/>
      <c r="J4" s="694"/>
      <c r="K4" s="694"/>
      <c r="L4" s="694"/>
      <c r="M4" s="694"/>
      <c r="N4" s="694"/>
      <c r="O4" s="694"/>
      <c r="P4" s="694"/>
      <c r="Q4" s="694"/>
      <c r="R4" s="694"/>
      <c r="S4" s="694"/>
      <c r="T4" s="694"/>
      <c r="U4" s="694"/>
      <c r="V4" s="694"/>
      <c r="W4" s="695"/>
    </row>
    <row r="5" spans="1:107" s="30" customFormat="1" ht="97.5" customHeight="1" x14ac:dyDescent="0.25">
      <c r="A5" s="689"/>
      <c r="B5" s="690"/>
      <c r="C5" s="672" t="s">
        <v>351</v>
      </c>
      <c r="D5" s="672"/>
      <c r="E5" s="672"/>
      <c r="F5" s="672"/>
      <c r="G5" s="672"/>
      <c r="H5" s="672"/>
      <c r="I5" s="672"/>
      <c r="J5" s="672"/>
      <c r="K5" s="672"/>
      <c r="L5" s="672"/>
      <c r="M5" s="672"/>
      <c r="N5" s="672"/>
      <c r="O5" s="672"/>
      <c r="P5" s="672"/>
      <c r="Q5" s="672"/>
      <c r="R5" s="672"/>
      <c r="S5" s="672"/>
      <c r="T5" s="672"/>
      <c r="U5" s="672"/>
      <c r="V5" s="672"/>
      <c r="W5" s="673"/>
    </row>
    <row r="6" spans="1:107" s="30" customFormat="1" ht="106.5" customHeight="1" x14ac:dyDescent="0.25">
      <c r="A6" s="691"/>
      <c r="B6" s="692"/>
      <c r="C6" s="672" t="s">
        <v>492</v>
      </c>
      <c r="D6" s="672"/>
      <c r="E6" s="672"/>
      <c r="F6" s="672"/>
      <c r="G6" s="672"/>
      <c r="H6" s="672"/>
      <c r="I6" s="672"/>
      <c r="J6" s="672"/>
      <c r="K6" s="672"/>
      <c r="L6" s="672"/>
      <c r="M6" s="672"/>
      <c r="N6" s="672"/>
      <c r="O6" s="672"/>
      <c r="P6" s="672"/>
      <c r="Q6" s="672"/>
      <c r="R6" s="672"/>
      <c r="S6" s="672"/>
      <c r="T6" s="672"/>
      <c r="U6" s="672"/>
      <c r="V6" s="672"/>
      <c r="W6" s="673"/>
    </row>
    <row r="7" spans="1:107" s="30" customFormat="1" x14ac:dyDescent="0.25">
      <c r="A7" s="688" t="s">
        <v>212</v>
      </c>
      <c r="B7" s="688"/>
      <c r="C7" s="693" t="s">
        <v>677</v>
      </c>
      <c r="D7" s="694"/>
      <c r="E7" s="694"/>
      <c r="F7" s="694"/>
      <c r="G7" s="694"/>
      <c r="H7" s="694"/>
      <c r="I7" s="694"/>
      <c r="J7" s="694"/>
      <c r="K7" s="694"/>
      <c r="L7" s="694"/>
      <c r="M7" s="694"/>
      <c r="N7" s="694"/>
      <c r="O7" s="694"/>
      <c r="P7" s="694"/>
      <c r="Q7" s="694"/>
      <c r="R7" s="694"/>
      <c r="S7" s="694"/>
      <c r="T7" s="694"/>
      <c r="U7" s="694"/>
      <c r="V7" s="694"/>
      <c r="W7" s="695"/>
    </row>
    <row r="8" spans="1:107" s="30" customFormat="1" ht="104.25" customHeight="1" thickBot="1" x14ac:dyDescent="0.3">
      <c r="A8" s="656" t="s">
        <v>213</v>
      </c>
      <c r="B8" s="657"/>
      <c r="C8" s="672" t="s">
        <v>637</v>
      </c>
      <c r="D8" s="672"/>
      <c r="E8" s="672"/>
      <c r="F8" s="672"/>
      <c r="G8" s="672"/>
      <c r="H8" s="672"/>
      <c r="I8" s="672"/>
      <c r="J8" s="672"/>
      <c r="K8" s="672"/>
      <c r="L8" s="672"/>
      <c r="M8" s="672"/>
      <c r="N8" s="672"/>
      <c r="O8" s="672"/>
      <c r="P8" s="672"/>
      <c r="Q8" s="672"/>
      <c r="R8" s="672"/>
      <c r="S8" s="672"/>
      <c r="T8" s="672"/>
      <c r="U8" s="672"/>
      <c r="V8" s="672"/>
      <c r="W8" s="673"/>
    </row>
    <row r="9" spans="1:107" s="286" customFormat="1" ht="15" customHeight="1" x14ac:dyDescent="0.25">
      <c r="A9" s="31"/>
    </row>
    <row r="10" spans="1:107" s="286" customFormat="1" ht="15" customHeight="1" x14ac:dyDescent="0.25">
      <c r="A10" s="31"/>
    </row>
    <row r="11" spans="1:107" s="286" customFormat="1" ht="15.75" customHeight="1" thickBot="1" x14ac:dyDescent="0.3">
      <c r="A11" s="31"/>
    </row>
    <row r="12" spans="1:107" s="32" customFormat="1" ht="28.5" customHeight="1" x14ac:dyDescent="0.25">
      <c r="A12" s="658" t="s">
        <v>432</v>
      </c>
      <c r="B12" s="706" t="s">
        <v>215</v>
      </c>
      <c r="C12" s="679" t="s">
        <v>206</v>
      </c>
      <c r="D12" s="679" t="s">
        <v>25</v>
      </c>
      <c r="E12" s="709" t="s">
        <v>214</v>
      </c>
      <c r="F12" s="712" t="s">
        <v>26</v>
      </c>
      <c r="G12" s="713"/>
      <c r="H12" s="713"/>
      <c r="I12" s="713"/>
      <c r="J12" s="714"/>
      <c r="K12" s="314"/>
      <c r="L12" s="685" t="s">
        <v>493</v>
      </c>
      <c r="M12" s="686"/>
      <c r="N12" s="686"/>
      <c r="O12" s="686"/>
      <c r="P12" s="686"/>
      <c r="Q12" s="686"/>
      <c r="R12" s="686"/>
      <c r="S12" s="686"/>
      <c r="T12" s="686"/>
      <c r="U12" s="686"/>
      <c r="V12" s="686"/>
      <c r="W12" s="687"/>
      <c r="X12" s="722" t="s">
        <v>390</v>
      </c>
      <c r="Y12" s="658" t="s">
        <v>391</v>
      </c>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1"/>
      <c r="CD12" s="31"/>
      <c r="CE12" s="31"/>
      <c r="CF12" s="31"/>
      <c r="CG12" s="31"/>
      <c r="CH12" s="31"/>
      <c r="CI12" s="31"/>
      <c r="CJ12" s="31"/>
      <c r="CK12" s="31"/>
      <c r="CL12" s="31"/>
      <c r="CM12" s="31"/>
      <c r="CN12" s="31"/>
      <c r="CO12" s="31"/>
      <c r="CP12" s="31"/>
      <c r="CQ12" s="31"/>
      <c r="CR12" s="31"/>
    </row>
    <row r="13" spans="1:107" s="32" customFormat="1" x14ac:dyDescent="0.25">
      <c r="A13" s="659"/>
      <c r="B13" s="707"/>
      <c r="C13" s="680"/>
      <c r="D13" s="680"/>
      <c r="E13" s="710"/>
      <c r="F13" s="667" t="s">
        <v>207</v>
      </c>
      <c r="G13" s="670" t="s">
        <v>393</v>
      </c>
      <c r="H13" s="670" t="s">
        <v>209</v>
      </c>
      <c r="I13" s="670" t="s">
        <v>210</v>
      </c>
      <c r="J13" s="716" t="s">
        <v>211</v>
      </c>
      <c r="K13" s="315"/>
      <c r="L13" s="682" t="s">
        <v>208</v>
      </c>
      <c r="M13" s="683"/>
      <c r="N13" s="683"/>
      <c r="O13" s="683"/>
      <c r="P13" s="683"/>
      <c r="Q13" s="683"/>
      <c r="R13" s="683"/>
      <c r="S13" s="683"/>
      <c r="T13" s="683"/>
      <c r="U13" s="683"/>
      <c r="V13" s="683"/>
      <c r="W13" s="684"/>
      <c r="X13" s="723"/>
      <c r="Y13" s="659"/>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c r="CQ13" s="31"/>
      <c r="CR13" s="31"/>
      <c r="CS13" s="31"/>
      <c r="CT13" s="31"/>
    </row>
    <row r="14" spans="1:107" s="32" customFormat="1" x14ac:dyDescent="0.25">
      <c r="A14" s="659"/>
      <c r="B14" s="707"/>
      <c r="C14" s="680"/>
      <c r="D14" s="680"/>
      <c r="E14" s="710"/>
      <c r="F14" s="668"/>
      <c r="G14" s="671"/>
      <c r="H14" s="671"/>
      <c r="I14" s="671"/>
      <c r="J14" s="717"/>
      <c r="K14" s="316"/>
      <c r="L14" s="682"/>
      <c r="M14" s="683"/>
      <c r="N14" s="683"/>
      <c r="O14" s="683"/>
      <c r="P14" s="683"/>
      <c r="Q14" s="683"/>
      <c r="R14" s="683"/>
      <c r="S14" s="683"/>
      <c r="T14" s="683"/>
      <c r="U14" s="683"/>
      <c r="V14" s="683"/>
      <c r="W14" s="684"/>
      <c r="X14" s="723"/>
      <c r="Y14" s="659"/>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1"/>
      <c r="CK14" s="31"/>
      <c r="CL14" s="31"/>
      <c r="CM14" s="31"/>
      <c r="CN14" s="31"/>
      <c r="CO14" s="31"/>
      <c r="CP14" s="31"/>
      <c r="CQ14" s="31"/>
      <c r="CR14" s="31"/>
      <c r="CS14" s="31"/>
      <c r="CT14" s="31"/>
      <c r="CU14" s="31"/>
      <c r="CV14" s="31"/>
      <c r="CW14" s="31"/>
      <c r="CX14" s="31"/>
      <c r="CY14" s="31"/>
      <c r="CZ14" s="31"/>
      <c r="DA14" s="31"/>
      <c r="DB14" s="31"/>
      <c r="DC14" s="31"/>
    </row>
    <row r="15" spans="1:107" s="32" customFormat="1" ht="126" customHeight="1" x14ac:dyDescent="0.25">
      <c r="A15" s="660"/>
      <c r="B15" s="708"/>
      <c r="C15" s="681"/>
      <c r="D15" s="681"/>
      <c r="E15" s="711"/>
      <c r="F15" s="668"/>
      <c r="G15" s="671"/>
      <c r="H15" s="671"/>
      <c r="I15" s="671"/>
      <c r="J15" s="717"/>
      <c r="K15" s="674" t="s">
        <v>600</v>
      </c>
      <c r="L15" s="715" t="s">
        <v>170</v>
      </c>
      <c r="M15" s="665" t="s">
        <v>171</v>
      </c>
      <c r="N15" s="665" t="s">
        <v>172</v>
      </c>
      <c r="O15" s="665" t="s">
        <v>173</v>
      </c>
      <c r="P15" s="665" t="s">
        <v>174</v>
      </c>
      <c r="Q15" s="665" t="s">
        <v>175</v>
      </c>
      <c r="R15" s="665" t="s">
        <v>176</v>
      </c>
      <c r="S15" s="665" t="s">
        <v>177</v>
      </c>
      <c r="T15" s="665" t="s">
        <v>178</v>
      </c>
      <c r="U15" s="665" t="s">
        <v>179</v>
      </c>
      <c r="V15" s="665" t="s">
        <v>180</v>
      </c>
      <c r="W15" s="696" t="s">
        <v>181</v>
      </c>
      <c r="X15" s="723"/>
      <c r="Y15" s="659"/>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1"/>
      <c r="CM15" s="31"/>
      <c r="CN15" s="31"/>
      <c r="CO15" s="31"/>
      <c r="CP15" s="31"/>
      <c r="CQ15" s="31"/>
      <c r="CR15" s="31"/>
      <c r="CS15" s="31"/>
      <c r="CT15" s="31"/>
      <c r="CU15" s="31"/>
      <c r="CV15" s="31"/>
      <c r="CW15" s="31"/>
      <c r="CX15" s="31"/>
      <c r="CY15" s="31"/>
      <c r="CZ15" s="31"/>
      <c r="DA15" s="31"/>
      <c r="DB15" s="31"/>
      <c r="DC15" s="31"/>
    </row>
    <row r="16" spans="1:107" s="37" customFormat="1" ht="57" customHeight="1" thickBot="1" x14ac:dyDescent="0.3">
      <c r="A16" s="661" t="s">
        <v>216</v>
      </c>
      <c r="B16" s="661"/>
      <c r="C16" s="661"/>
      <c r="D16" s="661"/>
      <c r="E16" s="661"/>
      <c r="F16" s="669"/>
      <c r="G16" s="671"/>
      <c r="H16" s="671"/>
      <c r="I16" s="671"/>
      <c r="J16" s="717"/>
      <c r="K16" s="675"/>
      <c r="L16" s="675"/>
      <c r="M16" s="666"/>
      <c r="N16" s="666"/>
      <c r="O16" s="666"/>
      <c r="P16" s="666"/>
      <c r="Q16" s="666"/>
      <c r="R16" s="666"/>
      <c r="S16" s="666"/>
      <c r="T16" s="666"/>
      <c r="U16" s="666"/>
      <c r="V16" s="666"/>
      <c r="W16" s="697"/>
      <c r="X16" s="724"/>
      <c r="Y16" s="725"/>
    </row>
    <row r="17" spans="1:25" s="37" customFormat="1" ht="204.75" customHeight="1" x14ac:dyDescent="0.25">
      <c r="A17" s="393">
        <v>1</v>
      </c>
      <c r="B17" s="401" t="s">
        <v>356</v>
      </c>
      <c r="C17" s="402" t="s">
        <v>423</v>
      </c>
      <c r="D17" s="402" t="s">
        <v>375</v>
      </c>
      <c r="E17" s="446" t="s">
        <v>621</v>
      </c>
      <c r="F17" s="413" t="s">
        <v>359</v>
      </c>
      <c r="G17" s="414" t="s">
        <v>359</v>
      </c>
      <c r="H17" s="414" t="s">
        <v>359</v>
      </c>
      <c r="I17" s="414" t="s">
        <v>359</v>
      </c>
      <c r="J17" s="415" t="s">
        <v>359</v>
      </c>
      <c r="K17" s="411"/>
      <c r="L17" s="407"/>
      <c r="M17" s="445"/>
      <c r="N17" s="448"/>
      <c r="O17" s="408"/>
      <c r="P17" s="442"/>
      <c r="Q17" s="408"/>
      <c r="R17" s="408"/>
      <c r="S17" s="408"/>
      <c r="T17" s="408"/>
      <c r="U17" s="408"/>
      <c r="V17" s="408"/>
      <c r="W17" s="409"/>
      <c r="X17" s="454" t="s">
        <v>693</v>
      </c>
      <c r="Y17" s="501" t="s">
        <v>694</v>
      </c>
    </row>
    <row r="18" spans="1:25" s="37" customFormat="1" ht="88.5" customHeight="1" x14ac:dyDescent="0.25">
      <c r="A18" s="396">
        <v>2</v>
      </c>
      <c r="B18" s="349" t="s">
        <v>357</v>
      </c>
      <c r="C18" s="261" t="s">
        <v>384</v>
      </c>
      <c r="D18" s="261" t="s">
        <v>375</v>
      </c>
      <c r="E18" s="446" t="s">
        <v>621</v>
      </c>
      <c r="F18" s="262" t="s">
        <v>359</v>
      </c>
      <c r="G18" s="263" t="s">
        <v>359</v>
      </c>
      <c r="H18" s="263" t="s">
        <v>359</v>
      </c>
      <c r="I18" s="263" t="s">
        <v>359</v>
      </c>
      <c r="J18" s="281" t="s">
        <v>359</v>
      </c>
      <c r="K18" s="320"/>
      <c r="L18" s="367"/>
      <c r="M18" s="362"/>
      <c r="N18" s="442"/>
      <c r="O18" s="265"/>
      <c r="P18" s="442"/>
      <c r="Q18" s="265"/>
      <c r="R18" s="265"/>
      <c r="S18" s="265"/>
      <c r="T18" s="319"/>
      <c r="U18" s="265"/>
      <c r="V18" s="319"/>
      <c r="W18" s="266"/>
      <c r="X18" s="454" t="s">
        <v>695</v>
      </c>
      <c r="Y18" s="455" t="s">
        <v>645</v>
      </c>
    </row>
    <row r="19" spans="1:25" s="37" customFormat="1" ht="45" customHeight="1" x14ac:dyDescent="0.25">
      <c r="A19" s="396">
        <v>3</v>
      </c>
      <c r="B19" s="349" t="s">
        <v>578</v>
      </c>
      <c r="C19" s="283" t="s">
        <v>546</v>
      </c>
      <c r="D19" s="283" t="s">
        <v>616</v>
      </c>
      <c r="E19" s="447" t="s">
        <v>583</v>
      </c>
      <c r="F19" s="262" t="s">
        <v>359</v>
      </c>
      <c r="G19" s="263"/>
      <c r="H19" s="263"/>
      <c r="I19" s="263"/>
      <c r="J19" s="281"/>
      <c r="K19" s="345"/>
      <c r="L19" s="268"/>
      <c r="M19" s="265"/>
      <c r="N19" s="265"/>
      <c r="O19" s="265"/>
      <c r="P19" s="265"/>
      <c r="Q19" s="265"/>
      <c r="R19" s="265"/>
      <c r="S19" s="265"/>
      <c r="T19" s="265"/>
      <c r="U19" s="319"/>
      <c r="V19" s="265"/>
      <c r="W19" s="266"/>
      <c r="X19" s="290"/>
      <c r="Y19" s="291"/>
    </row>
    <row r="20" spans="1:25" s="37" customFormat="1" ht="46.5" customHeight="1" x14ac:dyDescent="0.25">
      <c r="A20" s="396">
        <v>4</v>
      </c>
      <c r="B20" s="349" t="s">
        <v>515</v>
      </c>
      <c r="C20" s="283" t="s">
        <v>437</v>
      </c>
      <c r="D20" s="283" t="s">
        <v>547</v>
      </c>
      <c r="E20" s="447" t="s">
        <v>652</v>
      </c>
      <c r="F20" s="262" t="s">
        <v>359</v>
      </c>
      <c r="G20" s="263"/>
      <c r="H20" s="263"/>
      <c r="I20" s="263"/>
      <c r="J20" s="281"/>
      <c r="K20" s="345"/>
      <c r="L20" s="268"/>
      <c r="M20" s="265"/>
      <c r="N20" s="265"/>
      <c r="O20" s="265"/>
      <c r="P20" s="265"/>
      <c r="Q20" s="265"/>
      <c r="R20" s="319"/>
      <c r="S20" s="265"/>
      <c r="T20" s="265"/>
      <c r="U20" s="265"/>
      <c r="V20" s="265"/>
      <c r="W20" s="266"/>
      <c r="X20" s="290"/>
      <c r="Y20" s="291"/>
    </row>
    <row r="21" spans="1:25" s="37" customFormat="1" ht="46.5" customHeight="1" x14ac:dyDescent="0.25">
      <c r="A21" s="396">
        <v>5</v>
      </c>
      <c r="B21" s="349" t="s">
        <v>548</v>
      </c>
      <c r="C21" s="283" t="s">
        <v>437</v>
      </c>
      <c r="D21" s="283" t="s">
        <v>685</v>
      </c>
      <c r="E21" s="447" t="s">
        <v>582</v>
      </c>
      <c r="F21" s="262" t="s">
        <v>359</v>
      </c>
      <c r="G21" s="263"/>
      <c r="H21" s="263"/>
      <c r="I21" s="263"/>
      <c r="J21" s="281"/>
      <c r="K21" s="345"/>
      <c r="L21" s="268"/>
      <c r="M21" s="265"/>
      <c r="N21" s="265"/>
      <c r="O21" s="265"/>
      <c r="P21" s="265"/>
      <c r="Q21" s="364"/>
      <c r="R21" s="319"/>
      <c r="S21" s="265"/>
      <c r="T21" s="265"/>
      <c r="U21" s="265"/>
      <c r="V21" s="265"/>
      <c r="W21" s="266"/>
      <c r="X21" s="502" t="s">
        <v>726</v>
      </c>
      <c r="Y21" s="511"/>
    </row>
    <row r="22" spans="1:25" s="37" customFormat="1" ht="143.25" customHeight="1" x14ac:dyDescent="0.25">
      <c r="A22" s="396">
        <v>6</v>
      </c>
      <c r="B22" s="349" t="s">
        <v>539</v>
      </c>
      <c r="C22" s="283" t="s">
        <v>543</v>
      </c>
      <c r="D22" s="283" t="s">
        <v>549</v>
      </c>
      <c r="E22" s="447" t="s">
        <v>631</v>
      </c>
      <c r="F22" s="262" t="s">
        <v>359</v>
      </c>
      <c r="G22" s="263"/>
      <c r="H22" s="263"/>
      <c r="I22" s="263"/>
      <c r="J22" s="281"/>
      <c r="K22" s="345"/>
      <c r="L22" s="268"/>
      <c r="M22" s="265"/>
      <c r="N22" s="265"/>
      <c r="O22" s="265"/>
      <c r="P22" s="442"/>
      <c r="Q22" s="364"/>
      <c r="R22" s="319"/>
      <c r="S22" s="265"/>
      <c r="T22" s="265"/>
      <c r="U22" s="265"/>
      <c r="V22" s="265"/>
      <c r="W22" s="266"/>
      <c r="X22" s="502" t="s">
        <v>721</v>
      </c>
      <c r="Y22" s="455" t="s">
        <v>665</v>
      </c>
    </row>
    <row r="23" spans="1:25" s="37" customFormat="1" ht="143.25" customHeight="1" x14ac:dyDescent="0.25">
      <c r="A23" s="416">
        <v>7</v>
      </c>
      <c r="B23" s="349" t="s">
        <v>541</v>
      </c>
      <c r="C23" s="283" t="s">
        <v>542</v>
      </c>
      <c r="D23" s="283" t="s">
        <v>549</v>
      </c>
      <c r="E23" s="447" t="s">
        <v>584</v>
      </c>
      <c r="F23" s="262" t="s">
        <v>359</v>
      </c>
      <c r="G23" s="263"/>
      <c r="H23" s="263"/>
      <c r="I23" s="263"/>
      <c r="J23" s="281"/>
      <c r="K23" s="345"/>
      <c r="L23" s="268"/>
      <c r="M23" s="265"/>
      <c r="N23" s="265"/>
      <c r="O23" s="265"/>
      <c r="P23" s="265"/>
      <c r="Q23" s="265"/>
      <c r="R23" s="319"/>
      <c r="S23" s="319"/>
      <c r="T23" s="265"/>
      <c r="U23" s="265"/>
      <c r="V23" s="265"/>
      <c r="W23" s="266"/>
      <c r="X23" s="457"/>
      <c r="Y23" s="454" t="s">
        <v>688</v>
      </c>
    </row>
    <row r="24" spans="1:25" s="37" customFormat="1" ht="120" customHeight="1" x14ac:dyDescent="0.25">
      <c r="A24" s="396">
        <v>8</v>
      </c>
      <c r="B24" s="350" t="s">
        <v>540</v>
      </c>
      <c r="C24" s="283" t="s">
        <v>542</v>
      </c>
      <c r="D24" s="283" t="s">
        <v>549</v>
      </c>
      <c r="E24" s="447" t="s">
        <v>585</v>
      </c>
      <c r="F24" s="269" t="s">
        <v>359</v>
      </c>
      <c r="G24" s="270"/>
      <c r="H24" s="270"/>
      <c r="I24" s="270"/>
      <c r="J24" s="351"/>
      <c r="K24" s="345"/>
      <c r="L24" s="272"/>
      <c r="M24" s="273"/>
      <c r="N24" s="265"/>
      <c r="O24" s="442"/>
      <c r="P24" s="442"/>
      <c r="Q24" s="364"/>
      <c r="R24" s="265"/>
      <c r="S24" s="265"/>
      <c r="T24" s="265"/>
      <c r="U24" s="265"/>
      <c r="V24" s="265"/>
      <c r="W24" s="266"/>
      <c r="X24" s="290"/>
      <c r="Y24" s="456" t="s">
        <v>702</v>
      </c>
    </row>
    <row r="25" spans="1:25" s="37" customFormat="1" ht="49.5" customHeight="1" x14ac:dyDescent="0.25">
      <c r="A25" s="396">
        <v>9</v>
      </c>
      <c r="B25" s="479" t="s">
        <v>544</v>
      </c>
      <c r="C25" s="283" t="s">
        <v>437</v>
      </c>
      <c r="D25" s="261" t="s">
        <v>550</v>
      </c>
      <c r="E25" s="447" t="s">
        <v>618</v>
      </c>
      <c r="F25" s="269" t="s">
        <v>359</v>
      </c>
      <c r="G25" s="270"/>
      <c r="H25" s="270"/>
      <c r="I25" s="270"/>
      <c r="J25" s="351"/>
      <c r="K25" s="345"/>
      <c r="L25" s="355"/>
      <c r="M25" s="356"/>
      <c r="N25" s="442"/>
      <c r="O25" s="442"/>
      <c r="P25" s="265"/>
      <c r="Q25" s="265"/>
      <c r="R25" s="265"/>
      <c r="S25" s="265"/>
      <c r="T25" s="265"/>
      <c r="U25" s="265"/>
      <c r="V25" s="265"/>
      <c r="W25" s="266"/>
      <c r="X25" s="509" t="s">
        <v>727</v>
      </c>
      <c r="Y25" s="511"/>
    </row>
    <row r="26" spans="1:25" s="37" customFormat="1" ht="108" customHeight="1" x14ac:dyDescent="0.25">
      <c r="A26" s="416">
        <v>10</v>
      </c>
      <c r="B26" s="479" t="s">
        <v>572</v>
      </c>
      <c r="C26" s="283" t="s">
        <v>437</v>
      </c>
      <c r="D26" s="261" t="s">
        <v>550</v>
      </c>
      <c r="E26" s="447" t="s">
        <v>653</v>
      </c>
      <c r="F26" s="269" t="s">
        <v>359</v>
      </c>
      <c r="G26" s="270"/>
      <c r="H26" s="270"/>
      <c r="I26" s="270"/>
      <c r="J26" s="351"/>
      <c r="K26" s="345"/>
      <c r="L26" s="272"/>
      <c r="M26" s="356"/>
      <c r="N26" s="380"/>
      <c r="O26" s="444"/>
      <c r="P26" s="443"/>
      <c r="Q26" s="265"/>
      <c r="R26" s="265"/>
      <c r="S26" s="265"/>
      <c r="T26" s="265"/>
      <c r="U26" s="265"/>
      <c r="V26" s="265"/>
      <c r="W26" s="266"/>
      <c r="X26" s="512"/>
      <c r="Y26" s="456" t="s">
        <v>729</v>
      </c>
    </row>
    <row r="27" spans="1:25" s="37" customFormat="1" ht="46.5" customHeight="1" x14ac:dyDescent="0.25">
      <c r="A27" s="396">
        <v>11</v>
      </c>
      <c r="B27" s="350" t="s">
        <v>573</v>
      </c>
      <c r="C27" s="283" t="s">
        <v>437</v>
      </c>
      <c r="D27" s="261" t="s">
        <v>550</v>
      </c>
      <c r="E27" s="447" t="s">
        <v>622</v>
      </c>
      <c r="F27" s="269" t="s">
        <v>359</v>
      </c>
      <c r="G27" s="270"/>
      <c r="H27" s="270"/>
      <c r="I27" s="270"/>
      <c r="J27" s="351"/>
      <c r="K27" s="345"/>
      <c r="L27" s="272"/>
      <c r="M27" s="356"/>
      <c r="N27" s="273"/>
      <c r="O27" s="265"/>
      <c r="P27" s="265"/>
      <c r="Q27" s="265"/>
      <c r="R27" s="265"/>
      <c r="S27" s="319"/>
      <c r="T27" s="319"/>
      <c r="U27" s="265"/>
      <c r="V27" s="265"/>
      <c r="W27" s="266"/>
      <c r="X27" s="290"/>
      <c r="Y27" s="291" t="s">
        <v>666</v>
      </c>
    </row>
    <row r="28" spans="1:25" s="37" customFormat="1" ht="78.75" customHeight="1" x14ac:dyDescent="0.25">
      <c r="A28" s="396">
        <v>12</v>
      </c>
      <c r="B28" s="479" t="s">
        <v>574</v>
      </c>
      <c r="C28" s="304" t="s">
        <v>437</v>
      </c>
      <c r="D28" s="261" t="s">
        <v>551</v>
      </c>
      <c r="E28" s="447" t="s">
        <v>667</v>
      </c>
      <c r="F28" s="269" t="s">
        <v>359</v>
      </c>
      <c r="G28" s="270"/>
      <c r="H28" s="270"/>
      <c r="I28" s="270"/>
      <c r="J28" s="351"/>
      <c r="K28" s="345"/>
      <c r="L28" s="272"/>
      <c r="M28" s="273"/>
      <c r="N28" s="273"/>
      <c r="O28" s="273"/>
      <c r="P28" s="265"/>
      <c r="Q28" s="265"/>
      <c r="R28" s="319"/>
      <c r="S28" s="319"/>
      <c r="T28" s="265"/>
      <c r="U28" s="319"/>
      <c r="V28" s="319"/>
      <c r="W28" s="266"/>
      <c r="X28" s="290"/>
      <c r="Y28" s="291"/>
    </row>
    <row r="29" spans="1:25" s="37" customFormat="1" ht="93" customHeight="1" x14ac:dyDescent="0.25">
      <c r="A29" s="396">
        <v>13</v>
      </c>
      <c r="B29" s="479" t="s">
        <v>545</v>
      </c>
      <c r="C29" s="498" t="s">
        <v>437</v>
      </c>
      <c r="D29" s="497" t="s">
        <v>552</v>
      </c>
      <c r="E29" s="503" t="s">
        <v>654</v>
      </c>
      <c r="F29" s="269" t="s">
        <v>359</v>
      </c>
      <c r="G29" s="270"/>
      <c r="H29" s="270"/>
      <c r="I29" s="270"/>
      <c r="J29" s="351"/>
      <c r="K29" s="345"/>
      <c r="L29" s="272"/>
      <c r="M29" s="273"/>
      <c r="N29" s="356"/>
      <c r="O29" s="265"/>
      <c r="P29" s="265"/>
      <c r="Q29" s="364"/>
      <c r="R29" s="319"/>
      <c r="S29" s="319"/>
      <c r="T29" s="265"/>
      <c r="U29" s="265"/>
      <c r="V29" s="265"/>
      <c r="W29" s="266"/>
      <c r="X29" s="458"/>
      <c r="Y29" s="456" t="s">
        <v>708</v>
      </c>
    </row>
    <row r="30" spans="1:25" s="37" customFormat="1" ht="90.75" customHeight="1" x14ac:dyDescent="0.25">
      <c r="A30" s="396">
        <v>14</v>
      </c>
      <c r="B30" s="479" t="s">
        <v>553</v>
      </c>
      <c r="C30" s="283" t="s">
        <v>437</v>
      </c>
      <c r="D30" s="261" t="s">
        <v>554</v>
      </c>
      <c r="E30" s="503" t="s">
        <v>668</v>
      </c>
      <c r="F30" s="269" t="s">
        <v>359</v>
      </c>
      <c r="G30" s="270"/>
      <c r="H30" s="270"/>
      <c r="I30" s="270"/>
      <c r="J30" s="351"/>
      <c r="K30" s="345"/>
      <c r="L30" s="272"/>
      <c r="M30" s="273"/>
      <c r="N30" s="273"/>
      <c r="O30" s="273"/>
      <c r="P30" s="265"/>
      <c r="Q30" s="364"/>
      <c r="R30" s="319"/>
      <c r="S30" s="319"/>
      <c r="T30" s="265"/>
      <c r="U30" s="265"/>
      <c r="V30" s="265"/>
      <c r="W30" s="266"/>
      <c r="X30" s="290"/>
      <c r="Y30" s="291"/>
    </row>
    <row r="31" spans="1:25" s="37" customFormat="1" ht="73.5" customHeight="1" x14ac:dyDescent="0.25">
      <c r="A31" s="416">
        <v>16</v>
      </c>
      <c r="B31" s="479" t="s">
        <v>557</v>
      </c>
      <c r="C31" s="283" t="s">
        <v>437</v>
      </c>
      <c r="D31" s="261" t="s">
        <v>556</v>
      </c>
      <c r="E31" s="503" t="s">
        <v>584</v>
      </c>
      <c r="F31" s="269" t="s">
        <v>359</v>
      </c>
      <c r="G31" s="270"/>
      <c r="H31" s="270"/>
      <c r="I31" s="270"/>
      <c r="J31" s="351"/>
      <c r="K31" s="345"/>
      <c r="L31" s="272"/>
      <c r="M31" s="440"/>
      <c r="N31" s="440"/>
      <c r="O31" s="273"/>
      <c r="P31" s="265"/>
      <c r="Q31" s="364"/>
      <c r="R31" s="265"/>
      <c r="S31" s="265"/>
      <c r="T31" s="265"/>
      <c r="U31" s="319"/>
      <c r="V31" s="265"/>
      <c r="W31" s="266"/>
      <c r="X31" s="454" t="s">
        <v>641</v>
      </c>
      <c r="Y31" s="456" t="s">
        <v>689</v>
      </c>
    </row>
    <row r="32" spans="1:25" s="37" customFormat="1" ht="46.9" customHeight="1" x14ac:dyDescent="0.25">
      <c r="A32" s="396">
        <v>17</v>
      </c>
      <c r="B32" s="479" t="s">
        <v>679</v>
      </c>
      <c r="C32" s="498" t="s">
        <v>437</v>
      </c>
      <c r="D32" s="497" t="s">
        <v>552</v>
      </c>
      <c r="E32" s="503" t="s">
        <v>683</v>
      </c>
      <c r="F32" s="269" t="s">
        <v>359</v>
      </c>
      <c r="G32" s="270"/>
      <c r="H32" s="270"/>
      <c r="I32" s="270"/>
      <c r="J32" s="351"/>
      <c r="K32" s="345"/>
      <c r="L32" s="272"/>
      <c r="M32" s="273"/>
      <c r="N32" s="273"/>
      <c r="O32" s="265"/>
      <c r="P32" s="265"/>
      <c r="Q32" s="265"/>
      <c r="R32" s="319"/>
      <c r="S32" s="319"/>
      <c r="T32" s="319"/>
      <c r="U32" s="265"/>
      <c r="V32" s="265"/>
      <c r="W32" s="266"/>
      <c r="X32" s="290"/>
      <c r="Y32" s="291" t="s">
        <v>655</v>
      </c>
    </row>
    <row r="33" spans="1:25" s="37" customFormat="1" ht="45" customHeight="1" x14ac:dyDescent="0.25">
      <c r="A33" s="396">
        <v>18</v>
      </c>
      <c r="B33" s="357" t="s">
        <v>680</v>
      </c>
      <c r="C33" s="283" t="s">
        <v>437</v>
      </c>
      <c r="D33" s="261" t="s">
        <v>552</v>
      </c>
      <c r="E33" s="503" t="s">
        <v>684</v>
      </c>
      <c r="F33" s="269" t="s">
        <v>359</v>
      </c>
      <c r="G33" s="270"/>
      <c r="H33" s="270"/>
      <c r="I33" s="270"/>
      <c r="J33" s="351"/>
      <c r="K33" s="345"/>
      <c r="L33" s="272"/>
      <c r="M33" s="273"/>
      <c r="N33" s="273"/>
      <c r="O33" s="273"/>
      <c r="P33" s="265"/>
      <c r="Q33" s="265"/>
      <c r="R33" s="265"/>
      <c r="S33" s="265"/>
      <c r="T33" s="265"/>
      <c r="U33" s="319"/>
      <c r="V33" s="319"/>
      <c r="W33" s="319"/>
      <c r="X33" s="290"/>
      <c r="Y33" s="291" t="s">
        <v>655</v>
      </c>
    </row>
    <row r="34" spans="1:25" s="37" customFormat="1" ht="46.5" customHeight="1" x14ac:dyDescent="0.25">
      <c r="A34" s="396">
        <v>19</v>
      </c>
      <c r="B34" s="357" t="s">
        <v>555</v>
      </c>
      <c r="C34" s="283" t="s">
        <v>437</v>
      </c>
      <c r="D34" s="302" t="s">
        <v>558</v>
      </c>
      <c r="E34" s="503" t="s">
        <v>588</v>
      </c>
      <c r="F34" s="269" t="s">
        <v>359</v>
      </c>
      <c r="G34" s="270"/>
      <c r="H34" s="270"/>
      <c r="I34" s="270"/>
      <c r="J34" s="351"/>
      <c r="K34" s="345"/>
      <c r="L34" s="272"/>
      <c r="M34" s="273"/>
      <c r="N34" s="273"/>
      <c r="O34" s="273"/>
      <c r="P34" s="265"/>
      <c r="Q34" s="265"/>
      <c r="R34" s="265"/>
      <c r="S34" s="265"/>
      <c r="T34" s="319"/>
      <c r="U34" s="319"/>
      <c r="V34" s="319"/>
      <c r="W34" s="266"/>
      <c r="X34" s="290"/>
      <c r="Y34" s="291"/>
    </row>
    <row r="35" spans="1:25" s="37" customFormat="1" ht="58.9" customHeight="1" x14ac:dyDescent="0.25">
      <c r="A35" s="396">
        <v>20</v>
      </c>
      <c r="B35" s="357" t="s">
        <v>681</v>
      </c>
      <c r="C35" s="498" t="s">
        <v>437</v>
      </c>
      <c r="D35" s="497" t="s">
        <v>552</v>
      </c>
      <c r="E35" s="503" t="s">
        <v>682</v>
      </c>
      <c r="F35" s="269" t="s">
        <v>359</v>
      </c>
      <c r="G35" s="270"/>
      <c r="H35" s="270"/>
      <c r="I35" s="270"/>
      <c r="J35" s="351"/>
      <c r="K35" s="345"/>
      <c r="L35" s="272"/>
      <c r="M35" s="273"/>
      <c r="N35" s="273"/>
      <c r="O35" s="265"/>
      <c r="P35" s="265"/>
      <c r="Q35" s="265"/>
      <c r="R35" s="265"/>
      <c r="S35" s="319"/>
      <c r="T35" s="319"/>
      <c r="U35" s="265"/>
      <c r="V35" s="265"/>
      <c r="W35" s="265"/>
      <c r="X35" s="290"/>
      <c r="Y35" s="291"/>
    </row>
    <row r="36" spans="1:25" s="37" customFormat="1" ht="78.75" customHeight="1" thickBot="1" x14ac:dyDescent="0.3">
      <c r="A36" s="397">
        <f>+A35+1</f>
        <v>21</v>
      </c>
      <c r="B36" s="399" t="s">
        <v>567</v>
      </c>
      <c r="C36" s="417" t="s">
        <v>437</v>
      </c>
      <c r="D36" s="418" t="s">
        <v>568</v>
      </c>
      <c r="E36" s="452" t="s">
        <v>596</v>
      </c>
      <c r="F36" s="419" t="s">
        <v>359</v>
      </c>
      <c r="G36" s="420"/>
      <c r="H36" s="420"/>
      <c r="I36" s="420"/>
      <c r="J36" s="391"/>
      <c r="K36" s="412"/>
      <c r="L36" s="410"/>
      <c r="M36" s="441"/>
      <c r="N36" s="441"/>
      <c r="O36" s="352"/>
      <c r="P36" s="352"/>
      <c r="Q36" s="352"/>
      <c r="R36" s="352"/>
      <c r="S36" s="352"/>
      <c r="T36" s="352"/>
      <c r="U36" s="352"/>
      <c r="V36" s="352"/>
      <c r="W36" s="383"/>
      <c r="X36" s="457"/>
      <c r="Y36" s="455" t="s">
        <v>617</v>
      </c>
    </row>
    <row r="37" spans="1:25" s="37" customFormat="1" ht="28.5" customHeight="1" thickBot="1" x14ac:dyDescent="0.3">
      <c r="A37" s="676" t="s">
        <v>387</v>
      </c>
      <c r="B37" s="677"/>
      <c r="C37" s="677"/>
      <c r="D37" s="677"/>
      <c r="E37" s="677"/>
      <c r="F37" s="677"/>
      <c r="G37" s="677"/>
      <c r="H37" s="677"/>
      <c r="I37" s="677"/>
      <c r="J37" s="677"/>
      <c r="K37" s="677"/>
      <c r="L37" s="677"/>
      <c r="M37" s="677"/>
      <c r="N37" s="677"/>
      <c r="O37" s="677"/>
      <c r="P37" s="677"/>
      <c r="Q37" s="677"/>
      <c r="R37" s="677"/>
      <c r="S37" s="677"/>
      <c r="T37" s="677"/>
      <c r="U37" s="677"/>
      <c r="V37" s="677"/>
      <c r="W37" s="678"/>
      <c r="X37" s="290"/>
      <c r="Y37" s="291"/>
    </row>
    <row r="38" spans="1:25" s="37" customFormat="1" ht="409.5" customHeight="1" thickBot="1" x14ac:dyDescent="0.3">
      <c r="A38" s="397">
        <f>+A36+1</f>
        <v>22</v>
      </c>
      <c r="B38" s="317" t="s">
        <v>441</v>
      </c>
      <c r="C38" s="317" t="s">
        <v>442</v>
      </c>
      <c r="D38" s="317" t="s">
        <v>443</v>
      </c>
      <c r="E38" s="447" t="s">
        <v>589</v>
      </c>
      <c r="F38" s="358"/>
      <c r="G38" s="359"/>
      <c r="H38" s="359"/>
      <c r="I38" s="359" t="s">
        <v>359</v>
      </c>
      <c r="J38" s="360"/>
      <c r="K38" s="345"/>
      <c r="L38" s="369"/>
      <c r="M38" s="443"/>
      <c r="N38" s="443"/>
      <c r="O38" s="443"/>
      <c r="P38" s="443"/>
      <c r="Q38" s="353"/>
      <c r="R38" s="322"/>
      <c r="S38" s="322"/>
      <c r="T38" s="322"/>
      <c r="U38" s="322"/>
      <c r="V38" s="322"/>
      <c r="W38" s="323"/>
      <c r="X38" s="454" t="s">
        <v>709</v>
      </c>
      <c r="Y38" s="455" t="s">
        <v>710</v>
      </c>
    </row>
    <row r="39" spans="1:25" s="37" customFormat="1" ht="83.25" customHeight="1" x14ac:dyDescent="0.25">
      <c r="A39" s="375">
        <f>+A38+1</f>
        <v>23</v>
      </c>
      <c r="B39" s="280" t="s">
        <v>444</v>
      </c>
      <c r="C39" s="280" t="s">
        <v>442</v>
      </c>
      <c r="D39" s="280" t="s">
        <v>445</v>
      </c>
      <c r="E39" s="447" t="s">
        <v>678</v>
      </c>
      <c r="F39" s="421"/>
      <c r="G39" s="422"/>
      <c r="H39" s="422"/>
      <c r="I39" s="422" t="s">
        <v>359</v>
      </c>
      <c r="J39" s="423"/>
      <c r="K39" s="348"/>
      <c r="L39" s="307"/>
      <c r="M39" s="273"/>
      <c r="N39" s="273"/>
      <c r="O39" s="273"/>
      <c r="P39" s="273"/>
      <c r="Q39" s="273"/>
      <c r="R39" s="476"/>
      <c r="S39" s="476"/>
      <c r="T39" s="380"/>
      <c r="U39" s="380"/>
      <c r="V39" s="380"/>
      <c r="W39" s="377"/>
      <c r="X39" s="505" t="s">
        <v>711</v>
      </c>
      <c r="Y39" s="504" t="s">
        <v>656</v>
      </c>
    </row>
    <row r="40" spans="1:25" s="478" customFormat="1" ht="83.25" customHeight="1" thickBot="1" x14ac:dyDescent="0.3">
      <c r="A40" s="375">
        <f>+A39+1</f>
        <v>24</v>
      </c>
      <c r="B40" s="280" t="s">
        <v>660</v>
      </c>
      <c r="C40" s="280" t="s">
        <v>442</v>
      </c>
      <c r="D40" s="280" t="s">
        <v>661</v>
      </c>
      <c r="E40" s="447" t="s">
        <v>678</v>
      </c>
      <c r="F40" s="422"/>
      <c r="G40" s="422"/>
      <c r="H40" s="422"/>
      <c r="I40" s="422"/>
      <c r="J40" s="422"/>
      <c r="K40" s="493"/>
      <c r="L40" s="273"/>
      <c r="M40" s="273"/>
      <c r="N40" s="273"/>
      <c r="O40" s="273"/>
      <c r="P40" s="273"/>
      <c r="Q40" s="273"/>
      <c r="R40" s="273"/>
      <c r="S40" s="273"/>
      <c r="T40" s="476"/>
      <c r="U40" s="476"/>
      <c r="V40" s="273"/>
      <c r="W40" s="273"/>
      <c r="X40" s="505" t="s">
        <v>711</v>
      </c>
      <c r="Y40" s="291"/>
    </row>
    <row r="41" spans="1:25" s="37" customFormat="1" ht="29.25" thickBot="1" x14ac:dyDescent="0.3">
      <c r="A41" s="662" t="s">
        <v>217</v>
      </c>
      <c r="B41" s="663"/>
      <c r="C41" s="663"/>
      <c r="D41" s="663"/>
      <c r="E41" s="663"/>
      <c r="F41" s="663"/>
      <c r="G41" s="663"/>
      <c r="H41" s="663"/>
      <c r="I41" s="663"/>
      <c r="J41" s="663"/>
      <c r="K41" s="663"/>
      <c r="L41" s="663"/>
      <c r="M41" s="663"/>
      <c r="N41" s="663"/>
      <c r="O41" s="663"/>
      <c r="P41" s="663"/>
      <c r="Q41" s="663"/>
      <c r="R41" s="663"/>
      <c r="S41" s="663"/>
      <c r="T41" s="663"/>
      <c r="U41" s="663"/>
      <c r="V41" s="663"/>
      <c r="W41" s="664"/>
      <c r="X41" s="477"/>
      <c r="Y41" s="406"/>
    </row>
    <row r="42" spans="1:25" s="37" customFormat="1" ht="93" customHeight="1" x14ac:dyDescent="0.25">
      <c r="A42" s="292">
        <f>+A40+1</f>
        <v>25</v>
      </c>
      <c r="B42" s="424" t="s">
        <v>581</v>
      </c>
      <c r="C42" s="406" t="s">
        <v>559</v>
      </c>
      <c r="D42" s="425" t="s">
        <v>516</v>
      </c>
      <c r="E42" s="449" t="s">
        <v>630</v>
      </c>
      <c r="F42" s="426"/>
      <c r="G42" s="427" t="s">
        <v>359</v>
      </c>
      <c r="H42" s="427"/>
      <c r="I42" s="427"/>
      <c r="J42" s="311" t="s">
        <v>359</v>
      </c>
      <c r="K42" s="378"/>
      <c r="L42" s="428"/>
      <c r="M42" s="293"/>
      <c r="N42" s="293"/>
      <c r="O42" s="293"/>
      <c r="P42" s="443"/>
      <c r="Q42" s="293"/>
      <c r="R42" s="293"/>
      <c r="S42" s="293"/>
      <c r="T42" s="322"/>
      <c r="U42" s="293"/>
      <c r="V42" s="293"/>
      <c r="W42" s="308"/>
      <c r="X42" s="454" t="s">
        <v>649</v>
      </c>
      <c r="Y42" s="455"/>
    </row>
    <row r="43" spans="1:25" s="37" customFormat="1" ht="69.75" customHeight="1" x14ac:dyDescent="0.25">
      <c r="A43" s="287">
        <f>+A42+1</f>
        <v>26</v>
      </c>
      <c r="B43" s="361" t="s">
        <v>360</v>
      </c>
      <c r="C43" s="301" t="s">
        <v>416</v>
      </c>
      <c r="D43" s="303" t="s">
        <v>517</v>
      </c>
      <c r="E43" s="447" t="s">
        <v>619</v>
      </c>
      <c r="F43" s="262"/>
      <c r="G43" s="263"/>
      <c r="H43" s="263" t="s">
        <v>359</v>
      </c>
      <c r="I43" s="263"/>
      <c r="J43" s="264" t="s">
        <v>359</v>
      </c>
      <c r="K43" s="345"/>
      <c r="L43" s="276"/>
      <c r="M43" s="265"/>
      <c r="N43" s="279"/>
      <c r="O43" s="492"/>
      <c r="P43" s="442"/>
      <c r="Q43" s="265"/>
      <c r="R43" s="319"/>
      <c r="S43" s="265"/>
      <c r="T43" s="265"/>
      <c r="U43" s="319"/>
      <c r="V43" s="265"/>
      <c r="W43" s="293"/>
      <c r="X43" s="454" t="s">
        <v>698</v>
      </c>
      <c r="Y43" s="291"/>
    </row>
    <row r="44" spans="1:25" s="37" customFormat="1" ht="116.25" customHeight="1" x14ac:dyDescent="0.25">
      <c r="A44" s="287">
        <f t="shared" ref="A44:A71" si="0">+A43+1</f>
        <v>27</v>
      </c>
      <c r="B44" s="302" t="s">
        <v>407</v>
      </c>
      <c r="C44" s="261" t="s">
        <v>408</v>
      </c>
      <c r="D44" s="303" t="s">
        <v>518</v>
      </c>
      <c r="E44" s="447" t="s">
        <v>623</v>
      </c>
      <c r="F44" s="262"/>
      <c r="G44" s="263"/>
      <c r="H44" s="263"/>
      <c r="I44" s="263"/>
      <c r="J44" s="264" t="s">
        <v>359</v>
      </c>
      <c r="K44" s="345"/>
      <c r="L44" s="368"/>
      <c r="M44" s="442"/>
      <c r="N44" s="265"/>
      <c r="O44" s="265"/>
      <c r="P44" s="265"/>
      <c r="Q44" s="265"/>
      <c r="R44" s="265"/>
      <c r="S44" s="265"/>
      <c r="T44" s="265"/>
      <c r="U44" s="265"/>
      <c r="V44" s="265"/>
      <c r="W44" s="266"/>
      <c r="X44" s="454" t="s">
        <v>650</v>
      </c>
      <c r="Y44" s="454"/>
    </row>
    <row r="45" spans="1:25" s="37" customFormat="1" ht="139.5" customHeight="1" x14ac:dyDescent="0.25">
      <c r="A45" s="354">
        <f t="shared" si="0"/>
        <v>28</v>
      </c>
      <c r="B45" s="302" t="s">
        <v>409</v>
      </c>
      <c r="C45" s="261" t="s">
        <v>415</v>
      </c>
      <c r="D45" s="301" t="s">
        <v>519</v>
      </c>
      <c r="E45" s="446" t="s">
        <v>597</v>
      </c>
      <c r="F45" s="262"/>
      <c r="G45" s="263"/>
      <c r="H45" s="263"/>
      <c r="I45" s="263"/>
      <c r="J45" s="264" t="s">
        <v>359</v>
      </c>
      <c r="K45" s="345"/>
      <c r="L45" s="368"/>
      <c r="M45" s="265"/>
      <c r="N45" s="265"/>
      <c r="O45" s="265"/>
      <c r="P45" s="265"/>
      <c r="Q45" s="265"/>
      <c r="R45" s="319"/>
      <c r="S45" s="265"/>
      <c r="T45" s="265"/>
      <c r="U45" s="265"/>
      <c r="V45" s="265"/>
      <c r="W45" s="266"/>
      <c r="X45" s="454" t="s">
        <v>638</v>
      </c>
      <c r="Y45" s="454"/>
    </row>
    <row r="46" spans="1:25" s="37" customFormat="1" ht="46.5" customHeight="1" x14ac:dyDescent="0.25">
      <c r="A46" s="287">
        <f t="shared" si="0"/>
        <v>29</v>
      </c>
      <c r="B46" s="361" t="s">
        <v>361</v>
      </c>
      <c r="C46" s="261" t="s">
        <v>728</v>
      </c>
      <c r="D46" s="301" t="s">
        <v>520</v>
      </c>
      <c r="E46" s="447" t="s">
        <v>582</v>
      </c>
      <c r="F46" s="262"/>
      <c r="G46" s="263"/>
      <c r="H46" s="263"/>
      <c r="I46" s="263"/>
      <c r="J46" s="264" t="s">
        <v>359</v>
      </c>
      <c r="K46" s="345"/>
      <c r="L46" s="276"/>
      <c r="M46" s="362" t="s">
        <v>385</v>
      </c>
      <c r="N46" s="442"/>
      <c r="O46" s="442"/>
      <c r="P46" s="442"/>
      <c r="Q46" s="265"/>
      <c r="R46" s="319"/>
      <c r="S46" s="319"/>
      <c r="T46" s="265"/>
      <c r="U46" s="265"/>
      <c r="V46" s="319"/>
      <c r="W46" s="321"/>
      <c r="X46" s="458"/>
      <c r="Y46" s="502" t="s">
        <v>699</v>
      </c>
    </row>
    <row r="47" spans="1:25" s="37" customFormat="1" ht="69.75" customHeight="1" x14ac:dyDescent="0.25">
      <c r="A47" s="287">
        <f t="shared" si="0"/>
        <v>30</v>
      </c>
      <c r="B47" s="302" t="s">
        <v>439</v>
      </c>
      <c r="C47" s="261" t="s">
        <v>440</v>
      </c>
      <c r="D47" s="301" t="s">
        <v>521</v>
      </c>
      <c r="E47" s="447" t="s">
        <v>590</v>
      </c>
      <c r="F47" s="262"/>
      <c r="G47" s="263"/>
      <c r="H47" s="263"/>
      <c r="I47" s="263"/>
      <c r="J47" s="264" t="s">
        <v>359</v>
      </c>
      <c r="K47" s="345"/>
      <c r="L47" s="268"/>
      <c r="M47" s="366"/>
      <c r="N47" s="265"/>
      <c r="O47" s="265"/>
      <c r="P47" s="265"/>
      <c r="Q47" s="265"/>
      <c r="R47" s="265"/>
      <c r="S47" s="265"/>
      <c r="T47" s="265"/>
      <c r="U47" s="265"/>
      <c r="V47" s="265"/>
      <c r="W47" s="266"/>
      <c r="X47" s="454" t="s">
        <v>639</v>
      </c>
      <c r="Y47" s="454"/>
    </row>
    <row r="48" spans="1:25" s="37" customFormat="1" ht="138.75" customHeight="1" x14ac:dyDescent="0.25">
      <c r="A48" s="287">
        <f t="shared" si="0"/>
        <v>31</v>
      </c>
      <c r="B48" s="302" t="s">
        <v>438</v>
      </c>
      <c r="C48" s="261" t="s">
        <v>417</v>
      </c>
      <c r="D48" s="303" t="s">
        <v>516</v>
      </c>
      <c r="E48" s="447" t="s">
        <v>632</v>
      </c>
      <c r="F48" s="262"/>
      <c r="G48" s="263"/>
      <c r="H48" s="263"/>
      <c r="I48" s="263"/>
      <c r="J48" s="264" t="s">
        <v>359</v>
      </c>
      <c r="K48" s="345"/>
      <c r="L48" s="370"/>
      <c r="M48" s="366"/>
      <c r="N48" s="366"/>
      <c r="O48" s="265"/>
      <c r="P48" s="265"/>
      <c r="Q48" s="265"/>
      <c r="R48" s="319"/>
      <c r="S48" s="265"/>
      <c r="T48" s="265"/>
      <c r="U48" s="319"/>
      <c r="V48" s="265"/>
      <c r="W48" s="266"/>
      <c r="X48" s="454" t="s">
        <v>712</v>
      </c>
      <c r="Y48" s="454" t="s">
        <v>646</v>
      </c>
    </row>
    <row r="49" spans="1:28" s="37" customFormat="1" ht="234.75" customHeight="1" x14ac:dyDescent="0.25">
      <c r="A49" s="287">
        <f t="shared" si="0"/>
        <v>32</v>
      </c>
      <c r="B49" s="361" t="s">
        <v>522</v>
      </c>
      <c r="C49" s="261" t="s">
        <v>418</v>
      </c>
      <c r="D49" s="301" t="s">
        <v>523</v>
      </c>
      <c r="E49" s="447" t="s">
        <v>620</v>
      </c>
      <c r="F49" s="262"/>
      <c r="G49" s="263"/>
      <c r="H49" s="263"/>
      <c r="I49" s="263"/>
      <c r="J49" s="264" t="s">
        <v>359</v>
      </c>
      <c r="K49" s="345"/>
      <c r="L49" s="268"/>
      <c r="M49" s="362"/>
      <c r="N49" s="265"/>
      <c r="O49" s="265"/>
      <c r="P49" s="442"/>
      <c r="Q49" s="364"/>
      <c r="R49" s="265"/>
      <c r="S49" s="265"/>
      <c r="T49" s="265"/>
      <c r="U49" s="265"/>
      <c r="V49" s="319"/>
      <c r="W49" s="319"/>
      <c r="X49" s="457"/>
      <c r="Y49" s="455" t="s">
        <v>690</v>
      </c>
    </row>
    <row r="50" spans="1:28" s="37" customFormat="1" ht="239.25" customHeight="1" x14ac:dyDescent="0.25">
      <c r="A50" s="287">
        <f t="shared" si="0"/>
        <v>33</v>
      </c>
      <c r="B50" s="361" t="s">
        <v>368</v>
      </c>
      <c r="C50" s="301" t="s">
        <v>424</v>
      </c>
      <c r="D50" s="301" t="s">
        <v>376</v>
      </c>
      <c r="E50" s="447" t="s">
        <v>624</v>
      </c>
      <c r="F50" s="262"/>
      <c r="G50" s="263"/>
      <c r="H50" s="263"/>
      <c r="I50" s="263"/>
      <c r="J50" s="264" t="s">
        <v>359</v>
      </c>
      <c r="K50" s="345"/>
      <c r="L50" s="363"/>
      <c r="M50" s="442"/>
      <c r="N50" s="492"/>
      <c r="O50" s="265"/>
      <c r="P50" s="492"/>
      <c r="Q50" s="265"/>
      <c r="R50" s="265"/>
      <c r="S50" s="319"/>
      <c r="T50" s="319"/>
      <c r="U50" s="265"/>
      <c r="V50" s="319"/>
      <c r="W50" s="321"/>
      <c r="X50" s="506" t="s">
        <v>722</v>
      </c>
      <c r="Y50" s="455" t="s">
        <v>657</v>
      </c>
    </row>
    <row r="51" spans="1:28" s="37" customFormat="1" ht="46.5" customHeight="1" x14ac:dyDescent="0.25">
      <c r="A51" s="287">
        <f t="shared" si="0"/>
        <v>34</v>
      </c>
      <c r="B51" s="361" t="s">
        <v>580</v>
      </c>
      <c r="C51" s="261" t="s">
        <v>419</v>
      </c>
      <c r="D51" s="301" t="s">
        <v>524</v>
      </c>
      <c r="E51" s="446" t="s">
        <v>633</v>
      </c>
      <c r="F51" s="262"/>
      <c r="G51" s="263"/>
      <c r="H51" s="263"/>
      <c r="I51" s="263"/>
      <c r="J51" s="264" t="s">
        <v>359</v>
      </c>
      <c r="K51" s="345"/>
      <c r="L51" s="268"/>
      <c r="M51" s="362"/>
      <c r="N51" s="492"/>
      <c r="O51" s="492"/>
      <c r="P51" s="492"/>
      <c r="Q51" s="265"/>
      <c r="R51" s="319"/>
      <c r="S51" s="319"/>
      <c r="T51" s="265"/>
      <c r="U51" s="265"/>
      <c r="V51" s="319"/>
      <c r="W51" s="321"/>
      <c r="X51" s="457"/>
      <c r="Y51" s="455" t="s">
        <v>703</v>
      </c>
      <c r="AB51" s="37">
        <f>0.5+0.8+0.6</f>
        <v>1.9</v>
      </c>
    </row>
    <row r="52" spans="1:28" s="37" customFormat="1" ht="164.25" customHeight="1" x14ac:dyDescent="0.25">
      <c r="A52" s="354">
        <f t="shared" si="0"/>
        <v>35</v>
      </c>
      <c r="B52" s="302" t="s">
        <v>362</v>
      </c>
      <c r="C52" s="261" t="s">
        <v>525</v>
      </c>
      <c r="D52" s="301" t="s">
        <v>414</v>
      </c>
      <c r="E52" s="447" t="s">
        <v>584</v>
      </c>
      <c r="F52" s="262"/>
      <c r="G52" s="263"/>
      <c r="H52" s="263"/>
      <c r="I52" s="263"/>
      <c r="J52" s="264" t="s">
        <v>359</v>
      </c>
      <c r="K52" s="345"/>
      <c r="L52" s="268"/>
      <c r="M52" s="442"/>
      <c r="N52" s="442"/>
      <c r="O52" s="265"/>
      <c r="P52" s="265"/>
      <c r="Q52" s="265"/>
      <c r="R52" s="265"/>
      <c r="S52" s="265"/>
      <c r="T52" s="265"/>
      <c r="U52" s="265"/>
      <c r="V52" s="265"/>
      <c r="W52" s="266"/>
      <c r="X52" s="454" t="s">
        <v>642</v>
      </c>
      <c r="Y52" s="456" t="s">
        <v>691</v>
      </c>
    </row>
    <row r="53" spans="1:28" s="37" customFormat="1" ht="144.75" customHeight="1" x14ac:dyDescent="0.25">
      <c r="A53" s="287">
        <f t="shared" si="0"/>
        <v>36</v>
      </c>
      <c r="B53" s="302" t="s">
        <v>526</v>
      </c>
      <c r="C53" s="261" t="s">
        <v>420</v>
      </c>
      <c r="D53" s="301" t="s">
        <v>377</v>
      </c>
      <c r="E53" s="447" t="s">
        <v>592</v>
      </c>
      <c r="F53" s="262"/>
      <c r="G53" s="263"/>
      <c r="H53" s="263"/>
      <c r="I53" s="263"/>
      <c r="J53" s="264" t="s">
        <v>359</v>
      </c>
      <c r="K53" s="345"/>
      <c r="L53" s="371"/>
      <c r="M53" s="442"/>
      <c r="N53" s="265"/>
      <c r="O53" s="265"/>
      <c r="P53" s="265"/>
      <c r="Q53" s="265"/>
      <c r="R53" s="265"/>
      <c r="S53" s="265"/>
      <c r="T53" s="265"/>
      <c r="U53" s="265"/>
      <c r="V53" s="319"/>
      <c r="W53" s="321"/>
      <c r="X53" s="454" t="s">
        <v>713</v>
      </c>
      <c r="Y53" s="455" t="s">
        <v>714</v>
      </c>
    </row>
    <row r="54" spans="1:28" s="37" customFormat="1" ht="46.5" customHeight="1" x14ac:dyDescent="0.25">
      <c r="A54" s="287">
        <f t="shared" si="0"/>
        <v>37</v>
      </c>
      <c r="B54" s="302" t="s">
        <v>363</v>
      </c>
      <c r="C54" s="261" t="s">
        <v>421</v>
      </c>
      <c r="D54" s="301" t="s">
        <v>378</v>
      </c>
      <c r="E54" s="365" t="s">
        <v>669</v>
      </c>
      <c r="F54" s="262"/>
      <c r="G54" s="263"/>
      <c r="H54" s="263"/>
      <c r="I54" s="263"/>
      <c r="J54" s="264" t="s">
        <v>359</v>
      </c>
      <c r="K54" s="345"/>
      <c r="L54" s="371"/>
      <c r="M54" s="442"/>
      <c r="N54" s="265"/>
      <c r="O54" s="442"/>
      <c r="P54" s="442"/>
      <c r="Q54" s="265"/>
      <c r="R54" s="319"/>
      <c r="S54" s="265"/>
      <c r="T54" s="265"/>
      <c r="U54" s="319"/>
      <c r="V54" s="265"/>
      <c r="W54" s="265"/>
      <c r="X54" s="454" t="s">
        <v>647</v>
      </c>
      <c r="Y54" s="454" t="s">
        <v>658</v>
      </c>
    </row>
    <row r="55" spans="1:28" s="37" customFormat="1" ht="146.25" customHeight="1" x14ac:dyDescent="0.25">
      <c r="A55" s="287">
        <f t="shared" si="0"/>
        <v>38</v>
      </c>
      <c r="B55" s="361" t="s">
        <v>364</v>
      </c>
      <c r="C55" s="261" t="s">
        <v>355</v>
      </c>
      <c r="D55" s="303" t="s">
        <v>370</v>
      </c>
      <c r="E55" s="446" t="s">
        <v>670</v>
      </c>
      <c r="F55" s="262"/>
      <c r="G55" s="263"/>
      <c r="H55" s="263"/>
      <c r="I55" s="263"/>
      <c r="J55" s="264" t="s">
        <v>359</v>
      </c>
      <c r="K55" s="345"/>
      <c r="L55" s="371"/>
      <c r="M55" s="442" t="s">
        <v>385</v>
      </c>
      <c r="N55" s="442"/>
      <c r="O55" s="265"/>
      <c r="P55" s="442"/>
      <c r="Q55" s="442"/>
      <c r="R55" s="265"/>
      <c r="S55" s="265"/>
      <c r="T55" s="319"/>
      <c r="U55" s="319"/>
      <c r="V55" s="265"/>
      <c r="W55" s="266"/>
      <c r="X55" s="718" t="s">
        <v>704</v>
      </c>
      <c r="Y55" s="720" t="s">
        <v>705</v>
      </c>
    </row>
    <row r="56" spans="1:28" s="37" customFormat="1" ht="142.5" customHeight="1" x14ac:dyDescent="0.25">
      <c r="A56" s="287">
        <f t="shared" si="0"/>
        <v>39</v>
      </c>
      <c r="B56" s="361" t="s">
        <v>365</v>
      </c>
      <c r="C56" s="261" t="s">
        <v>373</v>
      </c>
      <c r="D56" s="301" t="s">
        <v>375</v>
      </c>
      <c r="E56" s="446" t="s">
        <v>670</v>
      </c>
      <c r="F56" s="262"/>
      <c r="G56" s="263"/>
      <c r="H56" s="263"/>
      <c r="I56" s="263"/>
      <c r="J56" s="264" t="s">
        <v>359</v>
      </c>
      <c r="K56" s="345"/>
      <c r="L56" s="371"/>
      <c r="M56" s="442"/>
      <c r="N56" s="442"/>
      <c r="O56" s="265"/>
      <c r="P56" s="442"/>
      <c r="Q56" s="442"/>
      <c r="R56" s="265"/>
      <c r="S56" s="265"/>
      <c r="T56" s="319"/>
      <c r="U56" s="319"/>
      <c r="V56" s="265"/>
      <c r="W56" s="266"/>
      <c r="X56" s="719"/>
      <c r="Y56" s="721"/>
    </row>
    <row r="57" spans="1:28" s="37" customFormat="1" ht="52.5" customHeight="1" x14ac:dyDescent="0.25">
      <c r="A57" s="287">
        <f t="shared" si="0"/>
        <v>40</v>
      </c>
      <c r="B57" s="302" t="s">
        <v>430</v>
      </c>
      <c r="C57" s="261" t="s">
        <v>422</v>
      </c>
      <c r="D57" s="301" t="s">
        <v>389</v>
      </c>
      <c r="E57" s="446" t="s">
        <v>671</v>
      </c>
      <c r="F57" s="262"/>
      <c r="G57" s="263"/>
      <c r="H57" s="263"/>
      <c r="I57" s="263"/>
      <c r="J57" s="264" t="s">
        <v>359</v>
      </c>
      <c r="K57" s="345"/>
      <c r="L57" s="268"/>
      <c r="M57" s="265"/>
      <c r="N57" s="265" t="s">
        <v>385</v>
      </c>
      <c r="O57" s="442"/>
      <c r="P57" s="442"/>
      <c r="Q57" s="265"/>
      <c r="R57" s="265"/>
      <c r="S57" s="265"/>
      <c r="T57" s="265"/>
      <c r="U57" s="265"/>
      <c r="V57" s="319"/>
      <c r="W57" s="266"/>
      <c r="X57" s="499" t="s">
        <v>700</v>
      </c>
      <c r="Y57" s="499" t="s">
        <v>701</v>
      </c>
    </row>
    <row r="58" spans="1:28" s="37" customFormat="1" ht="51" customHeight="1" x14ac:dyDescent="0.25">
      <c r="A58" s="287">
        <f t="shared" si="0"/>
        <v>41</v>
      </c>
      <c r="B58" s="302" t="s">
        <v>562</v>
      </c>
      <c r="C58" s="261" t="s">
        <v>563</v>
      </c>
      <c r="D58" s="301" t="s">
        <v>564</v>
      </c>
      <c r="E58" s="447" t="s">
        <v>591</v>
      </c>
      <c r="F58" s="262"/>
      <c r="G58" s="263"/>
      <c r="H58" s="263"/>
      <c r="I58" s="263"/>
      <c r="J58" s="264" t="s">
        <v>359</v>
      </c>
      <c r="K58" s="345"/>
      <c r="L58" s="268"/>
      <c r="M58" s="265"/>
      <c r="N58" s="265"/>
      <c r="O58" s="265"/>
      <c r="P58" s="265"/>
      <c r="Q58" s="265"/>
      <c r="R58" s="265"/>
      <c r="S58" s="318"/>
      <c r="T58" s="319"/>
      <c r="U58" s="319"/>
      <c r="V58" s="265"/>
      <c r="W58" s="266"/>
      <c r="X58" s="290"/>
      <c r="Y58" s="291"/>
    </row>
    <row r="59" spans="1:28" s="37" customFormat="1" ht="54.6" customHeight="1" x14ac:dyDescent="0.25">
      <c r="A59" s="287">
        <f t="shared" si="0"/>
        <v>42</v>
      </c>
      <c r="B59" s="361" t="s">
        <v>352</v>
      </c>
      <c r="C59" s="261" t="s">
        <v>379</v>
      </c>
      <c r="D59" s="301" t="s">
        <v>380</v>
      </c>
      <c r="E59" s="447" t="s">
        <v>586</v>
      </c>
      <c r="F59" s="262"/>
      <c r="G59" s="263"/>
      <c r="H59" s="263"/>
      <c r="I59" s="263"/>
      <c r="J59" s="264" t="s">
        <v>359</v>
      </c>
      <c r="K59" s="345"/>
      <c r="L59" s="268"/>
      <c r="M59" s="265"/>
      <c r="N59" s="442"/>
      <c r="O59" s="265"/>
      <c r="P59" s="265"/>
      <c r="Q59" s="265"/>
      <c r="R59" s="265"/>
      <c r="S59" s="265"/>
      <c r="T59" s="265"/>
      <c r="U59" s="319"/>
      <c r="V59" s="265"/>
      <c r="W59" s="266"/>
      <c r="X59" s="454" t="s">
        <v>672</v>
      </c>
      <c r="Y59" s="455"/>
    </row>
    <row r="60" spans="1:28" s="37" customFormat="1" ht="84" customHeight="1" x14ac:dyDescent="0.25">
      <c r="A60" s="287">
        <f t="shared" si="0"/>
        <v>43</v>
      </c>
      <c r="B60" s="302" t="s">
        <v>538</v>
      </c>
      <c r="C60" s="301" t="s">
        <v>425</v>
      </c>
      <c r="D60" s="301" t="s">
        <v>527</v>
      </c>
      <c r="E60" s="446" t="s">
        <v>673</v>
      </c>
      <c r="F60" s="262"/>
      <c r="G60" s="263"/>
      <c r="H60" s="263"/>
      <c r="I60" s="263"/>
      <c r="J60" s="264" t="s">
        <v>359</v>
      </c>
      <c r="K60" s="345"/>
      <c r="L60" s="274"/>
      <c r="M60" s="265"/>
      <c r="N60" s="265"/>
      <c r="O60" s="265"/>
      <c r="P60" s="265"/>
      <c r="Q60" s="364"/>
      <c r="R60" s="265"/>
      <c r="S60" s="265"/>
      <c r="T60" s="265"/>
      <c r="U60" s="265"/>
      <c r="V60" s="265"/>
      <c r="W60" s="321"/>
      <c r="X60" s="505" t="s">
        <v>711</v>
      </c>
      <c r="Y60" s="291"/>
    </row>
    <row r="61" spans="1:28" s="37" customFormat="1" ht="93" customHeight="1" x14ac:dyDescent="0.25">
      <c r="A61" s="354">
        <f t="shared" si="0"/>
        <v>44</v>
      </c>
      <c r="B61" s="302" t="s">
        <v>426</v>
      </c>
      <c r="C61" s="261" t="s">
        <v>528</v>
      </c>
      <c r="D61" s="301" t="s">
        <v>529</v>
      </c>
      <c r="E61" s="447" t="s">
        <v>584</v>
      </c>
      <c r="F61" s="262"/>
      <c r="G61" s="263"/>
      <c r="H61" s="263"/>
      <c r="I61" s="263"/>
      <c r="J61" s="264" t="s">
        <v>359</v>
      </c>
      <c r="K61" s="345"/>
      <c r="L61" s="274"/>
      <c r="M61" s="265"/>
      <c r="N61" s="265"/>
      <c r="O61" s="265"/>
      <c r="P61" s="265"/>
      <c r="Q61" s="364"/>
      <c r="R61" s="265"/>
      <c r="S61" s="265"/>
      <c r="T61" s="319"/>
      <c r="U61" s="265"/>
      <c r="V61" s="265"/>
      <c r="W61" s="266"/>
      <c r="X61" s="457"/>
      <c r="Y61" s="456" t="s">
        <v>692</v>
      </c>
    </row>
    <row r="62" spans="1:28" s="37" customFormat="1" ht="46.5" customHeight="1" x14ac:dyDescent="0.25">
      <c r="A62" s="287">
        <f t="shared" si="0"/>
        <v>45</v>
      </c>
      <c r="B62" s="302" t="s">
        <v>353</v>
      </c>
      <c r="C62" s="261" t="s">
        <v>381</v>
      </c>
      <c r="D62" s="301" t="s">
        <v>530</v>
      </c>
      <c r="E62" s="447" t="s">
        <v>634</v>
      </c>
      <c r="F62" s="275"/>
      <c r="G62" s="267"/>
      <c r="H62" s="267"/>
      <c r="I62" s="267"/>
      <c r="J62" s="264" t="s">
        <v>359</v>
      </c>
      <c r="K62" s="345"/>
      <c r="L62" s="268"/>
      <c r="M62" s="265"/>
      <c r="N62" s="265"/>
      <c r="O62" s="265"/>
      <c r="P62" s="442"/>
      <c r="Q62" s="364"/>
      <c r="R62" s="265"/>
      <c r="S62" s="265"/>
      <c r="T62" s="265"/>
      <c r="U62" s="265"/>
      <c r="V62" s="319"/>
      <c r="W62" s="321"/>
      <c r="X62" s="457" t="s">
        <v>706</v>
      </c>
      <c r="Y62" s="291"/>
    </row>
    <row r="63" spans="1:28" s="37" customFormat="1" ht="46.9" customHeight="1" x14ac:dyDescent="0.25">
      <c r="A63" s="287">
        <f t="shared" si="0"/>
        <v>46</v>
      </c>
      <c r="B63" s="480" t="s">
        <v>367</v>
      </c>
      <c r="C63" s="261" t="s">
        <v>373</v>
      </c>
      <c r="D63" s="301" t="s">
        <v>375</v>
      </c>
      <c r="E63" s="446" t="s">
        <v>625</v>
      </c>
      <c r="F63" s="275"/>
      <c r="G63" s="267"/>
      <c r="H63" s="267" t="s">
        <v>359</v>
      </c>
      <c r="I63" s="267"/>
      <c r="J63" s="264"/>
      <c r="K63" s="345"/>
      <c r="L63" s="371"/>
      <c r="M63" s="442"/>
      <c r="N63" s="442"/>
      <c r="O63" s="442"/>
      <c r="P63" s="442"/>
      <c r="Q63" s="364"/>
      <c r="R63" s="319"/>
      <c r="S63" s="319"/>
      <c r="T63" s="319"/>
      <c r="U63" s="319"/>
      <c r="V63" s="319"/>
      <c r="W63" s="321"/>
      <c r="X63" s="290"/>
      <c r="Y63" s="291"/>
    </row>
    <row r="64" spans="1:28" s="37" customFormat="1" ht="49.5" customHeight="1" x14ac:dyDescent="0.25">
      <c r="A64" s="287">
        <f>+A63+1</f>
        <v>47</v>
      </c>
      <c r="B64" s="372" t="s">
        <v>598</v>
      </c>
      <c r="C64" s="261" t="s">
        <v>410</v>
      </c>
      <c r="D64" s="301" t="s">
        <v>395</v>
      </c>
      <c r="E64" s="446" t="s">
        <v>599</v>
      </c>
      <c r="F64" s="275" t="s">
        <v>359</v>
      </c>
      <c r="G64" s="267"/>
      <c r="H64" s="267"/>
      <c r="I64" s="267"/>
      <c r="J64" s="264"/>
      <c r="K64" s="345"/>
      <c r="L64" s="274"/>
      <c r="M64" s="265"/>
      <c r="N64" s="265"/>
      <c r="O64" s="265"/>
      <c r="P64" s="265"/>
      <c r="Q64" s="364"/>
      <c r="R64" s="319"/>
      <c r="S64" s="265"/>
      <c r="T64" s="265"/>
      <c r="U64" s="265"/>
      <c r="V64" s="265"/>
      <c r="W64" s="266"/>
      <c r="X64" s="290"/>
      <c r="Y64" s="510" t="s">
        <v>723</v>
      </c>
    </row>
    <row r="65" spans="1:25" s="471" customFormat="1" ht="48" customHeight="1" x14ac:dyDescent="0.25">
      <c r="A65" s="459">
        <f t="shared" si="0"/>
        <v>48</v>
      </c>
      <c r="B65" s="460" t="s">
        <v>392</v>
      </c>
      <c r="C65" s="461" t="s">
        <v>374</v>
      </c>
      <c r="D65" s="462" t="s">
        <v>398</v>
      </c>
      <c r="E65" s="463" t="s">
        <v>635</v>
      </c>
      <c r="F65" s="464" t="s">
        <v>359</v>
      </c>
      <c r="G65" s="465"/>
      <c r="H65" s="465"/>
      <c r="I65" s="465"/>
      <c r="J65" s="466"/>
      <c r="K65" s="467"/>
      <c r="L65" s="468"/>
      <c r="M65" s="469"/>
      <c r="N65" s="469"/>
      <c r="O65" s="469"/>
      <c r="P65" s="469"/>
      <c r="Q65" s="469"/>
      <c r="R65" s="469"/>
      <c r="S65" s="469"/>
      <c r="T65" s="469"/>
      <c r="U65" s="469"/>
      <c r="V65" s="469"/>
      <c r="W65" s="470"/>
      <c r="X65" s="481"/>
      <c r="Y65" s="500" t="s">
        <v>643</v>
      </c>
    </row>
    <row r="66" spans="1:25" s="37" customFormat="1" ht="93" customHeight="1" x14ac:dyDescent="0.25">
      <c r="A66" s="287">
        <f t="shared" si="0"/>
        <v>49</v>
      </c>
      <c r="B66" s="361" t="s">
        <v>436</v>
      </c>
      <c r="C66" s="261" t="s">
        <v>446</v>
      </c>
      <c r="D66" s="301" t="s">
        <v>447</v>
      </c>
      <c r="E66" s="447" t="s">
        <v>593</v>
      </c>
      <c r="F66" s="262"/>
      <c r="G66" s="263"/>
      <c r="H66" s="263"/>
      <c r="I66" s="263"/>
      <c r="J66" s="264"/>
      <c r="K66" s="345"/>
      <c r="L66" s="373"/>
      <c r="M66" s="362"/>
      <c r="N66" s="265"/>
      <c r="O66" s="265"/>
      <c r="P66" s="442"/>
      <c r="Q66" s="364"/>
      <c r="R66" s="265"/>
      <c r="S66" s="265"/>
      <c r="T66" s="265"/>
      <c r="U66" s="319"/>
      <c r="V66" s="319"/>
      <c r="W66" s="266"/>
      <c r="X66" s="454" t="s">
        <v>696</v>
      </c>
      <c r="Y66" s="454" t="s">
        <v>697</v>
      </c>
    </row>
    <row r="67" spans="1:25" s="37" customFormat="1" ht="78" customHeight="1" x14ac:dyDescent="0.25">
      <c r="A67" s="438">
        <f t="shared" si="0"/>
        <v>50</v>
      </c>
      <c r="B67" s="361" t="s">
        <v>427</v>
      </c>
      <c r="C67" s="261" t="s">
        <v>399</v>
      </c>
      <c r="D67" s="301" t="s">
        <v>428</v>
      </c>
      <c r="E67" s="447" t="s">
        <v>584</v>
      </c>
      <c r="F67" s="262"/>
      <c r="G67" s="263"/>
      <c r="H67" s="263"/>
      <c r="I67" s="263"/>
      <c r="J67" s="264" t="s">
        <v>359</v>
      </c>
      <c r="K67" s="345"/>
      <c r="L67" s="276"/>
      <c r="M67" s="442"/>
      <c r="N67" s="442"/>
      <c r="O67" s="442"/>
      <c r="P67" s="265"/>
      <c r="Q67" s="265"/>
      <c r="R67" s="265"/>
      <c r="S67" s="261"/>
      <c r="T67" s="261"/>
      <c r="U67" s="265"/>
      <c r="V67" s="265"/>
      <c r="W67" s="266"/>
      <c r="X67" s="454" t="s">
        <v>674</v>
      </c>
      <c r="Y67" s="455" t="s">
        <v>644</v>
      </c>
    </row>
    <row r="68" spans="1:25" s="37" customFormat="1" ht="113.25" customHeight="1" x14ac:dyDescent="0.25">
      <c r="A68" s="287">
        <f t="shared" si="0"/>
        <v>51</v>
      </c>
      <c r="B68" s="361" t="s">
        <v>448</v>
      </c>
      <c r="C68" s="261" t="s">
        <v>531</v>
      </c>
      <c r="D68" s="301" t="s">
        <v>449</v>
      </c>
      <c r="E68" s="447" t="s">
        <v>594</v>
      </c>
      <c r="F68" s="269"/>
      <c r="G68" s="270"/>
      <c r="H68" s="270"/>
      <c r="I68" s="270"/>
      <c r="J68" s="271"/>
      <c r="K68" s="345"/>
      <c r="L68" s="276"/>
      <c r="M68" s="261"/>
      <c r="N68" s="442"/>
      <c r="O68" s="442"/>
      <c r="P68" s="442"/>
      <c r="Q68" s="364"/>
      <c r="R68" s="319"/>
      <c r="S68" s="319"/>
      <c r="T68" s="319"/>
      <c r="U68" s="319"/>
      <c r="V68" s="319"/>
      <c r="W68" s="321"/>
      <c r="X68" s="457" t="s">
        <v>648</v>
      </c>
      <c r="Y68" s="455" t="s">
        <v>675</v>
      </c>
    </row>
    <row r="69" spans="1:25" s="37" customFormat="1" ht="49.5" customHeight="1" x14ac:dyDescent="0.25">
      <c r="A69" s="287">
        <f t="shared" si="0"/>
        <v>52</v>
      </c>
      <c r="B69" s="302" t="s">
        <v>388</v>
      </c>
      <c r="C69" s="261" t="s">
        <v>371</v>
      </c>
      <c r="D69" s="301" t="s">
        <v>372</v>
      </c>
      <c r="E69" s="447" t="s">
        <v>626</v>
      </c>
      <c r="F69" s="269"/>
      <c r="G69" s="270"/>
      <c r="H69" s="270"/>
      <c r="I69" s="270"/>
      <c r="J69" s="271"/>
      <c r="K69" s="345"/>
      <c r="L69" s="276"/>
      <c r="M69" s="261"/>
      <c r="N69" s="261"/>
      <c r="O69" s="442"/>
      <c r="P69" s="442"/>
      <c r="Q69" s="364"/>
      <c r="R69" s="319"/>
      <c r="S69" s="319"/>
      <c r="T69" s="319"/>
      <c r="U69" s="319"/>
      <c r="V69" s="319"/>
      <c r="W69" s="321"/>
      <c r="X69" s="290"/>
      <c r="Y69" s="456" t="s">
        <v>686</v>
      </c>
    </row>
    <row r="70" spans="1:25" s="37" customFormat="1" ht="381" customHeight="1" x14ac:dyDescent="0.25">
      <c r="A70" s="287">
        <f t="shared" si="0"/>
        <v>53</v>
      </c>
      <c r="B70" s="361" t="s">
        <v>412</v>
      </c>
      <c r="C70" s="261" t="s">
        <v>413</v>
      </c>
      <c r="D70" s="301" t="s">
        <v>532</v>
      </c>
      <c r="E70" s="446" t="s">
        <v>636</v>
      </c>
      <c r="F70" s="269"/>
      <c r="G70" s="270"/>
      <c r="H70" s="270"/>
      <c r="I70" s="270"/>
      <c r="J70" s="271"/>
      <c r="K70" s="345"/>
      <c r="L70" s="371"/>
      <c r="M70" s="265"/>
      <c r="N70" s="265"/>
      <c r="O70" s="442"/>
      <c r="P70" s="265"/>
      <c r="Q70" s="265"/>
      <c r="R70" s="319"/>
      <c r="S70" s="265"/>
      <c r="T70" s="265"/>
      <c r="U70" s="319"/>
      <c r="V70" s="265"/>
      <c r="W70" s="266"/>
      <c r="X70" s="454" t="s">
        <v>707</v>
      </c>
      <c r="Y70" s="455"/>
    </row>
    <row r="71" spans="1:25" s="37" customFormat="1" ht="47.25" customHeight="1" thickBot="1" x14ac:dyDescent="0.3">
      <c r="A71" s="287">
        <f t="shared" si="0"/>
        <v>54</v>
      </c>
      <c r="B71" s="482" t="s">
        <v>533</v>
      </c>
      <c r="C71" s="483" t="s">
        <v>534</v>
      </c>
      <c r="D71" s="484" t="s">
        <v>535</v>
      </c>
      <c r="E71" s="485" t="s">
        <v>560</v>
      </c>
      <c r="F71" s="269" t="s">
        <v>359</v>
      </c>
      <c r="G71" s="270" t="s">
        <v>359</v>
      </c>
      <c r="H71" s="270"/>
      <c r="I71" s="270"/>
      <c r="J71" s="271" t="s">
        <v>359</v>
      </c>
      <c r="K71" s="345"/>
      <c r="L71" s="272"/>
      <c r="M71" s="273"/>
      <c r="N71" s="273"/>
      <c r="O71" s="273"/>
      <c r="P71" s="273"/>
      <c r="Q71" s="273"/>
      <c r="R71" s="273"/>
      <c r="S71" s="273"/>
      <c r="T71" s="273"/>
      <c r="U71" s="318"/>
      <c r="V71" s="318"/>
      <c r="W71" s="324"/>
      <c r="X71" s="290"/>
      <c r="Y71" s="291"/>
    </row>
    <row r="72" spans="1:25" s="37" customFormat="1" ht="29.25" thickBot="1" x14ac:dyDescent="0.3">
      <c r="A72" s="662" t="s">
        <v>536</v>
      </c>
      <c r="B72" s="663"/>
      <c r="C72" s="663"/>
      <c r="D72" s="663"/>
      <c r="E72" s="663"/>
      <c r="F72" s="663"/>
      <c r="G72" s="663"/>
      <c r="H72" s="663"/>
      <c r="I72" s="663"/>
      <c r="J72" s="663"/>
      <c r="K72" s="663"/>
      <c r="L72" s="663"/>
      <c r="M72" s="663"/>
      <c r="N72" s="663"/>
      <c r="O72" s="663"/>
      <c r="P72" s="663"/>
      <c r="Q72" s="663"/>
      <c r="R72" s="663"/>
      <c r="S72" s="663"/>
      <c r="T72" s="663"/>
      <c r="U72" s="663"/>
      <c r="V72" s="663"/>
      <c r="W72" s="664"/>
      <c r="X72" s="290"/>
      <c r="Y72" s="291"/>
    </row>
    <row r="73" spans="1:25" s="37" customFormat="1" ht="51" customHeight="1" x14ac:dyDescent="0.25">
      <c r="A73" s="403">
        <f>+A71+1</f>
        <v>55</v>
      </c>
      <c r="B73" s="488" t="s">
        <v>358</v>
      </c>
      <c r="C73" s="489" t="s">
        <v>373</v>
      </c>
      <c r="D73" s="489" t="s">
        <v>375</v>
      </c>
      <c r="E73" s="490" t="s">
        <v>627</v>
      </c>
      <c r="F73" s="309"/>
      <c r="G73" s="310"/>
      <c r="H73" s="310"/>
      <c r="I73" s="310" t="s">
        <v>359</v>
      </c>
      <c r="J73" s="311"/>
      <c r="K73" s="491"/>
      <c r="L73" s="443"/>
      <c r="M73" s="443"/>
      <c r="N73" s="443"/>
      <c r="O73" s="443"/>
      <c r="P73" s="443"/>
      <c r="Q73" s="494"/>
      <c r="R73" s="322"/>
      <c r="S73" s="322"/>
      <c r="T73" s="322"/>
      <c r="U73" s="322"/>
      <c r="V73" s="322"/>
      <c r="W73" s="323"/>
      <c r="X73" s="290"/>
      <c r="Y73" s="291"/>
    </row>
    <row r="74" spans="1:25" s="37" customFormat="1" ht="409.5" customHeight="1" x14ac:dyDescent="0.25">
      <c r="A74" s="403">
        <f>+A73+1</f>
        <v>56</v>
      </c>
      <c r="B74" s="374" t="s">
        <v>601</v>
      </c>
      <c r="C74" s="261" t="s">
        <v>373</v>
      </c>
      <c r="D74" s="261" t="s">
        <v>375</v>
      </c>
      <c r="E74" s="451" t="s">
        <v>627</v>
      </c>
      <c r="F74" s="277"/>
      <c r="G74" s="278"/>
      <c r="H74" s="278"/>
      <c r="I74" s="278" t="s">
        <v>359</v>
      </c>
      <c r="J74" s="264"/>
      <c r="K74" s="487"/>
      <c r="L74" s="442"/>
      <c r="M74" s="442"/>
      <c r="N74" s="442"/>
      <c r="O74" s="442"/>
      <c r="P74" s="442"/>
      <c r="Q74" s="494"/>
      <c r="R74" s="322"/>
      <c r="S74" s="439"/>
      <c r="T74" s="439"/>
      <c r="U74" s="322"/>
      <c r="V74" s="439"/>
      <c r="W74" s="322"/>
      <c r="X74" s="507" t="s">
        <v>715</v>
      </c>
      <c r="Y74" s="455" t="s">
        <v>716</v>
      </c>
    </row>
    <row r="75" spans="1:25" s="37" customFormat="1" ht="384.75" customHeight="1" thickBot="1" x14ac:dyDescent="0.3">
      <c r="A75" s="404">
        <f>+A74+1</f>
        <v>57</v>
      </c>
      <c r="B75" s="398" t="s">
        <v>400</v>
      </c>
      <c r="C75" s="405" t="s">
        <v>374</v>
      </c>
      <c r="D75" s="405" t="s">
        <v>375</v>
      </c>
      <c r="E75" s="452" t="s">
        <v>628</v>
      </c>
      <c r="F75" s="269"/>
      <c r="G75" s="270"/>
      <c r="H75" s="270" t="s">
        <v>359</v>
      </c>
      <c r="I75" s="270"/>
      <c r="J75" s="271"/>
      <c r="K75" s="348"/>
      <c r="L75" s="486"/>
      <c r="M75" s="444"/>
      <c r="N75" s="444"/>
      <c r="O75" s="444"/>
      <c r="P75" s="380"/>
      <c r="Q75" s="495"/>
      <c r="R75" s="273"/>
      <c r="S75" s="294"/>
      <c r="T75" s="318"/>
      <c r="U75" s="318"/>
      <c r="V75" s="273"/>
      <c r="W75" s="377"/>
      <c r="X75" s="454" t="s">
        <v>717</v>
      </c>
      <c r="Y75" s="455" t="s">
        <v>718</v>
      </c>
    </row>
    <row r="76" spans="1:25" s="37" customFormat="1" ht="29.25" thickBot="1" x14ac:dyDescent="0.3">
      <c r="A76" s="653" t="s">
        <v>218</v>
      </c>
      <c r="B76" s="654"/>
      <c r="C76" s="654"/>
      <c r="D76" s="654"/>
      <c r="E76" s="654"/>
      <c r="F76" s="654"/>
      <c r="G76" s="654"/>
      <c r="H76" s="654"/>
      <c r="I76" s="654"/>
      <c r="J76" s="654"/>
      <c r="K76" s="654"/>
      <c r="L76" s="654"/>
      <c r="M76" s="654"/>
      <c r="N76" s="654"/>
      <c r="O76" s="654"/>
      <c r="P76" s="654"/>
      <c r="Q76" s="654"/>
      <c r="R76" s="654"/>
      <c r="S76" s="654"/>
      <c r="T76" s="654"/>
      <c r="U76" s="654"/>
      <c r="V76" s="654"/>
      <c r="W76" s="655"/>
      <c r="X76" s="290"/>
      <c r="Y76" s="291"/>
    </row>
    <row r="77" spans="1:25" s="37" customFormat="1" ht="69.75" customHeight="1" x14ac:dyDescent="0.25">
      <c r="A77" s="393">
        <f>+A75+1</f>
        <v>58</v>
      </c>
      <c r="B77" s="394" t="s">
        <v>602</v>
      </c>
      <c r="C77" s="395" t="s">
        <v>403</v>
      </c>
      <c r="D77" s="395" t="s">
        <v>404</v>
      </c>
      <c r="E77" s="450" t="s">
        <v>597</v>
      </c>
      <c r="F77" s="386"/>
      <c r="G77" s="387"/>
      <c r="H77" s="387"/>
      <c r="I77" s="387"/>
      <c r="J77" s="388" t="s">
        <v>359</v>
      </c>
      <c r="K77" s="378"/>
      <c r="L77" s="381"/>
      <c r="M77" s="445"/>
      <c r="N77" s="445"/>
      <c r="O77" s="445"/>
      <c r="P77" s="382"/>
      <c r="Q77" s="382"/>
      <c r="R77" s="382"/>
      <c r="S77" s="382"/>
      <c r="T77" s="382"/>
      <c r="U77" s="382"/>
      <c r="V77" s="305"/>
      <c r="W77" s="306"/>
      <c r="X77" s="290"/>
      <c r="Y77" s="291"/>
    </row>
    <row r="78" spans="1:25" s="37" customFormat="1" ht="69.75" customHeight="1" x14ac:dyDescent="0.25">
      <c r="A78" s="396">
        <f>+A77+1</f>
        <v>59</v>
      </c>
      <c r="B78" s="361" t="s">
        <v>579</v>
      </c>
      <c r="C78" s="280" t="s">
        <v>403</v>
      </c>
      <c r="D78" s="280" t="s">
        <v>404</v>
      </c>
      <c r="E78" s="451" t="s">
        <v>597</v>
      </c>
      <c r="F78" s="269"/>
      <c r="G78" s="270"/>
      <c r="H78" s="270"/>
      <c r="I78" s="270"/>
      <c r="J78" s="351" t="s">
        <v>359</v>
      </c>
      <c r="K78" s="345"/>
      <c r="L78" s="272"/>
      <c r="M78" s="279"/>
      <c r="N78" s="279"/>
      <c r="O78" s="279"/>
      <c r="P78" s="279"/>
      <c r="Q78" s="279"/>
      <c r="R78" s="319"/>
      <c r="S78" s="319"/>
      <c r="T78" s="319"/>
      <c r="U78" s="319"/>
      <c r="V78" s="319"/>
      <c r="W78" s="321"/>
      <c r="X78" s="290"/>
      <c r="Y78" s="291"/>
    </row>
    <row r="79" spans="1:25" s="37" customFormat="1" ht="112.5" customHeight="1" x14ac:dyDescent="0.25">
      <c r="A79" s="396">
        <f t="shared" ref="A79:A82" si="1">+A78+1</f>
        <v>60</v>
      </c>
      <c r="B79" s="376" t="s">
        <v>577</v>
      </c>
      <c r="C79" s="384" t="s">
        <v>571</v>
      </c>
      <c r="D79" s="384" t="s">
        <v>404</v>
      </c>
      <c r="E79" s="453" t="s">
        <v>629</v>
      </c>
      <c r="F79" s="346"/>
      <c r="G79" s="347"/>
      <c r="H79" s="347"/>
      <c r="I79" s="347"/>
      <c r="J79" s="351" t="s">
        <v>359</v>
      </c>
      <c r="K79" s="348"/>
      <c r="L79" s="272"/>
      <c r="M79" s="442"/>
      <c r="N79" s="442"/>
      <c r="O79" s="442"/>
      <c r="P79" s="442"/>
      <c r="Q79" s="265"/>
      <c r="R79" s="265"/>
      <c r="S79" s="265"/>
      <c r="T79" s="265"/>
      <c r="U79" s="265"/>
      <c r="V79" s="265"/>
      <c r="W79" s="266"/>
      <c r="X79" s="454" t="s">
        <v>724</v>
      </c>
      <c r="Y79" s="455"/>
    </row>
    <row r="80" spans="1:25" s="37" customFormat="1" ht="112.5" customHeight="1" x14ac:dyDescent="0.25">
      <c r="A80" s="396">
        <f t="shared" si="1"/>
        <v>61</v>
      </c>
      <c r="B80" s="376" t="s">
        <v>676</v>
      </c>
      <c r="C80" s="384" t="s">
        <v>571</v>
      </c>
      <c r="D80" s="384" t="s">
        <v>404</v>
      </c>
      <c r="E80" s="453" t="s">
        <v>629</v>
      </c>
      <c r="F80" s="346"/>
      <c r="G80" s="347"/>
      <c r="H80" s="347"/>
      <c r="I80" s="347"/>
      <c r="J80" s="351" t="s">
        <v>359</v>
      </c>
      <c r="K80" s="348"/>
      <c r="L80" s="272"/>
      <c r="M80" s="265"/>
      <c r="N80" s="265"/>
      <c r="O80" s="442"/>
      <c r="P80" s="442"/>
      <c r="Q80" s="495"/>
      <c r="R80" s="265"/>
      <c r="S80" s="265"/>
      <c r="T80" s="265"/>
      <c r="U80" s="265"/>
      <c r="V80" s="265"/>
      <c r="W80" s="266"/>
      <c r="X80" s="454" t="s">
        <v>725</v>
      </c>
      <c r="Y80" s="457"/>
    </row>
    <row r="81" spans="1:25" s="37" customFormat="1" ht="161.25" customHeight="1" x14ac:dyDescent="0.25">
      <c r="A81" s="396">
        <f>+A80+1</f>
        <v>62</v>
      </c>
      <c r="B81" s="361" t="s">
        <v>603</v>
      </c>
      <c r="C81" s="280" t="s">
        <v>403</v>
      </c>
      <c r="D81" s="280" t="s">
        <v>404</v>
      </c>
      <c r="E81" s="451" t="s">
        <v>597</v>
      </c>
      <c r="F81" s="269"/>
      <c r="G81" s="270"/>
      <c r="H81" s="270"/>
      <c r="I81" s="270"/>
      <c r="J81" s="351" t="s">
        <v>359</v>
      </c>
      <c r="K81" s="345"/>
      <c r="L81" s="442"/>
      <c r="M81" s="442"/>
      <c r="N81" s="442"/>
      <c r="O81" s="442"/>
      <c r="P81" s="442"/>
      <c r="Q81" s="364"/>
      <c r="R81" s="319"/>
      <c r="S81" s="319"/>
      <c r="T81" s="319"/>
      <c r="U81" s="319"/>
      <c r="V81" s="319"/>
      <c r="W81" s="321"/>
      <c r="X81" s="290"/>
      <c r="Y81" s="455" t="s">
        <v>651</v>
      </c>
    </row>
    <row r="82" spans="1:25" s="37" customFormat="1" ht="128.25" customHeight="1" x14ac:dyDescent="0.25">
      <c r="A82" s="396">
        <f t="shared" si="1"/>
        <v>63</v>
      </c>
      <c r="B82" s="283" t="s">
        <v>366</v>
      </c>
      <c r="C82" s="261" t="s">
        <v>396</v>
      </c>
      <c r="D82" s="261" t="s">
        <v>397</v>
      </c>
      <c r="E82" s="451" t="s">
        <v>587</v>
      </c>
      <c r="F82" s="262" t="s">
        <v>359</v>
      </c>
      <c r="G82" s="263" t="s">
        <v>359</v>
      </c>
      <c r="H82" s="263" t="s">
        <v>359</v>
      </c>
      <c r="I82" s="263"/>
      <c r="J82" s="281"/>
      <c r="K82" s="345"/>
      <c r="L82" s="379"/>
      <c r="M82" s="265"/>
      <c r="N82" s="265"/>
      <c r="O82" s="379"/>
      <c r="P82" s="265"/>
      <c r="Q82" s="265"/>
      <c r="R82" s="319"/>
      <c r="S82" s="265"/>
      <c r="T82" s="265"/>
      <c r="U82" s="319"/>
      <c r="V82" s="265"/>
      <c r="W82" s="266"/>
      <c r="X82" s="454" t="s">
        <v>730</v>
      </c>
      <c r="Y82" s="455"/>
    </row>
    <row r="83" spans="1:25" s="37" customFormat="1" ht="149.25" customHeight="1" x14ac:dyDescent="0.25">
      <c r="A83" s="396">
        <f t="shared" ref="A83:A86" si="2">+A82+1</f>
        <v>64</v>
      </c>
      <c r="B83" s="304" t="s">
        <v>354</v>
      </c>
      <c r="C83" s="261" t="s">
        <v>537</v>
      </c>
      <c r="D83" s="261" t="s">
        <v>382</v>
      </c>
      <c r="E83" s="447" t="s">
        <v>586</v>
      </c>
      <c r="F83" s="277"/>
      <c r="G83" s="278"/>
      <c r="H83" s="278"/>
      <c r="I83" s="278"/>
      <c r="J83" s="281" t="s">
        <v>359</v>
      </c>
      <c r="K83" s="345"/>
      <c r="L83" s="379"/>
      <c r="M83" s="442"/>
      <c r="N83" s="442"/>
      <c r="O83" s="442"/>
      <c r="P83" s="442"/>
      <c r="Q83" s="496"/>
      <c r="R83" s="325"/>
      <c r="S83" s="325"/>
      <c r="T83" s="325"/>
      <c r="U83" s="325"/>
      <c r="V83" s="325"/>
      <c r="W83" s="321"/>
      <c r="X83" s="454" t="s">
        <v>687</v>
      </c>
      <c r="Y83" s="455"/>
    </row>
    <row r="84" spans="1:25" s="37" customFormat="1" ht="69.75" customHeight="1" x14ac:dyDescent="0.25">
      <c r="A84" s="396">
        <f t="shared" si="2"/>
        <v>65</v>
      </c>
      <c r="B84" s="304" t="s">
        <v>386</v>
      </c>
      <c r="C84" s="261" t="s">
        <v>537</v>
      </c>
      <c r="D84" s="261" t="s">
        <v>382</v>
      </c>
      <c r="E84" s="447" t="s">
        <v>586</v>
      </c>
      <c r="F84" s="277"/>
      <c r="G84" s="278"/>
      <c r="H84" s="278"/>
      <c r="I84" s="278"/>
      <c r="J84" s="281" t="s">
        <v>359</v>
      </c>
      <c r="K84" s="345"/>
      <c r="L84" s="379"/>
      <c r="M84" s="442"/>
      <c r="N84" s="265"/>
      <c r="O84" s="265"/>
      <c r="P84" s="265"/>
      <c r="Q84" s="265"/>
      <c r="R84" s="265"/>
      <c r="S84" s="265"/>
      <c r="T84" s="265"/>
      <c r="U84" s="265"/>
      <c r="V84" s="265"/>
      <c r="W84" s="266"/>
      <c r="X84" s="457" t="s">
        <v>640</v>
      </c>
      <c r="Y84" s="455"/>
    </row>
    <row r="85" spans="1:25" s="37" customFormat="1" ht="171" customHeight="1" x14ac:dyDescent="0.25">
      <c r="A85" s="396">
        <f t="shared" si="2"/>
        <v>66</v>
      </c>
      <c r="B85" s="283" t="s">
        <v>369</v>
      </c>
      <c r="C85" s="261" t="s">
        <v>373</v>
      </c>
      <c r="D85" s="261" t="s">
        <v>375</v>
      </c>
      <c r="E85" s="451" t="s">
        <v>597</v>
      </c>
      <c r="F85" s="277"/>
      <c r="G85" s="278"/>
      <c r="H85" s="278"/>
      <c r="I85" s="278"/>
      <c r="J85" s="281" t="s">
        <v>359</v>
      </c>
      <c r="K85" s="345"/>
      <c r="L85" s="379"/>
      <c r="M85" s="442"/>
      <c r="N85" s="442"/>
      <c r="O85" s="442"/>
      <c r="P85" s="442"/>
      <c r="Q85" s="364"/>
      <c r="R85" s="319"/>
      <c r="S85" s="319"/>
      <c r="T85" s="319"/>
      <c r="U85" s="319"/>
      <c r="V85" s="319"/>
      <c r="W85" s="321"/>
      <c r="X85" s="454" t="s">
        <v>719</v>
      </c>
      <c r="Y85" s="508" t="s">
        <v>720</v>
      </c>
    </row>
    <row r="86" spans="1:25" s="37" customFormat="1" ht="93.75" customHeight="1" thickBot="1" x14ac:dyDescent="0.3">
      <c r="A86" s="397">
        <f t="shared" si="2"/>
        <v>67</v>
      </c>
      <c r="B86" s="398" t="s">
        <v>604</v>
      </c>
      <c r="C86" s="399" t="s">
        <v>394</v>
      </c>
      <c r="D86" s="399" t="s">
        <v>429</v>
      </c>
      <c r="E86" s="400" t="s">
        <v>595</v>
      </c>
      <c r="F86" s="389" t="s">
        <v>359</v>
      </c>
      <c r="G86" s="390" t="s">
        <v>359</v>
      </c>
      <c r="H86" s="390" t="s">
        <v>359</v>
      </c>
      <c r="I86" s="390" t="s">
        <v>359</v>
      </c>
      <c r="J86" s="391"/>
      <c r="K86" s="345"/>
      <c r="L86" s="385"/>
      <c r="M86" s="352"/>
      <c r="N86" s="352"/>
      <c r="O86" s="352"/>
      <c r="P86" s="352"/>
      <c r="Q86" s="352"/>
      <c r="R86" s="352"/>
      <c r="S86" s="352"/>
      <c r="T86" s="352"/>
      <c r="U86" s="352"/>
      <c r="V86" s="352"/>
      <c r="W86" s="383"/>
      <c r="X86" s="290"/>
      <c r="Y86" s="291"/>
    </row>
    <row r="87" spans="1:25" s="37" customFormat="1" ht="29.25" thickBot="1" x14ac:dyDescent="0.3">
      <c r="A87" s="392"/>
      <c r="B87" s="256" t="s">
        <v>411</v>
      </c>
      <c r="C87" s="36"/>
      <c r="D87" s="36"/>
      <c r="E87" s="36"/>
      <c r="F87" s="254"/>
      <c r="G87" s="254"/>
      <c r="H87" s="254"/>
      <c r="I87" s="254"/>
      <c r="J87" s="32"/>
      <c r="K87" s="32"/>
      <c r="L87" s="32"/>
      <c r="M87" s="32"/>
      <c r="N87" s="32"/>
      <c r="O87" s="32"/>
      <c r="P87" s="32"/>
      <c r="Q87" s="32"/>
      <c r="R87" s="32"/>
      <c r="S87" s="32"/>
      <c r="T87" s="32"/>
      <c r="U87" s="32"/>
      <c r="V87" s="32"/>
      <c r="W87" s="32"/>
      <c r="Y87" s="255"/>
    </row>
    <row r="88" spans="1:25" s="37" customFormat="1" ht="29.25" customHeight="1" thickBot="1" x14ac:dyDescent="0.3">
      <c r="A88" s="32"/>
      <c r="B88" s="289"/>
      <c r="C88" s="258" t="s">
        <v>433</v>
      </c>
      <c r="D88" s="36"/>
      <c r="E88" s="36"/>
      <c r="F88" s="254"/>
      <c r="G88" s="254"/>
      <c r="H88" s="254"/>
      <c r="I88" s="254"/>
      <c r="J88" s="32"/>
      <c r="K88" s="32"/>
      <c r="L88" s="32"/>
      <c r="M88" s="32"/>
      <c r="N88" s="32"/>
      <c r="O88" s="32"/>
      <c r="P88" s="32"/>
      <c r="Q88" s="32"/>
      <c r="R88" s="32"/>
      <c r="S88" s="32"/>
      <c r="T88" s="32"/>
      <c r="U88" s="32"/>
      <c r="V88" s="32"/>
      <c r="W88" s="32"/>
      <c r="Y88" s="255"/>
    </row>
    <row r="89" spans="1:25" s="37" customFormat="1" ht="29.25" customHeight="1" thickBot="1" x14ac:dyDescent="0.3">
      <c r="A89" s="32"/>
      <c r="B89" s="257"/>
      <c r="C89" s="258" t="s">
        <v>431</v>
      </c>
      <c r="D89" s="195"/>
      <c r="E89" s="195"/>
      <c r="F89" s="195"/>
      <c r="G89" s="195"/>
      <c r="H89" s="195"/>
      <c r="I89" s="195"/>
      <c r="J89" s="195"/>
      <c r="K89" s="195"/>
      <c r="L89" s="195"/>
      <c r="M89" s="195"/>
      <c r="N89" s="195"/>
      <c r="O89" s="195"/>
      <c r="P89" s="195"/>
      <c r="Q89" s="195"/>
      <c r="R89" s="195"/>
      <c r="S89" s="195"/>
      <c r="T89" s="195"/>
      <c r="U89" s="195"/>
      <c r="V89" s="195"/>
      <c r="W89" s="195"/>
    </row>
    <row r="90" spans="1:25" s="37" customFormat="1" ht="29.25" customHeight="1" thickBot="1" x14ac:dyDescent="0.3">
      <c r="A90" s="32"/>
      <c r="B90" s="284"/>
      <c r="C90" s="258" t="s">
        <v>565</v>
      </c>
      <c r="D90" s="195"/>
      <c r="E90" s="195"/>
      <c r="F90" s="195"/>
      <c r="G90" s="195"/>
      <c r="H90" s="195"/>
      <c r="I90" s="195"/>
      <c r="J90" s="195"/>
      <c r="K90" s="195"/>
      <c r="L90" s="195"/>
      <c r="M90" s="195"/>
      <c r="N90" s="195"/>
      <c r="O90" s="195"/>
      <c r="P90" s="195"/>
      <c r="Q90" s="195"/>
      <c r="R90" s="195"/>
      <c r="S90" s="195"/>
      <c r="T90" s="195"/>
      <c r="U90" s="195"/>
      <c r="V90" s="195"/>
      <c r="W90" s="195"/>
    </row>
    <row r="91" spans="1:25" s="37" customFormat="1" ht="29.25" customHeight="1" thickBot="1" x14ac:dyDescent="0.3">
      <c r="A91" s="32"/>
      <c r="B91" s="285"/>
      <c r="C91" s="258" t="s">
        <v>450</v>
      </c>
      <c r="D91" s="195"/>
      <c r="E91" s="195"/>
      <c r="F91" s="195"/>
      <c r="G91" s="195"/>
      <c r="H91" s="195"/>
      <c r="I91" s="195"/>
      <c r="J91" s="195"/>
      <c r="K91" s="195"/>
      <c r="L91" s="195"/>
      <c r="M91" s="195"/>
      <c r="N91" s="195"/>
      <c r="O91" s="195"/>
      <c r="P91" s="195"/>
      <c r="Q91" s="195"/>
      <c r="R91" s="195"/>
      <c r="S91" s="195"/>
      <c r="T91" s="195"/>
      <c r="U91" s="195"/>
      <c r="V91" s="195"/>
      <c r="W91" s="195"/>
    </row>
    <row r="92" spans="1:25" s="37" customFormat="1" ht="29.25" customHeight="1" thickBot="1" x14ac:dyDescent="0.3">
      <c r="A92" s="32"/>
      <c r="B92" s="326"/>
      <c r="C92" s="258" t="s">
        <v>566</v>
      </c>
      <c r="D92" s="195"/>
      <c r="E92" s="195"/>
      <c r="F92" s="195"/>
      <c r="G92" s="195"/>
      <c r="H92" s="195"/>
      <c r="I92" s="195"/>
      <c r="J92" s="195"/>
      <c r="K92" s="195"/>
      <c r="L92" s="195"/>
      <c r="M92" s="195"/>
      <c r="N92" s="195"/>
      <c r="O92" s="195"/>
      <c r="P92" s="195"/>
      <c r="Q92" s="195"/>
      <c r="R92" s="195"/>
      <c r="S92" s="195"/>
      <c r="T92" s="195"/>
      <c r="U92" s="195"/>
      <c r="V92" s="195"/>
      <c r="W92" s="195"/>
    </row>
    <row r="93" spans="1:25" s="37" customFormat="1" ht="28.5" customHeight="1" x14ac:dyDescent="0.25">
      <c r="A93" s="32"/>
      <c r="B93" s="472"/>
      <c r="C93" s="474" t="s">
        <v>575</v>
      </c>
      <c r="D93" s="195"/>
      <c r="E93" s="195"/>
      <c r="F93" s="195"/>
      <c r="G93" s="195"/>
      <c r="H93" s="195"/>
      <c r="I93" s="195"/>
      <c r="J93" s="195"/>
      <c r="K93" s="195"/>
      <c r="L93" s="195"/>
      <c r="M93" s="195"/>
      <c r="N93" s="195"/>
      <c r="O93" s="195"/>
      <c r="P93" s="195"/>
      <c r="Q93" s="195"/>
      <c r="R93" s="195"/>
      <c r="S93" s="195"/>
      <c r="T93" s="195"/>
      <c r="U93" s="195"/>
      <c r="V93" s="195"/>
      <c r="W93" s="195"/>
    </row>
    <row r="94" spans="1:25" s="37" customFormat="1" ht="28.5" customHeight="1" x14ac:dyDescent="0.25">
      <c r="A94" s="32"/>
      <c r="B94" s="473"/>
      <c r="C94" s="475" t="s">
        <v>659</v>
      </c>
      <c r="D94" s="195"/>
      <c r="E94" s="195"/>
      <c r="F94" s="195"/>
      <c r="G94" s="195"/>
      <c r="H94" s="195"/>
      <c r="I94" s="195"/>
      <c r="J94" s="195"/>
      <c r="K94" s="195"/>
      <c r="L94" s="195"/>
      <c r="M94" s="195"/>
      <c r="N94" s="195"/>
      <c r="O94" s="195"/>
      <c r="P94" s="195"/>
      <c r="Q94" s="195"/>
      <c r="R94" s="195"/>
      <c r="S94" s="195"/>
      <c r="T94" s="195"/>
      <c r="U94" s="195"/>
      <c r="V94" s="195"/>
      <c r="W94" s="195"/>
    </row>
    <row r="95" spans="1:25" s="37" customFormat="1" x14ac:dyDescent="0.25">
      <c r="A95" s="32"/>
      <c r="B95" s="327"/>
      <c r="C95" s="255"/>
      <c r="D95" s="195"/>
      <c r="E95" s="195"/>
      <c r="F95" s="195"/>
      <c r="G95" s="195"/>
      <c r="H95" s="195"/>
      <c r="I95" s="195"/>
      <c r="J95" s="195"/>
      <c r="K95" s="195"/>
      <c r="L95" s="195"/>
      <c r="M95" s="195"/>
      <c r="N95" s="195"/>
      <c r="O95" s="195"/>
      <c r="P95" s="195"/>
      <c r="Q95" s="195"/>
      <c r="R95" s="195"/>
      <c r="S95" s="195"/>
      <c r="T95" s="195"/>
      <c r="U95" s="195"/>
      <c r="V95" s="195"/>
      <c r="W95" s="195"/>
    </row>
    <row r="96" spans="1:25" s="37" customFormat="1" x14ac:dyDescent="0.25">
      <c r="A96" s="32"/>
      <c r="B96" s="288" t="s">
        <v>664</v>
      </c>
      <c r="C96" s="255"/>
      <c r="D96" s="195"/>
      <c r="E96" s="195"/>
      <c r="F96" s="195"/>
      <c r="G96" s="195"/>
      <c r="H96" s="195"/>
      <c r="I96" s="195"/>
      <c r="J96" s="195"/>
      <c r="K96" s="195"/>
      <c r="L96" s="195"/>
      <c r="M96" s="195"/>
      <c r="N96" s="195"/>
      <c r="O96" s="195"/>
      <c r="P96" s="195"/>
      <c r="Q96" s="195"/>
      <c r="R96" s="195"/>
      <c r="S96" s="195"/>
      <c r="T96" s="195"/>
      <c r="U96" s="195"/>
      <c r="V96" s="195"/>
      <c r="W96" s="195"/>
    </row>
    <row r="97" spans="1:23" s="37" customFormat="1" x14ac:dyDescent="0.25">
      <c r="A97" s="32"/>
      <c r="B97" s="288" t="s">
        <v>662</v>
      </c>
      <c r="C97" s="255"/>
      <c r="D97" s="195"/>
      <c r="E97" s="195"/>
      <c r="F97" s="195"/>
      <c r="G97" s="195"/>
      <c r="H97" s="195"/>
      <c r="I97" s="195"/>
      <c r="J97" s="195"/>
      <c r="K97" s="195"/>
      <c r="L97" s="195"/>
      <c r="M97" s="195"/>
      <c r="N97" s="195"/>
      <c r="O97" s="195"/>
      <c r="P97" s="195"/>
      <c r="Q97" s="195"/>
      <c r="R97" s="195"/>
      <c r="S97" s="195"/>
      <c r="T97" s="195"/>
      <c r="U97" s="195"/>
      <c r="V97" s="195"/>
      <c r="W97" s="195"/>
    </row>
    <row r="98" spans="1:23" s="37" customFormat="1" x14ac:dyDescent="0.25">
      <c r="A98" s="32"/>
      <c r="B98" s="288" t="s">
        <v>663</v>
      </c>
      <c r="C98" s="255"/>
      <c r="D98" s="195"/>
      <c r="E98" s="195"/>
      <c r="F98" s="195"/>
      <c r="G98" s="195"/>
      <c r="H98" s="195"/>
      <c r="I98" s="195"/>
      <c r="J98" s="195"/>
      <c r="K98" s="195"/>
      <c r="L98" s="195"/>
      <c r="M98" s="195"/>
      <c r="N98" s="195"/>
      <c r="O98" s="195"/>
      <c r="P98" s="195"/>
      <c r="Q98" s="195"/>
      <c r="R98" s="195"/>
      <c r="S98" s="195"/>
      <c r="T98" s="195"/>
      <c r="U98" s="195"/>
      <c r="V98" s="195"/>
      <c r="W98" s="195"/>
    </row>
    <row r="99" spans="1:23" s="33" customFormat="1" x14ac:dyDescent="0.25">
      <c r="A99" s="32"/>
      <c r="B99" s="288" t="s">
        <v>576</v>
      </c>
      <c r="C99" s="288"/>
      <c r="D99" s="288"/>
      <c r="E99" s="288"/>
      <c r="F99" s="288"/>
      <c r="G99" s="288"/>
      <c r="H99" s="288"/>
      <c r="I99" s="288"/>
      <c r="J99" s="288"/>
      <c r="K99" s="288"/>
      <c r="L99" s="288"/>
      <c r="M99" s="288"/>
    </row>
    <row r="100" spans="1:23" x14ac:dyDescent="0.45">
      <c r="A100" s="31"/>
      <c r="B100" s="34" t="s">
        <v>385</v>
      </c>
    </row>
  </sheetData>
  <autoFilter ref="A12:DC93">
    <filterColumn colId="5" showButton="0"/>
    <filterColumn colId="6" showButton="0"/>
    <filterColumn colId="7" showButton="0"/>
    <filterColumn colId="8"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autoFilter>
  <mergeCells count="45">
    <mergeCell ref="O15:O16"/>
    <mergeCell ref="X55:X56"/>
    <mergeCell ref="Y55:Y56"/>
    <mergeCell ref="X12:X16"/>
    <mergeCell ref="Y12:Y16"/>
    <mergeCell ref="R15:R16"/>
    <mergeCell ref="E12:E15"/>
    <mergeCell ref="F12:J12"/>
    <mergeCell ref="L15:L16"/>
    <mergeCell ref="M15:M16"/>
    <mergeCell ref="N15:N16"/>
    <mergeCell ref="J13:J16"/>
    <mergeCell ref="H13:H16"/>
    <mergeCell ref="A7:B7"/>
    <mergeCell ref="A1:B6"/>
    <mergeCell ref="A72:W72"/>
    <mergeCell ref="C7:W7"/>
    <mergeCell ref="P15:P16"/>
    <mergeCell ref="Q15:Q16"/>
    <mergeCell ref="U15:U16"/>
    <mergeCell ref="V15:V16"/>
    <mergeCell ref="W15:W16"/>
    <mergeCell ref="C1:M3"/>
    <mergeCell ref="N1:W3"/>
    <mergeCell ref="C4:W4"/>
    <mergeCell ref="C5:W5"/>
    <mergeCell ref="C6:W6"/>
    <mergeCell ref="B12:B15"/>
    <mergeCell ref="C12:C15"/>
    <mergeCell ref="A76:W76"/>
    <mergeCell ref="A8:B8"/>
    <mergeCell ref="A12:A15"/>
    <mergeCell ref="A16:E16"/>
    <mergeCell ref="A41:W41"/>
    <mergeCell ref="S15:S16"/>
    <mergeCell ref="T15:T16"/>
    <mergeCell ref="F13:F16"/>
    <mergeCell ref="G13:G16"/>
    <mergeCell ref="I13:I16"/>
    <mergeCell ref="C8:W8"/>
    <mergeCell ref="K15:K16"/>
    <mergeCell ref="A37:W37"/>
    <mergeCell ref="D12:D15"/>
    <mergeCell ref="L13:W14"/>
    <mergeCell ref="L12:W12"/>
  </mergeCells>
  <phoneticPr fontId="58" type="noConversion"/>
  <pageMargins left="0.31496062992125984" right="0.08" top="0.41" bottom="7.874015748031496E-2" header="0.21" footer="0.31496062992125984"/>
  <pageSetup paperSize="14" scale="28" fitToHeight="0" orientation="landscape"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T76"/>
  <sheetViews>
    <sheetView topLeftCell="A49" workbookViewId="0">
      <selection activeCell="B22" sqref="B22"/>
    </sheetView>
  </sheetViews>
  <sheetFormatPr baseColWidth="10" defaultColWidth="11.42578125" defaultRowHeight="15" x14ac:dyDescent="0.25"/>
  <cols>
    <col min="1" max="1" width="4.5703125" customWidth="1"/>
    <col min="2" max="2" width="48.7109375" style="65" customWidth="1"/>
    <col min="3" max="3" width="12.140625" bestFit="1" customWidth="1"/>
    <col min="8" max="8" width="11.5703125" customWidth="1"/>
    <col min="9" max="9" width="5.28515625" customWidth="1"/>
    <col min="10" max="10" width="8.28515625" customWidth="1"/>
    <col min="16" max="16" width="11.42578125" style="66"/>
    <col min="17" max="17" width="21.42578125" customWidth="1"/>
    <col min="18" max="18" width="22.7109375" customWidth="1"/>
    <col min="20" max="20" width="45.28515625" customWidth="1"/>
  </cols>
  <sheetData>
    <row r="1" spans="2:20" ht="15.75" thickBot="1" x14ac:dyDescent="0.3">
      <c r="B1"/>
      <c r="P1"/>
    </row>
    <row r="2" spans="2:20" x14ac:dyDescent="0.25">
      <c r="B2" s="582" t="s">
        <v>16</v>
      </c>
      <c r="C2" s="524" t="s">
        <v>17</v>
      </c>
      <c r="D2" s="741"/>
      <c r="E2" s="741"/>
      <c r="F2" s="741"/>
      <c r="G2" s="741"/>
      <c r="H2" s="741"/>
      <c r="I2" s="741"/>
      <c r="J2" s="741"/>
      <c r="K2" s="741"/>
      <c r="L2" s="741"/>
      <c r="M2" s="741"/>
      <c r="N2" s="741"/>
      <c r="O2" s="585"/>
      <c r="P2" s="585"/>
      <c r="Q2" s="586"/>
    </row>
    <row r="3" spans="2:20" x14ac:dyDescent="0.25">
      <c r="B3" s="583"/>
      <c r="C3" s="742"/>
      <c r="D3" s="742"/>
      <c r="E3" s="742"/>
      <c r="F3" s="742"/>
      <c r="G3" s="742"/>
      <c r="H3" s="742"/>
      <c r="I3" s="742"/>
      <c r="J3" s="742"/>
      <c r="K3" s="742"/>
      <c r="L3" s="742"/>
      <c r="M3" s="742"/>
      <c r="N3" s="742"/>
      <c r="O3" s="587"/>
      <c r="P3" s="587"/>
      <c r="Q3" s="588"/>
    </row>
    <row r="4" spans="2:20" x14ac:dyDescent="0.25">
      <c r="B4" s="583"/>
      <c r="C4" s="742"/>
      <c r="D4" s="742"/>
      <c r="E4" s="742"/>
      <c r="F4" s="742"/>
      <c r="G4" s="742"/>
      <c r="H4" s="742"/>
      <c r="I4" s="742"/>
      <c r="J4" s="742"/>
      <c r="K4" s="742"/>
      <c r="L4" s="742"/>
      <c r="M4" s="742"/>
      <c r="N4" s="742"/>
      <c r="O4" s="587"/>
      <c r="P4" s="587"/>
      <c r="Q4" s="588"/>
    </row>
    <row r="5" spans="2:20" ht="15.75" thickBot="1" x14ac:dyDescent="0.3">
      <c r="B5" s="740"/>
      <c r="C5" s="625"/>
      <c r="D5" s="743"/>
      <c r="E5" s="743"/>
      <c r="F5" s="743"/>
      <c r="G5" s="743"/>
      <c r="H5" s="743"/>
      <c r="I5" s="743"/>
      <c r="J5" s="743"/>
      <c r="K5" s="743"/>
      <c r="L5" s="743"/>
      <c r="M5" s="743"/>
      <c r="N5" s="743"/>
      <c r="O5" s="589"/>
      <c r="P5" s="589"/>
      <c r="Q5" s="590"/>
    </row>
    <row r="6" spans="2:20" ht="17.25" thickBot="1" x14ac:dyDescent="0.35">
      <c r="B6" s="23" t="s">
        <v>11</v>
      </c>
      <c r="C6" s="24">
        <v>45657</v>
      </c>
      <c r="D6" s="25"/>
      <c r="P6"/>
    </row>
    <row r="7" spans="2:20" ht="16.5" x14ac:dyDescent="0.3">
      <c r="B7" s="46"/>
      <c r="C7" s="47"/>
      <c r="D7" s="25"/>
      <c r="P7"/>
    </row>
    <row r="8" spans="2:20" ht="17.25" thickBot="1" x14ac:dyDescent="0.35">
      <c r="B8" s="25"/>
      <c r="C8" s="25"/>
      <c r="D8" s="25"/>
      <c r="P8"/>
    </row>
    <row r="9" spans="2:20" ht="15.75" thickBot="1" x14ac:dyDescent="0.3">
      <c r="B9" s="9">
        <v>1</v>
      </c>
      <c r="C9" s="734">
        <v>2</v>
      </c>
      <c r="D9" s="734"/>
      <c r="E9" s="734"/>
      <c r="F9" s="734"/>
      <c r="G9" s="734"/>
      <c r="H9" s="734"/>
      <c r="I9" s="734"/>
      <c r="J9" s="734">
        <v>3</v>
      </c>
      <c r="K9" s="734"/>
      <c r="L9" s="734">
        <v>4</v>
      </c>
      <c r="M9" s="734"/>
      <c r="N9" s="734">
        <v>4</v>
      </c>
      <c r="O9" s="734"/>
      <c r="P9" s="739"/>
      <c r="Q9" s="727">
        <v>5</v>
      </c>
      <c r="R9" s="728"/>
    </row>
    <row r="10" spans="2:20" ht="15.75" thickBot="1" x14ac:dyDescent="0.3">
      <c r="B10" s="735" t="s">
        <v>19</v>
      </c>
      <c r="C10" s="737" t="s">
        <v>0</v>
      </c>
      <c r="D10" s="738"/>
      <c r="E10" s="738"/>
      <c r="F10" s="738"/>
      <c r="G10" s="738"/>
      <c r="H10" s="732" t="s">
        <v>6</v>
      </c>
      <c r="I10" s="733"/>
      <c r="J10" s="732" t="s">
        <v>7</v>
      </c>
      <c r="K10" s="733"/>
      <c r="L10" s="732" t="s">
        <v>8</v>
      </c>
      <c r="M10" s="733"/>
      <c r="N10" s="726" t="s">
        <v>9</v>
      </c>
      <c r="O10" s="726" t="s">
        <v>10</v>
      </c>
      <c r="P10" s="726" t="s">
        <v>13</v>
      </c>
      <c r="Q10" s="726" t="s">
        <v>14</v>
      </c>
      <c r="R10" s="726" t="s">
        <v>20</v>
      </c>
    </row>
    <row r="11" spans="2:20" ht="93.75" customHeight="1" thickBot="1" x14ac:dyDescent="0.3">
      <c r="B11" s="736"/>
      <c r="C11" s="228" t="s">
        <v>1</v>
      </c>
      <c r="D11" s="229" t="s">
        <v>2</v>
      </c>
      <c r="E11" s="230" t="s">
        <v>3</v>
      </c>
      <c r="F11" s="231" t="s">
        <v>4</v>
      </c>
      <c r="G11" s="232" t="s">
        <v>5</v>
      </c>
      <c r="H11" s="732"/>
      <c r="I11" s="733"/>
      <c r="J11" s="732"/>
      <c r="K11" s="733"/>
      <c r="L11" s="732"/>
      <c r="M11" s="733"/>
      <c r="N11" s="726"/>
      <c r="O11" s="726"/>
      <c r="P11" s="726"/>
      <c r="Q11" s="726"/>
      <c r="R11" s="726"/>
    </row>
    <row r="12" spans="2:20" ht="15.75" thickBot="1" x14ac:dyDescent="0.3">
      <c r="B12" s="233" t="str">
        <f>+'PRIORIZACIÓN (2)'!B11</f>
        <v>Seguimiento a SARLAFT</v>
      </c>
      <c r="C12" s="2">
        <f>+'PRIORIZACIÓN (2)'!C11</f>
        <v>1</v>
      </c>
      <c r="D12" s="3">
        <f>+'PRIORIZACIÓN (2)'!D11</f>
        <v>1</v>
      </c>
      <c r="E12" s="3">
        <f>+'PRIORIZACIÓN (2)'!E11</f>
        <v>1</v>
      </c>
      <c r="F12" s="3">
        <f>+'PRIORIZACIÓN (2)'!F11</f>
        <v>1</v>
      </c>
      <c r="G12" s="234">
        <f>SUM(C12:F12)</f>
        <v>4</v>
      </c>
      <c r="H12" s="236" t="str">
        <f>+IF(($C12/$G12)&gt;=0.2,"Extremo",+IF((($C12/G12)+($D12/$G12))&gt;=0.3,"Alto",+IF((($C12/$G12)+($D12/$G12)+($E12/$G12))&gt;=0.4,"Moderado",+IF(($C12/$G12)+($D12/$G12)+($E12/$G12)+($F12/$G12)&gt;=0.5,"Bajo",""))))</f>
        <v>Extremo</v>
      </c>
      <c r="I12" s="4">
        <f>(IF(H12="Extremo",50%,(IF(H12="Alto",40%,IF(H12="Moderado",15%,IF(H12="Bajo",10%,0))))))</f>
        <v>0.5</v>
      </c>
      <c r="J12" s="7" t="s">
        <v>12</v>
      </c>
      <c r="K12" s="226">
        <f>IF(J12="Si",100%,IF(J12="No",0,0))</f>
        <v>0</v>
      </c>
      <c r="L12" s="2" t="s">
        <v>12</v>
      </c>
      <c r="M12" s="4">
        <f>IF(L12="Si",20%,IF(L12="No",0,0))</f>
        <v>0</v>
      </c>
      <c r="N12" s="244">
        <f>+'PRIORIZACIÓN (2)'!Q11</f>
        <v>0</v>
      </c>
      <c r="O12" s="242">
        <f>+$C$6-N12</f>
        <v>45657</v>
      </c>
      <c r="P12" s="240">
        <f>IF(O12&gt;=1080,30%,IF(O12&gt;=720,20%,IF(O12&gt;=360,10%,IF(O12&lt;=359,0%,0))))</f>
        <v>0.3</v>
      </c>
      <c r="Q12" s="238">
        <f>IF(K12=100%,100%,(I12+M12+P12))</f>
        <v>0.8</v>
      </c>
      <c r="R12" s="27">
        <f t="shared" ref="R12:R29" si="0">+RANK(Q12,$Q$12:$Q$55,0)</f>
        <v>10</v>
      </c>
      <c r="T12" s="26" t="e">
        <f>IF(N12=100%,100%,(L12+P12+S12))</f>
        <v>#VALUE!</v>
      </c>
    </row>
    <row r="13" spans="2:20" ht="15.75" thickBot="1" x14ac:dyDescent="0.3">
      <c r="B13" s="233" t="str">
        <f>+'PRIORIZACIÓN (2)'!B12</f>
        <v>Revisión de Polizas de Seguro Corporativa</v>
      </c>
      <c r="C13" s="5">
        <f>+'PRIORIZACIÓN (2)'!C12</f>
        <v>1</v>
      </c>
      <c r="D13" s="1">
        <f>+'PRIORIZACIÓN (2)'!D12</f>
        <v>1</v>
      </c>
      <c r="E13" s="1">
        <f>+'PRIORIZACIÓN (2)'!E12</f>
        <v>1</v>
      </c>
      <c r="F13" s="1">
        <f>+'PRIORIZACIÓN (2)'!F12</f>
        <v>2</v>
      </c>
      <c r="G13" s="235">
        <f t="shared" ref="G13:G25" si="1">SUM(C13:F13)</f>
        <v>5</v>
      </c>
      <c r="H13" s="237" t="str">
        <f t="shared" ref="H13:H25" si="2">+IF(($C13/$G13)&gt;=0.2,"Extremo",+IF((($C13/G13)+($D13/$G13))&gt;=0.3,"Alto",+IF((($C13/$G13)+($D13/$G13)+($E13/$G13))&gt;=0.4,"Moderado",+IF(($C13/$G13)+($D13/$G13)+($E13/$G13)+($F13/$G13)&gt;=0.5,"Bajo",""))))</f>
        <v>Extremo</v>
      </c>
      <c r="I13" s="6">
        <f t="shared" ref="I13:I25" si="3">(IF(H13="Extremo",50%,(IF(H13="Alto",40%,IF(H13="Moderado",15%,IF(H13="Bajo",10%,0))))))</f>
        <v>0.5</v>
      </c>
      <c r="J13" s="8" t="s">
        <v>12</v>
      </c>
      <c r="K13" s="227">
        <f t="shared" ref="K13:K25" si="4">IF(J13="Si",100%,IF(J13="No",0,0))</f>
        <v>0</v>
      </c>
      <c r="L13" s="5" t="s">
        <v>12</v>
      </c>
      <c r="M13" s="6">
        <f t="shared" ref="M13:M25" si="5">IF(L13="Si",20%,IF(L13="No",0,0))</f>
        <v>0</v>
      </c>
      <c r="N13" s="245">
        <f>+'PRIORIZACIÓN (2)'!Q12</f>
        <v>0</v>
      </c>
      <c r="O13" s="243">
        <f t="shared" ref="O13:O25" si="6">+$C$6-N13</f>
        <v>45657</v>
      </c>
      <c r="P13" s="241">
        <f t="shared" ref="P13:P25" si="7">IF(O13&gt;=1080,30%,IF(O13&gt;=720,20%,IF(O13&gt;=360,10%,IF(O13&lt;=359,0%,0))))</f>
        <v>0.3</v>
      </c>
      <c r="Q13" s="239">
        <f t="shared" ref="Q13:Q25" si="8">IF(K13=100%,100%,(I13+M13+P13))</f>
        <v>0.8</v>
      </c>
      <c r="R13" s="27">
        <f t="shared" si="0"/>
        <v>10</v>
      </c>
    </row>
    <row r="14" spans="2:20" ht="15.75" thickBot="1" x14ac:dyDescent="0.3">
      <c r="B14" s="233" t="str">
        <f>+'PRIORIZACIÓN (2)'!B13</f>
        <v>Seguimiento a actos administrativos Internos</v>
      </c>
      <c r="C14" s="5">
        <f>+'PRIORIZACIÓN (2)'!C13</f>
        <v>0</v>
      </c>
      <c r="D14" s="1">
        <f>+'PRIORIZACIÓN (2)'!D13</f>
        <v>0</v>
      </c>
      <c r="E14" s="1">
        <f>+'PRIORIZACIÓN (2)'!E13</f>
        <v>1</v>
      </c>
      <c r="F14" s="1">
        <f>+'PRIORIZACIÓN (2)'!F13</f>
        <v>3</v>
      </c>
      <c r="G14" s="235">
        <f t="shared" si="1"/>
        <v>4</v>
      </c>
      <c r="H14" s="237" t="str">
        <f t="shared" si="2"/>
        <v>Bajo</v>
      </c>
      <c r="I14" s="6">
        <f t="shared" si="3"/>
        <v>0.1</v>
      </c>
      <c r="J14" s="8" t="s">
        <v>348</v>
      </c>
      <c r="K14" s="227">
        <f t="shared" si="4"/>
        <v>1</v>
      </c>
      <c r="L14" s="5" t="s">
        <v>12</v>
      </c>
      <c r="M14" s="6">
        <f t="shared" si="5"/>
        <v>0</v>
      </c>
      <c r="N14" s="245">
        <f>+'PRIORIZACIÓN (2)'!Q13</f>
        <v>0</v>
      </c>
      <c r="O14" s="243">
        <f t="shared" si="6"/>
        <v>45657</v>
      </c>
      <c r="P14" s="241">
        <f t="shared" si="7"/>
        <v>0.3</v>
      </c>
      <c r="Q14" s="239">
        <f t="shared" si="8"/>
        <v>1</v>
      </c>
      <c r="R14" s="27">
        <f t="shared" si="0"/>
        <v>1</v>
      </c>
    </row>
    <row r="15" spans="2:20" ht="75.75" thickBot="1" x14ac:dyDescent="0.3">
      <c r="B15" s="233" t="str">
        <f>+'PRIORIZACIÓN (2)'!B14</f>
        <v>Plan Institucional de Archivos de la Entidad PINAR - Plan Estratégico de Talento Humano - Plan de Trabajo Anual en Seguridad y Salud en el Trabajo - Sistema de Gestión de Seguridad y Salud en el Trabajo</v>
      </c>
      <c r="C15" s="5">
        <f>+'PRIORIZACIÓN (2)'!C14</f>
        <v>0</v>
      </c>
      <c r="D15" s="1">
        <f>+'PRIORIZACIÓN (2)'!D14</f>
        <v>0</v>
      </c>
      <c r="E15" s="1">
        <f>+'PRIORIZACIÓN (2)'!E14</f>
        <v>2</v>
      </c>
      <c r="F15" s="1">
        <f>+'PRIORIZACIÓN (2)'!F14</f>
        <v>3</v>
      </c>
      <c r="G15" s="235">
        <f t="shared" si="1"/>
        <v>5</v>
      </c>
      <c r="H15" s="237" t="str">
        <f t="shared" si="2"/>
        <v>Moderado</v>
      </c>
      <c r="I15" s="6">
        <f t="shared" si="3"/>
        <v>0.15</v>
      </c>
      <c r="J15" s="8" t="s">
        <v>348</v>
      </c>
      <c r="K15" s="227">
        <f t="shared" si="4"/>
        <v>1</v>
      </c>
      <c r="L15" s="5" t="s">
        <v>12</v>
      </c>
      <c r="M15" s="6">
        <f t="shared" si="5"/>
        <v>0</v>
      </c>
      <c r="N15" s="245">
        <f>+'PRIORIZACIÓN (2)'!Q14</f>
        <v>0</v>
      </c>
      <c r="O15" s="243">
        <f t="shared" si="6"/>
        <v>45657</v>
      </c>
      <c r="P15" s="241">
        <f t="shared" si="7"/>
        <v>0.3</v>
      </c>
      <c r="Q15" s="239">
        <f t="shared" si="8"/>
        <v>1</v>
      </c>
      <c r="R15" s="27">
        <f t="shared" si="0"/>
        <v>1</v>
      </c>
    </row>
    <row r="16" spans="2:20" ht="60.75" thickBot="1" x14ac:dyDescent="0.3">
      <c r="B16" s="233" t="str">
        <f>+'PRIORIZACIÓN (2)'!B15</f>
        <v>Plan Estratégico de Tecnologías de la Información y las Comunicaciones ­ PETI - Plan de Tratamiento de Riesgos de Seguridad y Privacidad de la Información - Plan de Seguridad y Privacidad de la Información</v>
      </c>
      <c r="C16" s="5">
        <f>+'PRIORIZACIÓN (2)'!C15</f>
        <v>0</v>
      </c>
      <c r="D16" s="1">
        <f>+'PRIORIZACIÓN (2)'!D15</f>
        <v>0</v>
      </c>
      <c r="E16" s="1">
        <f>+'PRIORIZACIÓN (2)'!E15</f>
        <v>2</v>
      </c>
      <c r="F16" s="1">
        <f>+'PRIORIZACIÓN (2)'!F15</f>
        <v>3</v>
      </c>
      <c r="G16" s="235">
        <f t="shared" si="1"/>
        <v>5</v>
      </c>
      <c r="H16" s="237" t="str">
        <f t="shared" si="2"/>
        <v>Moderado</v>
      </c>
      <c r="I16" s="6">
        <f t="shared" si="3"/>
        <v>0.15</v>
      </c>
      <c r="J16" s="8" t="s">
        <v>348</v>
      </c>
      <c r="K16" s="227">
        <f t="shared" si="4"/>
        <v>1</v>
      </c>
      <c r="L16" s="5" t="s">
        <v>12</v>
      </c>
      <c r="M16" s="6">
        <f t="shared" si="5"/>
        <v>0</v>
      </c>
      <c r="N16" s="245">
        <f>+'PRIORIZACIÓN (2)'!Q15</f>
        <v>0</v>
      </c>
      <c r="O16" s="243">
        <f t="shared" si="6"/>
        <v>45657</v>
      </c>
      <c r="P16" s="241">
        <f t="shared" si="7"/>
        <v>0.3</v>
      </c>
      <c r="Q16" s="239">
        <f t="shared" si="8"/>
        <v>1</v>
      </c>
      <c r="R16" s="27">
        <f t="shared" si="0"/>
        <v>1</v>
      </c>
    </row>
    <row r="17" spans="2:18" ht="90.75" thickBot="1" x14ac:dyDescent="0.3">
      <c r="B17" s="233" t="str">
        <f>+'PRIORIZACIÓN (2)'!B16</f>
        <v>Plan de Participación Ciudadana - Estrategia rendición de cuentas - Control documental según la ISO 9001 - Política operativa de integridad, conflicto de interés y gestión anti soborno - Política administración del riesgo - Auditorías procesos SIG según requisitos norma ISO 9001</v>
      </c>
      <c r="C17" s="5">
        <f>+'PRIORIZACIÓN (2)'!C16</f>
        <v>0</v>
      </c>
      <c r="D17" s="1">
        <f>+'PRIORIZACIÓN (2)'!D16</f>
        <v>0</v>
      </c>
      <c r="E17" s="1">
        <f>+'PRIORIZACIÓN (2)'!E16</f>
        <v>2</v>
      </c>
      <c r="F17" s="1">
        <f>+'PRIORIZACIÓN (2)'!F16</f>
        <v>3</v>
      </c>
      <c r="G17" s="235">
        <f t="shared" si="1"/>
        <v>5</v>
      </c>
      <c r="H17" s="237" t="str">
        <f t="shared" si="2"/>
        <v>Moderado</v>
      </c>
      <c r="I17" s="6">
        <f t="shared" si="3"/>
        <v>0.15</v>
      </c>
      <c r="J17" s="8" t="s">
        <v>348</v>
      </c>
      <c r="K17" s="227">
        <f t="shared" si="4"/>
        <v>1</v>
      </c>
      <c r="L17" s="5" t="s">
        <v>12</v>
      </c>
      <c r="M17" s="6">
        <f t="shared" si="5"/>
        <v>0</v>
      </c>
      <c r="N17" s="245">
        <f>+'PRIORIZACIÓN (2)'!Q16</f>
        <v>0</v>
      </c>
      <c r="O17" s="243">
        <f t="shared" si="6"/>
        <v>45657</v>
      </c>
      <c r="P17" s="241">
        <f t="shared" si="7"/>
        <v>0.3</v>
      </c>
      <c r="Q17" s="239">
        <f t="shared" si="8"/>
        <v>1</v>
      </c>
      <c r="R17" s="27">
        <f t="shared" si="0"/>
        <v>1</v>
      </c>
    </row>
    <row r="18" spans="2:18" ht="15.75" thickBot="1" x14ac:dyDescent="0.3">
      <c r="B18" s="233" t="str">
        <f>+'PRIORIZACIÓN (2)'!B17</f>
        <v>Seguimiento adjudicación San Victorino</v>
      </c>
      <c r="C18" s="5">
        <f>+'PRIORIZACIÓN (2)'!C17</f>
        <v>4</v>
      </c>
      <c r="D18" s="1">
        <f>+'PRIORIZACIÓN (2)'!D17</f>
        <v>0</v>
      </c>
      <c r="E18" s="1">
        <f>+'PRIORIZACIÓN (2)'!E17</f>
        <v>0</v>
      </c>
      <c r="F18" s="1">
        <f>+'PRIORIZACIÓN (2)'!F17</f>
        <v>1</v>
      </c>
      <c r="G18" s="235">
        <f t="shared" si="1"/>
        <v>5</v>
      </c>
      <c r="H18" s="237" t="str">
        <f t="shared" si="2"/>
        <v>Extremo</v>
      </c>
      <c r="I18" s="6">
        <f t="shared" si="3"/>
        <v>0.5</v>
      </c>
      <c r="J18" s="8" t="s">
        <v>12</v>
      </c>
      <c r="K18" s="227">
        <f t="shared" si="4"/>
        <v>0</v>
      </c>
      <c r="L18" s="5" t="s">
        <v>12</v>
      </c>
      <c r="M18" s="6">
        <f t="shared" si="5"/>
        <v>0</v>
      </c>
      <c r="N18" s="245">
        <f>+'PRIORIZACIÓN (2)'!Q17</f>
        <v>0</v>
      </c>
      <c r="O18" s="243">
        <f t="shared" si="6"/>
        <v>45657</v>
      </c>
      <c r="P18" s="241">
        <f t="shared" si="7"/>
        <v>0.3</v>
      </c>
      <c r="Q18" s="239">
        <f t="shared" si="8"/>
        <v>0.8</v>
      </c>
      <c r="R18" s="27">
        <f t="shared" si="0"/>
        <v>10</v>
      </c>
    </row>
    <row r="19" spans="2:18" ht="15.75" thickBot="1" x14ac:dyDescent="0.3">
      <c r="B19" s="233" t="str">
        <f>+'PRIORIZACIÓN (2)'!B18</f>
        <v>Seguimiento estado Obra Alcaldia Mártires</v>
      </c>
      <c r="C19" s="5">
        <f>+'PRIORIZACIÓN (2)'!C18</f>
        <v>4</v>
      </c>
      <c r="D19" s="1">
        <f>+'PRIORIZACIÓN (2)'!D18</f>
        <v>0</v>
      </c>
      <c r="E19" s="1">
        <f>+'PRIORIZACIÓN (2)'!E18</f>
        <v>0</v>
      </c>
      <c r="F19" s="1">
        <f>+'PRIORIZACIÓN (2)'!F18</f>
        <v>1</v>
      </c>
      <c r="G19" s="235">
        <f t="shared" si="1"/>
        <v>5</v>
      </c>
      <c r="H19" s="237" t="str">
        <f t="shared" si="2"/>
        <v>Extremo</v>
      </c>
      <c r="I19" s="6">
        <f t="shared" si="3"/>
        <v>0.5</v>
      </c>
      <c r="J19" s="8" t="s">
        <v>12</v>
      </c>
      <c r="K19" s="227">
        <f t="shared" si="4"/>
        <v>0</v>
      </c>
      <c r="L19" s="5" t="s">
        <v>12</v>
      </c>
      <c r="M19" s="6">
        <f t="shared" si="5"/>
        <v>0</v>
      </c>
      <c r="N19" s="245">
        <f>+'PRIORIZACIÓN (2)'!Q18</f>
        <v>0</v>
      </c>
      <c r="O19" s="243">
        <f t="shared" si="6"/>
        <v>45657</v>
      </c>
      <c r="P19" s="241">
        <f t="shared" si="7"/>
        <v>0.3</v>
      </c>
      <c r="Q19" s="239">
        <f t="shared" si="8"/>
        <v>0.8</v>
      </c>
      <c r="R19" s="27">
        <f t="shared" si="0"/>
        <v>10</v>
      </c>
    </row>
    <row r="20" spans="2:18" ht="15.75" thickBot="1" x14ac:dyDescent="0.3">
      <c r="B20" s="233" t="str">
        <f>+'PRIORIZACIÓN (2)'!B19</f>
        <v>Seguimiento rol Empresa Ciudadela del Cuidado</v>
      </c>
      <c r="C20" s="5">
        <f>+'PRIORIZACIÓN (2)'!C19</f>
        <v>4</v>
      </c>
      <c r="D20" s="1">
        <f>+'PRIORIZACIÓN (2)'!D19</f>
        <v>0</v>
      </c>
      <c r="E20" s="1">
        <f>+'PRIORIZACIÓN (2)'!E19</f>
        <v>0</v>
      </c>
      <c r="F20" s="1">
        <f>+'PRIORIZACIÓN (2)'!F19</f>
        <v>1</v>
      </c>
      <c r="G20" s="235">
        <f t="shared" si="1"/>
        <v>5</v>
      </c>
      <c r="H20" s="237" t="str">
        <f t="shared" si="2"/>
        <v>Extremo</v>
      </c>
      <c r="I20" s="6">
        <f t="shared" si="3"/>
        <v>0.5</v>
      </c>
      <c r="J20" s="8" t="s">
        <v>12</v>
      </c>
      <c r="K20" s="227">
        <f t="shared" si="4"/>
        <v>0</v>
      </c>
      <c r="L20" s="5" t="s">
        <v>12</v>
      </c>
      <c r="M20" s="6">
        <f t="shared" si="5"/>
        <v>0</v>
      </c>
      <c r="N20" s="245">
        <f>+'PRIORIZACIÓN (2)'!Q19</f>
        <v>0</v>
      </c>
      <c r="O20" s="243">
        <f t="shared" si="6"/>
        <v>45657</v>
      </c>
      <c r="P20" s="241">
        <f t="shared" si="7"/>
        <v>0.3</v>
      </c>
      <c r="Q20" s="239">
        <f t="shared" si="8"/>
        <v>0.8</v>
      </c>
      <c r="R20" s="27">
        <f t="shared" si="0"/>
        <v>10</v>
      </c>
    </row>
    <row r="21" spans="2:18" ht="30.75" thickBot="1" x14ac:dyDescent="0.3">
      <c r="B21" s="233" t="str">
        <f>+'PRIORIZACIÓN (2)'!B20</f>
        <v xml:space="preserve">Apoyo realización comité de auditoría y seguimiento de los compromisos establecidos </v>
      </c>
      <c r="C21" s="5">
        <f>+'PRIORIZACIÓN (2)'!C20</f>
        <v>0</v>
      </c>
      <c r="D21" s="1">
        <f>+'PRIORIZACIÓN (2)'!D20</f>
        <v>0</v>
      </c>
      <c r="E21" s="1">
        <f>+'PRIORIZACIÓN (2)'!E20</f>
        <v>2</v>
      </c>
      <c r="F21" s="1">
        <f>+'PRIORIZACIÓN (2)'!F20</f>
        <v>3</v>
      </c>
      <c r="G21" s="235">
        <f t="shared" si="1"/>
        <v>5</v>
      </c>
      <c r="H21" s="237" t="str">
        <f t="shared" si="2"/>
        <v>Moderado</v>
      </c>
      <c r="I21" s="6">
        <f t="shared" si="3"/>
        <v>0.15</v>
      </c>
      <c r="J21" s="8" t="s">
        <v>348</v>
      </c>
      <c r="K21" s="227">
        <f t="shared" si="4"/>
        <v>1</v>
      </c>
      <c r="L21" s="5" t="s">
        <v>12</v>
      </c>
      <c r="M21" s="6">
        <f t="shared" si="5"/>
        <v>0</v>
      </c>
      <c r="N21" s="245">
        <f>+'PRIORIZACIÓN (2)'!Q20</f>
        <v>0</v>
      </c>
      <c r="O21" s="243">
        <f t="shared" si="6"/>
        <v>45657</v>
      </c>
      <c r="P21" s="241">
        <f t="shared" si="7"/>
        <v>0.3</v>
      </c>
      <c r="Q21" s="239">
        <f t="shared" si="8"/>
        <v>1</v>
      </c>
      <c r="R21" s="27">
        <f t="shared" si="0"/>
        <v>1</v>
      </c>
    </row>
    <row r="22" spans="2:18" ht="75.75" thickBot="1" x14ac:dyDescent="0.3">
      <c r="B22" s="233" t="str">
        <f>+'PRIORIZACIÓN (2)'!B21</f>
        <v>Proceso adquisición de suelo por enajenación voluntaria, expropiación administrativa o judicial - Adquisición proyectos Tercera Concurrencia - Adquisición proyecto San Bernardo Tercer Milenio AMD 1 – Convenio 3151-2019 suscrito con el IDRD.</v>
      </c>
      <c r="C22" s="5">
        <f>+'PRIORIZACIÓN (2)'!C21</f>
        <v>3</v>
      </c>
      <c r="D22" s="1">
        <f>+'PRIORIZACIÓN (2)'!D21</f>
        <v>0</v>
      </c>
      <c r="E22" s="1">
        <f>+'PRIORIZACIÓN (2)'!E21</f>
        <v>0</v>
      </c>
      <c r="F22" s="1">
        <f>+'PRIORIZACIÓN (2)'!F21</f>
        <v>1</v>
      </c>
      <c r="G22" s="235">
        <f>SUM(C22:F22)</f>
        <v>4</v>
      </c>
      <c r="H22" s="237" t="str">
        <f>+IF(($C22/$G22)&gt;=0.2,"Extremo",+IF((($C22/G22)+($D22/$G22))&gt;=0.3,"Alto",+IF((($C22/$G22)+($D22/$G22)+($E22/$G22))&gt;=0.4,"Moderado",+IF(($C22/$G22)+($D22/$G22)+($E22/$G22)+($F22/$G22)&gt;=0.5,"Bajo",""))))</f>
        <v>Extremo</v>
      </c>
      <c r="I22" s="6">
        <f>(IF(H22="Extremo",50%,(IF(H22="Alto",40%,IF(H22="Moderado",15%,IF(H22="Bajo",10%,0))))))</f>
        <v>0.5</v>
      </c>
      <c r="J22" s="8" t="s">
        <v>12</v>
      </c>
      <c r="K22" s="227">
        <f>IF(J22="Si",100%,IF(J22="No",0,0))</f>
        <v>0</v>
      </c>
      <c r="L22" s="5" t="s">
        <v>12</v>
      </c>
      <c r="M22" s="6">
        <f>IF(L22="Si",20%,IF(L22="No",0,0))</f>
        <v>0</v>
      </c>
      <c r="N22" s="245">
        <f>+'PRIORIZACIÓN (2)'!Q21</f>
        <v>0</v>
      </c>
      <c r="O22" s="243">
        <f>+$C$6-N22</f>
        <v>45657</v>
      </c>
      <c r="P22" s="241">
        <f>IF(O22&gt;=1080,30%,IF(O22&gt;=720,20%,IF(O22&gt;=360,10%,IF(O22&lt;=359,0%,0))))</f>
        <v>0.3</v>
      </c>
      <c r="Q22" s="239">
        <f t="shared" si="8"/>
        <v>0.8</v>
      </c>
      <c r="R22" s="27">
        <f t="shared" si="0"/>
        <v>10</v>
      </c>
    </row>
    <row r="23" spans="2:18" ht="30.75" thickBot="1" x14ac:dyDescent="0.3">
      <c r="B23" s="233" t="str">
        <f>+'PRIORIZACIÓN (2)'!B22</f>
        <v>Maduración y Calidad en la construccion del anexo técnico para los proyectos - gestión contractual</v>
      </c>
      <c r="C23" s="5">
        <f>+'PRIORIZACIÓN (2)'!C22</f>
        <v>0</v>
      </c>
      <c r="D23" s="1">
        <f>+'PRIORIZACIÓN (2)'!D22</f>
        <v>0</v>
      </c>
      <c r="E23" s="1">
        <f>+'PRIORIZACIÓN (2)'!E22</f>
        <v>2</v>
      </c>
      <c r="F23" s="1">
        <f>+'PRIORIZACIÓN (2)'!F22</f>
        <v>3</v>
      </c>
      <c r="G23" s="235">
        <f>SUM(C23:F23)</f>
        <v>5</v>
      </c>
      <c r="H23" s="237" t="str">
        <f>+IF(($C23/$G23)&gt;=0.2,"Extremo",+IF((($C23/G23)+($D23/$G23))&gt;=0.3,"Alto",+IF((($C23/$G23)+($D23/$G23)+($E23/$G23))&gt;=0.4,"Moderado",+IF(($C23/$G23)+($D23/$G23)+($E23/$G23)+($F23/$G23)&gt;=0.5,"Bajo",""))))</f>
        <v>Moderado</v>
      </c>
      <c r="I23" s="6">
        <f>(IF(H23="Extremo",50%,(IF(H23="Alto",40%,IF(H23="Moderado",15%,IF(H23="Bajo",10%,0))))))</f>
        <v>0.15</v>
      </c>
      <c r="J23" s="8" t="s">
        <v>348</v>
      </c>
      <c r="K23" s="227">
        <f>IF(J23="Si",100%,IF(J23="No",0,0))</f>
        <v>1</v>
      </c>
      <c r="L23" s="5" t="s">
        <v>12</v>
      </c>
      <c r="M23" s="6">
        <f>IF(L23="Si",20%,IF(L23="No",0,0))</f>
        <v>0</v>
      </c>
      <c r="N23" s="245">
        <f>+'PRIORIZACIÓN (2)'!Q22</f>
        <v>0</v>
      </c>
      <c r="O23" s="243">
        <f>+$C$6-N23</f>
        <v>45657</v>
      </c>
      <c r="P23" s="241">
        <f>IF(O23&gt;=1080,30%,IF(O23&gt;=720,20%,IF(O23&gt;=360,10%,IF(O23&lt;=359,0%,0))))</f>
        <v>0.3</v>
      </c>
      <c r="Q23" s="239">
        <f>IF(K23=100%,100%,(I23+M23+P23))</f>
        <v>1</v>
      </c>
      <c r="R23" s="27">
        <f t="shared" si="0"/>
        <v>1</v>
      </c>
    </row>
    <row r="24" spans="2:18" ht="15.75" thickBot="1" x14ac:dyDescent="0.3">
      <c r="B24" s="233" t="e">
        <f>+'PRIORIZACIÓN (2)'!B23</f>
        <v>#REF!</v>
      </c>
      <c r="C24" s="5">
        <f>+'PRIORIZACIÓN (2)'!C23</f>
        <v>0</v>
      </c>
      <c r="D24" s="1">
        <f>+'PRIORIZACIÓN (2)'!D23</f>
        <v>0</v>
      </c>
      <c r="E24" s="1">
        <f>+'PRIORIZACIÓN (2)'!E23</f>
        <v>2</v>
      </c>
      <c r="F24" s="1">
        <f>+'PRIORIZACIÓN (2)'!F23</f>
        <v>3</v>
      </c>
      <c r="G24" s="235">
        <f t="shared" si="1"/>
        <v>5</v>
      </c>
      <c r="H24" s="237" t="str">
        <f t="shared" si="2"/>
        <v>Moderado</v>
      </c>
      <c r="I24" s="6">
        <f t="shared" si="3"/>
        <v>0.15</v>
      </c>
      <c r="J24" s="8" t="s">
        <v>348</v>
      </c>
      <c r="K24" s="227">
        <f t="shared" si="4"/>
        <v>1</v>
      </c>
      <c r="L24" s="5" t="s">
        <v>12</v>
      </c>
      <c r="M24" s="6">
        <f t="shared" si="5"/>
        <v>0</v>
      </c>
      <c r="N24" s="245">
        <f>+'PRIORIZACIÓN (2)'!Q23</f>
        <v>0</v>
      </c>
      <c r="O24" s="243">
        <f t="shared" si="6"/>
        <v>45657</v>
      </c>
      <c r="P24" s="241">
        <f t="shared" si="7"/>
        <v>0.3</v>
      </c>
      <c r="Q24" s="239">
        <f t="shared" si="8"/>
        <v>1</v>
      </c>
      <c r="R24" s="27">
        <f t="shared" si="0"/>
        <v>1</v>
      </c>
    </row>
    <row r="25" spans="2:18" ht="30.75" thickBot="1" x14ac:dyDescent="0.3">
      <c r="B25" s="233" t="str">
        <f>+'PRIORIZACIÓN (2)'!B24</f>
        <v>Auditoria implementación sistema de información SIM</v>
      </c>
      <c r="C25" s="5">
        <f>+'PRIORIZACIÓN (2)'!C24</f>
        <v>1</v>
      </c>
      <c r="D25" s="1">
        <f>+'PRIORIZACIÓN (2)'!D24</f>
        <v>0</v>
      </c>
      <c r="E25" s="1">
        <f>+'PRIORIZACIÓN (2)'!E24</f>
        <v>1</v>
      </c>
      <c r="F25" s="1">
        <f>+'PRIORIZACIÓN (2)'!F24</f>
        <v>2</v>
      </c>
      <c r="G25" s="235">
        <f t="shared" si="1"/>
        <v>4</v>
      </c>
      <c r="H25" s="237" t="str">
        <f t="shared" si="2"/>
        <v>Extremo</v>
      </c>
      <c r="I25" s="6">
        <f t="shared" si="3"/>
        <v>0.5</v>
      </c>
      <c r="J25" s="8" t="s">
        <v>12</v>
      </c>
      <c r="K25" s="227">
        <f t="shared" si="4"/>
        <v>0</v>
      </c>
      <c r="L25" s="5" t="s">
        <v>12</v>
      </c>
      <c r="M25" s="6">
        <f t="shared" si="5"/>
        <v>0</v>
      </c>
      <c r="N25" s="245">
        <f>+'PRIORIZACIÓN (2)'!Q24</f>
        <v>0</v>
      </c>
      <c r="O25" s="243">
        <f t="shared" si="6"/>
        <v>45657</v>
      </c>
      <c r="P25" s="241">
        <f t="shared" si="7"/>
        <v>0.3</v>
      </c>
      <c r="Q25" s="239">
        <f t="shared" si="8"/>
        <v>0.8</v>
      </c>
      <c r="R25" s="27">
        <f t="shared" si="0"/>
        <v>10</v>
      </c>
    </row>
    <row r="26" spans="2:18" ht="30.75" thickBot="1" x14ac:dyDescent="0.3">
      <c r="B26" s="233" t="str">
        <f>+'PRIORIZACIÓN (2)'!B25</f>
        <v>Auditoria proyecto misional 1 (proyecto san Bernardo)</v>
      </c>
      <c r="C26" s="5">
        <f>+'PRIORIZACIÓN (2)'!C25</f>
        <v>1</v>
      </c>
      <c r="D26" s="1">
        <f>+'PRIORIZACIÓN (2)'!D25</f>
        <v>0</v>
      </c>
      <c r="E26" s="1">
        <f>+'PRIORIZACIÓN (2)'!E25</f>
        <v>1</v>
      </c>
      <c r="F26" s="1">
        <f>+'PRIORIZACIÓN (2)'!F25</f>
        <v>2</v>
      </c>
      <c r="G26" s="235">
        <f t="shared" ref="G26:G34" si="9">SUM(C26:F26)</f>
        <v>4</v>
      </c>
      <c r="H26" s="237" t="str">
        <f t="shared" ref="H26:H34" si="10">+IF(($C26/$G26)&gt;=0.2,"Extremo",+IF((($C26/G26)+($D26/$G26))&gt;=0.3,"Alto",+IF((($C26/$G26)+($D26/$G26)+($E26/$G26))&gt;=0.4,"Moderado",+IF(($C26/$G26)+($D26/$G26)+($E26/$G26)+($F26/$G26)&gt;=0.5,"Bajo",""))))</f>
        <v>Extremo</v>
      </c>
      <c r="I26" s="6">
        <f t="shared" ref="I26:I34" si="11">(IF(H26="Extremo",50%,(IF(H26="Alto",40%,IF(H26="Moderado",15%,IF(H26="Bajo",10%,0))))))</f>
        <v>0.5</v>
      </c>
      <c r="J26" s="8" t="s">
        <v>12</v>
      </c>
      <c r="K26" s="227">
        <f t="shared" ref="K26:K34" si="12">IF(J26="Si",100%,IF(J26="No",0,0))</f>
        <v>0</v>
      </c>
      <c r="L26" s="5" t="s">
        <v>12</v>
      </c>
      <c r="M26" s="6">
        <f t="shared" ref="M26:M34" si="13">IF(L26="Si",20%,IF(L26="No",0,0))</f>
        <v>0</v>
      </c>
      <c r="N26" s="245">
        <f>+'PRIORIZACIÓN (2)'!Q25</f>
        <v>0</v>
      </c>
      <c r="O26" s="243">
        <f t="shared" ref="O26:O34" si="14">+$C$6-N26</f>
        <v>45657</v>
      </c>
      <c r="P26" s="241">
        <f t="shared" ref="P26:P34" si="15">IF(O26&gt;=1080,30%,IF(O26&gt;=720,20%,IF(O26&gt;=360,10%,IF(O26&lt;=359,0%,0))))</f>
        <v>0.3</v>
      </c>
      <c r="Q26" s="239">
        <f t="shared" ref="Q26:Q34" si="16">IF(K26=100%,100%,(I26+M26+P26))</f>
        <v>0.8</v>
      </c>
      <c r="R26" s="27">
        <f t="shared" si="0"/>
        <v>10</v>
      </c>
    </row>
    <row r="27" spans="2:18" ht="30.75" thickBot="1" x14ac:dyDescent="0.3">
      <c r="B27" s="233" t="str">
        <f>+'PRIORIZACIÓN (2)'!B26</f>
        <v>Auditoria proyecto misional 2 (Actuaciones Estrategicas)</v>
      </c>
      <c r="C27" s="5">
        <f>+'PRIORIZACIÓN (2)'!C26</f>
        <v>1</v>
      </c>
      <c r="D27" s="1">
        <f>+'PRIORIZACIÓN (2)'!D26</f>
        <v>0</v>
      </c>
      <c r="E27" s="1">
        <f>+'PRIORIZACIÓN (2)'!E26</f>
        <v>1</v>
      </c>
      <c r="F27" s="1">
        <f>+'PRIORIZACIÓN (2)'!F26</f>
        <v>2</v>
      </c>
      <c r="G27" s="235">
        <f t="shared" si="9"/>
        <v>4</v>
      </c>
      <c r="H27" s="237" t="str">
        <f t="shared" si="10"/>
        <v>Extremo</v>
      </c>
      <c r="I27" s="6">
        <f t="shared" si="11"/>
        <v>0.5</v>
      </c>
      <c r="J27" s="8" t="s">
        <v>12</v>
      </c>
      <c r="K27" s="227">
        <f t="shared" si="12"/>
        <v>0</v>
      </c>
      <c r="L27" s="5" t="s">
        <v>12</v>
      </c>
      <c r="M27" s="6">
        <f t="shared" si="13"/>
        <v>0</v>
      </c>
      <c r="N27" s="245">
        <f>+'PRIORIZACIÓN (2)'!Q26</f>
        <v>0</v>
      </c>
      <c r="O27" s="243">
        <f t="shared" si="14"/>
        <v>45657</v>
      </c>
      <c r="P27" s="241">
        <f t="shared" si="15"/>
        <v>0.3</v>
      </c>
      <c r="Q27" s="239">
        <f t="shared" si="16"/>
        <v>0.8</v>
      </c>
      <c r="R27" s="27">
        <f t="shared" si="0"/>
        <v>10</v>
      </c>
    </row>
    <row r="28" spans="2:18" ht="15.75" thickBot="1" x14ac:dyDescent="0.3">
      <c r="B28" s="233" t="str">
        <f>+'PRIORIZACIÓN (2)'!B27</f>
        <v>Auditoria de Gestión Contractual</v>
      </c>
      <c r="C28" s="5">
        <f>+'PRIORIZACIÓN (2)'!C27</f>
        <v>0</v>
      </c>
      <c r="D28" s="1">
        <f>+'PRIORIZACIÓN (2)'!D27</f>
        <v>1</v>
      </c>
      <c r="E28" s="1">
        <f>+'PRIORIZACIÓN (2)'!E27</f>
        <v>1</v>
      </c>
      <c r="F28" s="1">
        <f>+'PRIORIZACIÓN (2)'!F27</f>
        <v>4</v>
      </c>
      <c r="G28" s="235">
        <f t="shared" si="9"/>
        <v>6</v>
      </c>
      <c r="H28" s="237" t="str">
        <f t="shared" si="10"/>
        <v>Bajo</v>
      </c>
      <c r="I28" s="6">
        <f t="shared" si="11"/>
        <v>0.1</v>
      </c>
      <c r="J28" s="8" t="s">
        <v>348</v>
      </c>
      <c r="K28" s="227">
        <f t="shared" si="12"/>
        <v>1</v>
      </c>
      <c r="L28" s="5" t="s">
        <v>12</v>
      </c>
      <c r="M28" s="6">
        <f t="shared" si="13"/>
        <v>0</v>
      </c>
      <c r="N28" s="245">
        <f>+'PRIORIZACIÓN (2)'!Q27</f>
        <v>0</v>
      </c>
      <c r="O28" s="243">
        <f t="shared" si="14"/>
        <v>45657</v>
      </c>
      <c r="P28" s="241">
        <f t="shared" si="15"/>
        <v>0.3</v>
      </c>
      <c r="Q28" s="239">
        <f t="shared" si="16"/>
        <v>1</v>
      </c>
      <c r="R28" s="27">
        <f t="shared" si="0"/>
        <v>1</v>
      </c>
    </row>
    <row r="29" spans="2:18" ht="30.75" thickBot="1" x14ac:dyDescent="0.3">
      <c r="B29" s="233" t="str">
        <f>+'PRIORIZACIÓN (2)'!B28</f>
        <v>Auditoria proceso administrativo 1 (Esquema Fiduciario)</v>
      </c>
      <c r="C29" s="5">
        <f>+'PRIORIZACIÓN (2)'!C28</f>
        <v>0</v>
      </c>
      <c r="D29" s="1">
        <f>+'PRIORIZACIÓN (2)'!D28</f>
        <v>1</v>
      </c>
      <c r="E29" s="1">
        <f>+'PRIORIZACIÓN (2)'!E28</f>
        <v>1</v>
      </c>
      <c r="F29" s="1">
        <f>+'PRIORIZACIÓN (2)'!F28</f>
        <v>1</v>
      </c>
      <c r="G29" s="235">
        <f t="shared" si="9"/>
        <v>3</v>
      </c>
      <c r="H29" s="237" t="str">
        <f t="shared" si="10"/>
        <v>Alto</v>
      </c>
      <c r="I29" s="6">
        <f t="shared" si="11"/>
        <v>0.4</v>
      </c>
      <c r="J29" s="8" t="s">
        <v>348</v>
      </c>
      <c r="K29" s="227">
        <f t="shared" si="12"/>
        <v>1</v>
      </c>
      <c r="L29" s="5" t="s">
        <v>12</v>
      </c>
      <c r="M29" s="6">
        <f t="shared" si="13"/>
        <v>0</v>
      </c>
      <c r="N29" s="245">
        <f>+'PRIORIZACIÓN (2)'!Q28</f>
        <v>0</v>
      </c>
      <c r="O29" s="243">
        <f t="shared" si="14"/>
        <v>45657</v>
      </c>
      <c r="P29" s="241">
        <f t="shared" si="15"/>
        <v>0.3</v>
      </c>
      <c r="Q29" s="239">
        <f t="shared" si="16"/>
        <v>1</v>
      </c>
      <c r="R29" s="27">
        <f t="shared" si="0"/>
        <v>1</v>
      </c>
    </row>
    <row r="30" spans="2:18" ht="30.75" thickBot="1" x14ac:dyDescent="0.3">
      <c r="B30" s="233" t="str">
        <f>+'PRIORIZACIÓN (2)'!B29</f>
        <v>Alcaldía los Mártires - Avance Obra - Cumplimiento cronogramas y ejecución presupuestal</v>
      </c>
      <c r="C30" s="5">
        <f>+'PRIORIZACIÓN (2)'!C29</f>
        <v>1</v>
      </c>
      <c r="D30" s="1">
        <f>+'PRIORIZACIÓN (2)'!D29</f>
        <v>0</v>
      </c>
      <c r="E30" s="1">
        <f>+'PRIORIZACIÓN (2)'!E29</f>
        <v>1</v>
      </c>
      <c r="F30" s="1">
        <f>+'PRIORIZACIÓN (2)'!F29</f>
        <v>2</v>
      </c>
      <c r="G30" s="235">
        <f t="shared" si="9"/>
        <v>4</v>
      </c>
      <c r="H30" s="237" t="str">
        <f t="shared" si="10"/>
        <v>Extremo</v>
      </c>
      <c r="I30" s="6">
        <f t="shared" si="11"/>
        <v>0.5</v>
      </c>
      <c r="J30" s="8"/>
      <c r="K30" s="227">
        <f t="shared" si="12"/>
        <v>0</v>
      </c>
      <c r="L30" s="5"/>
      <c r="M30" s="6">
        <f t="shared" si="13"/>
        <v>0</v>
      </c>
      <c r="N30" s="245">
        <f>+'PRIORIZACIÓN (2)'!Q29</f>
        <v>45201</v>
      </c>
      <c r="O30" s="243">
        <f t="shared" si="14"/>
        <v>456</v>
      </c>
      <c r="P30" s="241">
        <f t="shared" si="15"/>
        <v>0.1</v>
      </c>
      <c r="Q30" s="239">
        <f t="shared" si="16"/>
        <v>0.6</v>
      </c>
      <c r="R30" s="27">
        <f>+RANK(Q30,$Q$12:$Q$55,0)</f>
        <v>28</v>
      </c>
    </row>
    <row r="31" spans="2:18" ht="45.75" thickBot="1" x14ac:dyDescent="0.3">
      <c r="B31" s="233" t="str">
        <f>+'PRIORIZACIÓN (2)'!B30</f>
        <v>Bronx Distrito Creativo  - Avance Obra - Cumplimiento cronogramas y ejecución presupuestal</v>
      </c>
      <c r="C31" s="5">
        <f>+'PRIORIZACIÓN (2)'!C30</f>
        <v>0</v>
      </c>
      <c r="D31" s="1">
        <f>+'PRIORIZACIÓN (2)'!D30</f>
        <v>1</v>
      </c>
      <c r="E31" s="1">
        <f>+'PRIORIZACIÓN (2)'!E30</f>
        <v>1</v>
      </c>
      <c r="F31" s="1">
        <f>+'PRIORIZACIÓN (2)'!F30</f>
        <v>1</v>
      </c>
      <c r="G31" s="235">
        <f t="shared" si="9"/>
        <v>3</v>
      </c>
      <c r="H31" s="237" t="str">
        <f t="shared" si="10"/>
        <v>Alto</v>
      </c>
      <c r="I31" s="6">
        <f t="shared" si="11"/>
        <v>0.4</v>
      </c>
      <c r="J31" s="8"/>
      <c r="K31" s="227">
        <f t="shared" si="12"/>
        <v>0</v>
      </c>
      <c r="L31" s="5"/>
      <c r="M31" s="6">
        <f t="shared" si="13"/>
        <v>0</v>
      </c>
      <c r="N31" s="245">
        <f>+'PRIORIZACIÓN (2)'!Q30</f>
        <v>45127</v>
      </c>
      <c r="O31" s="243">
        <f t="shared" si="14"/>
        <v>530</v>
      </c>
      <c r="P31" s="241">
        <f t="shared" si="15"/>
        <v>0.1</v>
      </c>
      <c r="Q31" s="239">
        <f t="shared" si="16"/>
        <v>0.5</v>
      </c>
      <c r="R31" s="27">
        <f t="shared" ref="R31:R55" si="17">+RANK(Q31,$Q$12:$Q$55,0)</f>
        <v>31</v>
      </c>
    </row>
    <row r="32" spans="2:18" ht="45.75" thickBot="1" x14ac:dyDescent="0.3">
      <c r="B32" s="233" t="str">
        <f>+'PRIORIZACIÓN (2)'!B31</f>
        <v>Centro de Formación para el trabajo (SENA)  - Avance Obra - Cumplimiento cronogramas y ejecución presupuestal</v>
      </c>
      <c r="C32" s="5">
        <f>+'PRIORIZACIÓN (2)'!C31</f>
        <v>0</v>
      </c>
      <c r="D32" s="1">
        <f>+'PRIORIZACIÓN (2)'!D31</f>
        <v>1</v>
      </c>
      <c r="E32" s="1">
        <f>+'PRIORIZACIÓN (2)'!E31</f>
        <v>1</v>
      </c>
      <c r="F32" s="1">
        <f>+'PRIORIZACIÓN (2)'!F31</f>
        <v>1</v>
      </c>
      <c r="G32" s="235">
        <f t="shared" si="9"/>
        <v>3</v>
      </c>
      <c r="H32" s="237" t="str">
        <f t="shared" si="10"/>
        <v>Alto</v>
      </c>
      <c r="I32" s="6">
        <f t="shared" si="11"/>
        <v>0.4</v>
      </c>
      <c r="J32" s="8"/>
      <c r="K32" s="227">
        <f t="shared" si="12"/>
        <v>0</v>
      </c>
      <c r="L32" s="5"/>
      <c r="M32" s="6">
        <f t="shared" si="13"/>
        <v>0</v>
      </c>
      <c r="N32" s="245">
        <f>+'PRIORIZACIÓN (2)'!Q31</f>
        <v>45137</v>
      </c>
      <c r="O32" s="243">
        <f t="shared" si="14"/>
        <v>520</v>
      </c>
      <c r="P32" s="241">
        <f>IF(O32&gt;=1080,30%,IF(O32&gt;=720,20%,IF(O32&gt;=360,10%,IF(O32&lt;=359,0%,0))))</f>
        <v>0.1</v>
      </c>
      <c r="Q32" s="239">
        <f t="shared" si="16"/>
        <v>0.5</v>
      </c>
      <c r="R32" s="27">
        <f t="shared" si="17"/>
        <v>31</v>
      </c>
    </row>
    <row r="33" spans="2:18" ht="30.75" thickBot="1" x14ac:dyDescent="0.3">
      <c r="B33" s="233" t="str">
        <f>+'PRIORIZACIÓN (2)'!B32</f>
        <v>Direccionamiento Estratégico y Gobierno Corporativo</v>
      </c>
      <c r="C33" s="5">
        <f>+'PRIORIZACIÓN (2)'!C32</f>
        <v>0</v>
      </c>
      <c r="D33" s="1">
        <f>+'PRIORIZACIÓN (2)'!D32</f>
        <v>0</v>
      </c>
      <c r="E33" s="1">
        <f>+'PRIORIZACIÓN (2)'!E32</f>
        <v>2</v>
      </c>
      <c r="F33" s="1">
        <f>+'PRIORIZACIÓN (2)'!F32</f>
        <v>2</v>
      </c>
      <c r="G33" s="235">
        <f t="shared" si="9"/>
        <v>4</v>
      </c>
      <c r="H33" s="237" t="str">
        <f t="shared" si="10"/>
        <v>Moderado</v>
      </c>
      <c r="I33" s="6">
        <f t="shared" si="11"/>
        <v>0.15</v>
      </c>
      <c r="J33" s="8"/>
      <c r="K33" s="227">
        <f t="shared" si="12"/>
        <v>0</v>
      </c>
      <c r="L33" s="5"/>
      <c r="M33" s="6">
        <f t="shared" si="13"/>
        <v>0</v>
      </c>
      <c r="N33" s="245">
        <f>+'PRIORIZACIÓN (2)'!Q32</f>
        <v>45076</v>
      </c>
      <c r="O33" s="243">
        <f t="shared" si="14"/>
        <v>581</v>
      </c>
      <c r="P33" s="241">
        <f t="shared" si="15"/>
        <v>0.1</v>
      </c>
      <c r="Q33" s="239">
        <f>IF(K33=100%,100%,(I33+M33+P33))</f>
        <v>0.25</v>
      </c>
      <c r="R33" s="27">
        <f t="shared" si="17"/>
        <v>42</v>
      </c>
    </row>
    <row r="34" spans="2:18" ht="15.75" thickBot="1" x14ac:dyDescent="0.3">
      <c r="B34" s="233" t="str">
        <f>+'PRIORIZACIÓN (2)'!B33</f>
        <v>Seguimiento Cumplimiento Norma Archivística ERU</v>
      </c>
      <c r="C34" s="5">
        <f>+'PRIORIZACIÓN (2)'!C33</f>
        <v>1</v>
      </c>
      <c r="D34" s="1">
        <f>+'PRIORIZACIÓN (2)'!D33</f>
        <v>0</v>
      </c>
      <c r="E34" s="1">
        <f>+'PRIORIZACIÓN (2)'!E33</f>
        <v>0</v>
      </c>
      <c r="F34" s="1">
        <f>+'PRIORIZACIÓN (2)'!F33</f>
        <v>3</v>
      </c>
      <c r="G34" s="235">
        <f t="shared" si="9"/>
        <v>4</v>
      </c>
      <c r="H34" s="237" t="str">
        <f t="shared" si="10"/>
        <v>Extremo</v>
      </c>
      <c r="I34" s="6">
        <f t="shared" si="11"/>
        <v>0.5</v>
      </c>
      <c r="J34" s="8"/>
      <c r="K34" s="227">
        <f t="shared" si="12"/>
        <v>0</v>
      </c>
      <c r="L34" s="5"/>
      <c r="M34" s="6">
        <f t="shared" si="13"/>
        <v>0</v>
      </c>
      <c r="N34" s="245">
        <f>+'PRIORIZACIÓN (2)'!Q33</f>
        <v>45093</v>
      </c>
      <c r="O34" s="243">
        <f t="shared" si="14"/>
        <v>564</v>
      </c>
      <c r="P34" s="241">
        <f t="shared" si="15"/>
        <v>0.1</v>
      </c>
      <c r="Q34" s="239">
        <f t="shared" si="16"/>
        <v>0.6</v>
      </c>
      <c r="R34" s="27">
        <f t="shared" si="17"/>
        <v>28</v>
      </c>
    </row>
    <row r="35" spans="2:18" ht="15.75" thickBot="1" x14ac:dyDescent="0.3">
      <c r="B35" s="233" t="str">
        <f>+'PRIORIZACIÓN (2)'!B34</f>
        <v xml:space="preserve">Auditoria Gestión Suelo </v>
      </c>
      <c r="C35" s="5">
        <f>+'PRIORIZACIÓN (2)'!C34</f>
        <v>1</v>
      </c>
      <c r="D35" s="1">
        <f>+'PRIORIZACIÓN (2)'!D34</f>
        <v>0</v>
      </c>
      <c r="E35" s="1">
        <f>+'PRIORIZACIÓN (2)'!E34</f>
        <v>0</v>
      </c>
      <c r="F35" s="1">
        <f>+'PRIORIZACIÓN (2)'!F34</f>
        <v>4</v>
      </c>
      <c r="G35" s="235">
        <f t="shared" ref="G35:G49" si="18">SUM(C35:F35)</f>
        <v>5</v>
      </c>
      <c r="H35" s="237" t="str">
        <f t="shared" ref="H35:H49" si="19">+IF(($C35/$G35)&gt;=0.2,"Extremo",+IF((($C35/G35)+($D35/$G35))&gt;=0.3,"Alto",+IF((($C35/$G35)+($D35/$G35)+($E35/$G35))&gt;=0.4,"Moderado",+IF(($C35/$G35)+($D35/$G35)+($E35/$G35)+($F35/$G35)&gt;=0.5,"Bajo",""))))</f>
        <v>Extremo</v>
      </c>
      <c r="I35" s="6">
        <f t="shared" ref="I35:I49" si="20">(IF(H35="Extremo",50%,(IF(H35="Alto",40%,IF(H35="Moderado",15%,IF(H35="Bajo",10%,0))))))</f>
        <v>0.5</v>
      </c>
      <c r="J35" s="8"/>
      <c r="K35" s="227">
        <f t="shared" ref="K35:K49" si="21">IF(J35="Si",100%,IF(J35="No",0,0))</f>
        <v>0</v>
      </c>
      <c r="L35" s="5"/>
      <c r="M35" s="6">
        <f t="shared" ref="M35:M49" si="22">IF(L35="Si",20%,IF(L35="No",0,0))</f>
        <v>0</v>
      </c>
      <c r="N35" s="245">
        <f>+'PRIORIZACIÓN (2)'!Q34</f>
        <v>45259</v>
      </c>
      <c r="O35" s="243">
        <f t="shared" ref="O35:O49" si="23">+$C$6-N35</f>
        <v>398</v>
      </c>
      <c r="P35" s="241">
        <f t="shared" ref="P35:P49" si="24">IF(O35&gt;=1080,30%,IF(O35&gt;=720,20%,IF(O35&gt;=360,10%,IF(O35&lt;=359,0%,0))))</f>
        <v>0.1</v>
      </c>
      <c r="Q35" s="239">
        <f t="shared" ref="Q35:Q49" si="25">IF(K35=100%,100%,(I35+M35+P35))</f>
        <v>0.6</v>
      </c>
      <c r="R35" s="27">
        <f t="shared" si="17"/>
        <v>28</v>
      </c>
    </row>
    <row r="36" spans="2:18" ht="15.75" thickBot="1" x14ac:dyDescent="0.3">
      <c r="B36" s="233" t="str">
        <f>+'PRIORIZACIÓN (2)'!B35</f>
        <v xml:space="preserve">Sistema de Información Misional </v>
      </c>
      <c r="C36" s="5">
        <f>+'PRIORIZACIÓN (2)'!C35</f>
        <v>0</v>
      </c>
      <c r="D36" s="1">
        <f>+'PRIORIZACIÓN (2)'!D35</f>
        <v>2</v>
      </c>
      <c r="E36" s="1">
        <f>+'PRIORIZACIÓN (2)'!E35</f>
        <v>2</v>
      </c>
      <c r="F36" s="1">
        <f>+'PRIORIZACIÓN (2)'!F35</f>
        <v>2</v>
      </c>
      <c r="G36" s="235">
        <f t="shared" si="18"/>
        <v>6</v>
      </c>
      <c r="H36" s="237" t="str">
        <f t="shared" si="19"/>
        <v>Alto</v>
      </c>
      <c r="I36" s="6">
        <f t="shared" si="20"/>
        <v>0.4</v>
      </c>
      <c r="J36" s="8"/>
      <c r="K36" s="227">
        <f t="shared" si="21"/>
        <v>0</v>
      </c>
      <c r="L36" s="5"/>
      <c r="M36" s="6">
        <f t="shared" si="22"/>
        <v>0</v>
      </c>
      <c r="N36" s="245">
        <f>+'PRIORIZACIÓN (2)'!Q35</f>
        <v>45147</v>
      </c>
      <c r="O36" s="243">
        <f t="shared" si="23"/>
        <v>510</v>
      </c>
      <c r="P36" s="241">
        <f t="shared" si="24"/>
        <v>0.1</v>
      </c>
      <c r="Q36" s="239">
        <f t="shared" si="25"/>
        <v>0.5</v>
      </c>
      <c r="R36" s="27">
        <f t="shared" si="17"/>
        <v>31</v>
      </c>
    </row>
    <row r="37" spans="2:18" ht="30.75" thickBot="1" x14ac:dyDescent="0.3">
      <c r="B37" s="233" t="str">
        <f>+'PRIORIZACIÓN (2)'!B36</f>
        <v>Contratación transversal (Incluye San Victorino y Optimización Nuevo Manual de Contratación)</v>
      </c>
      <c r="C37" s="5">
        <f>+'PRIORIZACIÓN (2)'!C36</f>
        <v>0</v>
      </c>
      <c r="D37" s="1">
        <f>+'PRIORIZACIÓN (2)'!D36</f>
        <v>0</v>
      </c>
      <c r="E37" s="1">
        <f>+'PRIORIZACIÓN (2)'!E36</f>
        <v>3</v>
      </c>
      <c r="F37" s="1">
        <f>+'PRIORIZACIÓN (2)'!F36</f>
        <v>1</v>
      </c>
      <c r="G37" s="235">
        <f t="shared" si="18"/>
        <v>4</v>
      </c>
      <c r="H37" s="237" t="str">
        <f t="shared" si="19"/>
        <v>Moderado</v>
      </c>
      <c r="I37" s="6">
        <f t="shared" si="20"/>
        <v>0.15</v>
      </c>
      <c r="J37" s="8"/>
      <c r="K37" s="227">
        <f t="shared" si="21"/>
        <v>0</v>
      </c>
      <c r="L37" s="5"/>
      <c r="M37" s="6">
        <f t="shared" si="22"/>
        <v>0</v>
      </c>
      <c r="N37" s="245">
        <f>+'PRIORIZACIÓN (2)'!Q36</f>
        <v>45230</v>
      </c>
      <c r="O37" s="243">
        <f t="shared" si="23"/>
        <v>427</v>
      </c>
      <c r="P37" s="241">
        <f t="shared" si="24"/>
        <v>0.1</v>
      </c>
      <c r="Q37" s="239">
        <f t="shared" si="25"/>
        <v>0.25</v>
      </c>
      <c r="R37" s="27">
        <f t="shared" si="17"/>
        <v>42</v>
      </c>
    </row>
    <row r="38" spans="2:18" ht="15.75" thickBot="1" x14ac:dyDescent="0.3">
      <c r="B38" s="233" t="str">
        <f>+'PRIORIZACIÓN (2)'!B37</f>
        <v>Seguimiento Ejecución y avance de proyectos</v>
      </c>
      <c r="C38" s="5">
        <f>+'PRIORIZACIÓN (2)'!C37</f>
        <v>0</v>
      </c>
      <c r="D38" s="1">
        <f>+'PRIORIZACIÓN (2)'!D37</f>
        <v>0</v>
      </c>
      <c r="E38" s="1">
        <f>+'PRIORIZACIÓN (2)'!E37</f>
        <v>1</v>
      </c>
      <c r="F38" s="1">
        <f>+'PRIORIZACIÓN (2)'!F37</f>
        <v>3</v>
      </c>
      <c r="G38" s="235">
        <f t="shared" si="18"/>
        <v>4</v>
      </c>
      <c r="H38" s="237" t="str">
        <f t="shared" si="19"/>
        <v>Bajo</v>
      </c>
      <c r="I38" s="6">
        <f t="shared" si="20"/>
        <v>0.1</v>
      </c>
      <c r="J38" s="8"/>
      <c r="K38" s="227">
        <f t="shared" si="21"/>
        <v>0</v>
      </c>
      <c r="L38" s="5"/>
      <c r="M38" s="6">
        <f t="shared" si="22"/>
        <v>0</v>
      </c>
      <c r="N38" s="245">
        <f>+'PRIORIZACIÓN (2)'!Q37</f>
        <v>45260</v>
      </c>
      <c r="O38" s="243">
        <f t="shared" si="23"/>
        <v>397</v>
      </c>
      <c r="P38" s="241">
        <f t="shared" si="24"/>
        <v>0.1</v>
      </c>
      <c r="Q38" s="239">
        <f t="shared" si="25"/>
        <v>0.2</v>
      </c>
      <c r="R38" s="27">
        <f t="shared" si="17"/>
        <v>44</v>
      </c>
    </row>
    <row r="39" spans="2:18" ht="30.75" thickBot="1" x14ac:dyDescent="0.3">
      <c r="B39" s="233" t="str">
        <f>+'PRIORIZACIÓN (2)'!B38</f>
        <v>Auditoria Contratos arrendamiento - Predios San Victorino</v>
      </c>
      <c r="C39" s="5">
        <f>+'PRIORIZACIÓN (2)'!C38</f>
        <v>0</v>
      </c>
      <c r="D39" s="1">
        <f>+'PRIORIZACIÓN (2)'!D38</f>
        <v>0</v>
      </c>
      <c r="E39" s="1">
        <f>+'PRIORIZACIÓN (2)'!E38</f>
        <v>0</v>
      </c>
      <c r="F39" s="1">
        <f>+'PRIORIZACIÓN (2)'!F38</f>
        <v>3</v>
      </c>
      <c r="G39" s="235">
        <f t="shared" si="18"/>
        <v>3</v>
      </c>
      <c r="H39" s="237" t="str">
        <f t="shared" si="19"/>
        <v>Bajo</v>
      </c>
      <c r="I39" s="6">
        <f t="shared" si="20"/>
        <v>0.1</v>
      </c>
      <c r="J39" s="8"/>
      <c r="K39" s="227">
        <f t="shared" si="21"/>
        <v>0</v>
      </c>
      <c r="L39" s="5"/>
      <c r="M39" s="6">
        <f t="shared" si="22"/>
        <v>0</v>
      </c>
      <c r="N39" s="245">
        <f>+'PRIORIZACIÓN (2)'!Q38</f>
        <v>44612</v>
      </c>
      <c r="O39" s="243">
        <f t="shared" si="23"/>
        <v>1045</v>
      </c>
      <c r="P39" s="241">
        <f t="shared" si="24"/>
        <v>0.2</v>
      </c>
      <c r="Q39" s="239">
        <f t="shared" si="25"/>
        <v>0.30000000000000004</v>
      </c>
      <c r="R39" s="27">
        <f t="shared" si="17"/>
        <v>41</v>
      </c>
    </row>
    <row r="40" spans="2:18" ht="30.75" thickBot="1" x14ac:dyDescent="0.3">
      <c r="B40" s="233" t="str">
        <f>+'PRIORIZACIÓN (2)'!B39</f>
        <v>Voto Nacional (Incluye Edificio Formación para el Trabajo)</v>
      </c>
      <c r="C40" s="5">
        <f>+'PRIORIZACIÓN (2)'!C39</f>
        <v>1</v>
      </c>
      <c r="D40" s="1">
        <f>+'PRIORIZACIÓN (2)'!D39</f>
        <v>1</v>
      </c>
      <c r="E40" s="1">
        <f>+'PRIORIZACIÓN (2)'!E39</f>
        <v>1</v>
      </c>
      <c r="F40" s="1">
        <f>+'PRIORIZACIÓN (2)'!F39</f>
        <v>3</v>
      </c>
      <c r="G40" s="235">
        <f t="shared" si="18"/>
        <v>6</v>
      </c>
      <c r="H40" s="237" t="str">
        <f t="shared" si="19"/>
        <v>Alto</v>
      </c>
      <c r="I40" s="6">
        <f t="shared" si="20"/>
        <v>0.4</v>
      </c>
      <c r="J40" s="8"/>
      <c r="K40" s="227">
        <f t="shared" si="21"/>
        <v>0</v>
      </c>
      <c r="L40" s="5"/>
      <c r="M40" s="6">
        <f t="shared" si="22"/>
        <v>0</v>
      </c>
      <c r="N40" s="245">
        <f>+'PRIORIZACIÓN (2)'!Q39</f>
        <v>44696</v>
      </c>
      <c r="O40" s="243">
        <f t="shared" si="23"/>
        <v>961</v>
      </c>
      <c r="P40" s="241">
        <f t="shared" si="24"/>
        <v>0.2</v>
      </c>
      <c r="Q40" s="239">
        <f t="shared" si="25"/>
        <v>0.60000000000000009</v>
      </c>
      <c r="R40" s="27">
        <f t="shared" si="17"/>
        <v>21</v>
      </c>
    </row>
    <row r="41" spans="2:18" ht="15.75" thickBot="1" x14ac:dyDescent="0.3">
      <c r="B41" s="233" t="str">
        <f>+'PRIORIZACIÓN (2)'!B40</f>
        <v>Auditoria Proceso Terceros Concurrentes</v>
      </c>
      <c r="C41" s="5">
        <f>+'PRIORIZACIÓN (2)'!C40</f>
        <v>1</v>
      </c>
      <c r="D41" s="1">
        <f>+'PRIORIZACIÓN (2)'!D40</f>
        <v>1</v>
      </c>
      <c r="E41" s="1">
        <f>+'PRIORIZACIÓN (2)'!E40</f>
        <v>1</v>
      </c>
      <c r="F41" s="1">
        <f>+'PRIORIZACIÓN (2)'!F40</f>
        <v>3</v>
      </c>
      <c r="G41" s="235">
        <f t="shared" si="18"/>
        <v>6</v>
      </c>
      <c r="H41" s="237" t="str">
        <f t="shared" si="19"/>
        <v>Alto</v>
      </c>
      <c r="I41" s="6">
        <f t="shared" si="20"/>
        <v>0.4</v>
      </c>
      <c r="J41" s="8"/>
      <c r="K41" s="227">
        <f t="shared" si="21"/>
        <v>0</v>
      </c>
      <c r="L41" s="5"/>
      <c r="M41" s="6">
        <f t="shared" si="22"/>
        <v>0</v>
      </c>
      <c r="N41" s="245">
        <f>+'PRIORIZACIÓN (2)'!Q40</f>
        <v>44764</v>
      </c>
      <c r="O41" s="243">
        <f t="shared" si="23"/>
        <v>893</v>
      </c>
      <c r="P41" s="241">
        <f t="shared" si="24"/>
        <v>0.2</v>
      </c>
      <c r="Q41" s="239">
        <f t="shared" si="25"/>
        <v>0.60000000000000009</v>
      </c>
      <c r="R41" s="27">
        <f t="shared" si="17"/>
        <v>21</v>
      </c>
    </row>
    <row r="42" spans="2:18" ht="30.75" thickBot="1" x14ac:dyDescent="0.3">
      <c r="B42" s="233" t="str">
        <f>+'PRIORIZACIÓN (2)'!B41</f>
        <v>Sistemas de Información Misionales de la Empresa (Contratación)</v>
      </c>
      <c r="C42" s="5">
        <f>+'PRIORIZACIÓN (2)'!C41</f>
        <v>1</v>
      </c>
      <c r="D42" s="1">
        <f>+'PRIORIZACIÓN (2)'!D41</f>
        <v>1</v>
      </c>
      <c r="E42" s="1">
        <f>+'PRIORIZACIÓN (2)'!E41</f>
        <v>0</v>
      </c>
      <c r="F42" s="1">
        <f>+'PRIORIZACIÓN (2)'!F41</f>
        <v>4</v>
      </c>
      <c r="G42" s="235">
        <f t="shared" si="18"/>
        <v>6</v>
      </c>
      <c r="H42" s="237" t="str">
        <f t="shared" si="19"/>
        <v>Alto</v>
      </c>
      <c r="I42" s="6">
        <f t="shared" si="20"/>
        <v>0.4</v>
      </c>
      <c r="J42" s="8"/>
      <c r="K42" s="227">
        <f t="shared" si="21"/>
        <v>0</v>
      </c>
      <c r="L42" s="5"/>
      <c r="M42" s="6">
        <f t="shared" si="22"/>
        <v>0</v>
      </c>
      <c r="N42" s="245">
        <f>+'PRIORIZACIÓN (2)'!Q41</f>
        <v>44803</v>
      </c>
      <c r="O42" s="243">
        <f t="shared" si="23"/>
        <v>854</v>
      </c>
      <c r="P42" s="241">
        <f t="shared" si="24"/>
        <v>0.2</v>
      </c>
      <c r="Q42" s="239">
        <f t="shared" si="25"/>
        <v>0.60000000000000009</v>
      </c>
      <c r="R42" s="27">
        <f t="shared" si="17"/>
        <v>21</v>
      </c>
    </row>
    <row r="43" spans="2:18" ht="30.75" thickBot="1" x14ac:dyDescent="0.3">
      <c r="B43" s="233" t="str">
        <f>+'PRIORIZACIÓN (2)'!B42</f>
        <v>Servicios Administrativos y de apoyo - PIGA - Talento Humano -  Servicios Logísticos</v>
      </c>
      <c r="C43" s="5">
        <f>+'PRIORIZACIÓN (2)'!C42</f>
        <v>1</v>
      </c>
      <c r="D43" s="1">
        <f>+'PRIORIZACIÓN (2)'!D42</f>
        <v>1</v>
      </c>
      <c r="E43" s="1">
        <f>+'PRIORIZACIÓN (2)'!E42</f>
        <v>2</v>
      </c>
      <c r="F43" s="1">
        <f>+'PRIORIZACIÓN (2)'!F42</f>
        <v>2</v>
      </c>
      <c r="G43" s="235">
        <f t="shared" si="18"/>
        <v>6</v>
      </c>
      <c r="H43" s="237" t="str">
        <f t="shared" si="19"/>
        <v>Alto</v>
      </c>
      <c r="I43" s="6">
        <f t="shared" si="20"/>
        <v>0.4</v>
      </c>
      <c r="J43" s="8"/>
      <c r="K43" s="227">
        <f t="shared" si="21"/>
        <v>0</v>
      </c>
      <c r="L43" s="5"/>
      <c r="M43" s="6">
        <f t="shared" si="22"/>
        <v>0</v>
      </c>
      <c r="N43" s="245">
        <f>+'PRIORIZACIÓN (2)'!Q42</f>
        <v>44895</v>
      </c>
      <c r="O43" s="243">
        <f t="shared" si="23"/>
        <v>762</v>
      </c>
      <c r="P43" s="241">
        <f t="shared" si="24"/>
        <v>0.2</v>
      </c>
      <c r="Q43" s="239">
        <f t="shared" si="25"/>
        <v>0.60000000000000009</v>
      </c>
      <c r="R43" s="27">
        <f t="shared" si="17"/>
        <v>21</v>
      </c>
    </row>
    <row r="44" spans="2:18" ht="15.75" thickBot="1" x14ac:dyDescent="0.3">
      <c r="B44" s="233" t="str">
        <f>+'PRIORIZACIÓN (2)'!B43</f>
        <v>Costeo de los proyectos y rentabilidad de la Empresa</v>
      </c>
      <c r="C44" s="5">
        <f>+'PRIORIZACIÓN (2)'!C43</f>
        <v>1</v>
      </c>
      <c r="D44" s="1">
        <f>+'PRIORIZACIÓN (2)'!D43</f>
        <v>1</v>
      </c>
      <c r="E44" s="1">
        <f>+'PRIORIZACIÓN (2)'!E43</f>
        <v>1</v>
      </c>
      <c r="F44" s="1">
        <f>+'PRIORIZACIÓN (2)'!F43</f>
        <v>3</v>
      </c>
      <c r="G44" s="235">
        <f t="shared" si="18"/>
        <v>6</v>
      </c>
      <c r="H44" s="237" t="str">
        <f t="shared" si="19"/>
        <v>Alto</v>
      </c>
      <c r="I44" s="6">
        <f t="shared" si="20"/>
        <v>0.4</v>
      </c>
      <c r="J44" s="8"/>
      <c r="K44" s="227">
        <f t="shared" si="21"/>
        <v>0</v>
      </c>
      <c r="L44" s="5"/>
      <c r="M44" s="6">
        <f t="shared" si="22"/>
        <v>0</v>
      </c>
      <c r="N44" s="245">
        <f>+'PRIORIZACIÓN (2)'!Q43</f>
        <v>44829</v>
      </c>
      <c r="O44" s="243">
        <f t="shared" si="23"/>
        <v>828</v>
      </c>
      <c r="P44" s="241">
        <f t="shared" si="24"/>
        <v>0.2</v>
      </c>
      <c r="Q44" s="239">
        <f t="shared" si="25"/>
        <v>0.60000000000000009</v>
      </c>
      <c r="R44" s="27">
        <f t="shared" si="17"/>
        <v>21</v>
      </c>
    </row>
    <row r="45" spans="2:18" ht="30.75" thickBot="1" x14ac:dyDescent="0.3">
      <c r="B45" s="233" t="str">
        <f>+'PRIORIZACIÓN (2)'!B44</f>
        <v>Seguimiento Resolución 1519 de 2021  y acceso a la Información</v>
      </c>
      <c r="C45" s="5">
        <f>+'PRIORIZACIÓN (2)'!C44</f>
        <v>0</v>
      </c>
      <c r="D45" s="1">
        <f>+'PRIORIZACIÓN (2)'!D44</f>
        <v>1</v>
      </c>
      <c r="E45" s="1">
        <f>+'PRIORIZACIÓN (2)'!E44</f>
        <v>2</v>
      </c>
      <c r="F45" s="1">
        <f>+'PRIORIZACIÓN (2)'!F44</f>
        <v>2</v>
      </c>
      <c r="G45" s="235">
        <f t="shared" si="18"/>
        <v>5</v>
      </c>
      <c r="H45" s="237" t="str">
        <f t="shared" si="19"/>
        <v>Moderado</v>
      </c>
      <c r="I45" s="6">
        <f t="shared" si="20"/>
        <v>0.15</v>
      </c>
      <c r="J45" s="8"/>
      <c r="K45" s="227">
        <f t="shared" si="21"/>
        <v>0</v>
      </c>
      <c r="L45" s="5"/>
      <c r="M45" s="6">
        <f t="shared" si="22"/>
        <v>0</v>
      </c>
      <c r="N45" s="245">
        <f>+'PRIORIZACIÓN (2)'!Q44</f>
        <v>44895</v>
      </c>
      <c r="O45" s="243">
        <f t="shared" si="23"/>
        <v>762</v>
      </c>
      <c r="P45" s="241">
        <f t="shared" si="24"/>
        <v>0.2</v>
      </c>
      <c r="Q45" s="239">
        <f t="shared" si="25"/>
        <v>0.35</v>
      </c>
      <c r="R45" s="27">
        <f t="shared" si="17"/>
        <v>38</v>
      </c>
    </row>
    <row r="46" spans="2:18" ht="45.75" thickBot="1" x14ac:dyDescent="0.3">
      <c r="B46" s="233" t="str">
        <f>+'PRIORIZACIÓN (2)'!B45</f>
        <v>Seguimiento Auditoria de Fiducias (Plan de Mejoramiento y Contratación por vencimiento de términos Fiducias actuales)</v>
      </c>
      <c r="C46" s="5">
        <f>+'PRIORIZACIÓN (2)'!C45</f>
        <v>0</v>
      </c>
      <c r="D46" s="1">
        <f>+'PRIORIZACIÓN (2)'!D45</f>
        <v>1</v>
      </c>
      <c r="E46" s="1">
        <f>+'PRIORIZACIÓN (2)'!E45</f>
        <v>1</v>
      </c>
      <c r="F46" s="1">
        <f>+'PRIORIZACIÓN (2)'!F45</f>
        <v>1</v>
      </c>
      <c r="G46" s="235">
        <f t="shared" si="18"/>
        <v>3</v>
      </c>
      <c r="H46" s="237" t="str">
        <f t="shared" si="19"/>
        <v>Alto</v>
      </c>
      <c r="I46" s="6">
        <f t="shared" si="20"/>
        <v>0.4</v>
      </c>
      <c r="J46" s="8"/>
      <c r="K46" s="227">
        <f t="shared" si="21"/>
        <v>0</v>
      </c>
      <c r="L46" s="5"/>
      <c r="M46" s="6">
        <f t="shared" si="22"/>
        <v>0</v>
      </c>
      <c r="N46" s="245">
        <f>+'PRIORIZACIÓN (2)'!Q45</f>
        <v>44895</v>
      </c>
      <c r="O46" s="243">
        <f t="shared" si="23"/>
        <v>762</v>
      </c>
      <c r="P46" s="241">
        <f t="shared" si="24"/>
        <v>0.2</v>
      </c>
      <c r="Q46" s="239">
        <f t="shared" si="25"/>
        <v>0.60000000000000009</v>
      </c>
      <c r="R46" s="27">
        <f t="shared" si="17"/>
        <v>21</v>
      </c>
    </row>
    <row r="47" spans="2:18" ht="30.75" thickBot="1" x14ac:dyDescent="0.3">
      <c r="B47" s="233" t="str">
        <f>+'PRIORIZACIÓN (2)'!B46</f>
        <v>Seguimiento Comités Institucionales (Actividad pendiente de finalizar de la Vigencia 2021)</v>
      </c>
      <c r="C47" s="5">
        <f>+'PRIORIZACIÓN (2)'!C46</f>
        <v>0</v>
      </c>
      <c r="D47" s="1">
        <f>+'PRIORIZACIÓN (2)'!D46</f>
        <v>2</v>
      </c>
      <c r="E47" s="1">
        <f>+'PRIORIZACIÓN (2)'!E46</f>
        <v>2</v>
      </c>
      <c r="F47" s="1">
        <f>+'PRIORIZACIÓN (2)'!F46</f>
        <v>2</v>
      </c>
      <c r="G47" s="235">
        <f t="shared" si="18"/>
        <v>6</v>
      </c>
      <c r="H47" s="237" t="str">
        <f t="shared" si="19"/>
        <v>Alto</v>
      </c>
      <c r="I47" s="6">
        <f t="shared" si="20"/>
        <v>0.4</v>
      </c>
      <c r="J47" s="8"/>
      <c r="K47" s="227">
        <f t="shared" si="21"/>
        <v>0</v>
      </c>
      <c r="L47" s="5"/>
      <c r="M47" s="6">
        <f t="shared" si="22"/>
        <v>0</v>
      </c>
      <c r="N47" s="245">
        <f>+'PRIORIZACIÓN (2)'!Q46</f>
        <v>44614</v>
      </c>
      <c r="O47" s="243">
        <f t="shared" si="23"/>
        <v>1043</v>
      </c>
      <c r="P47" s="241">
        <f t="shared" si="24"/>
        <v>0.2</v>
      </c>
      <c r="Q47" s="239">
        <f t="shared" si="25"/>
        <v>0.60000000000000009</v>
      </c>
      <c r="R47" s="27">
        <f t="shared" si="17"/>
        <v>21</v>
      </c>
    </row>
    <row r="48" spans="2:18" ht="15.75" thickBot="1" x14ac:dyDescent="0.3">
      <c r="B48" s="233" t="str">
        <f>+'PRIORIZACIÓN (2)'!B47</f>
        <v>Seguimiento Plan de Mejoramiento Archivística</v>
      </c>
      <c r="C48" s="5">
        <f>+'PRIORIZACIÓN (2)'!C47</f>
        <v>0</v>
      </c>
      <c r="D48" s="1">
        <f>+'PRIORIZACIÓN (2)'!D47</f>
        <v>1</v>
      </c>
      <c r="E48" s="1">
        <f>+'PRIORIZACIÓN (2)'!E47</f>
        <v>1</v>
      </c>
      <c r="F48" s="1">
        <f>+'PRIORIZACIÓN (2)'!F47</f>
        <v>3</v>
      </c>
      <c r="G48" s="235">
        <f t="shared" si="18"/>
        <v>5</v>
      </c>
      <c r="H48" s="237" t="str">
        <f t="shared" si="19"/>
        <v>Moderado</v>
      </c>
      <c r="I48" s="6">
        <f t="shared" si="20"/>
        <v>0.15</v>
      </c>
      <c r="J48" s="8"/>
      <c r="K48" s="227">
        <f t="shared" si="21"/>
        <v>0</v>
      </c>
      <c r="L48" s="5"/>
      <c r="M48" s="6">
        <f t="shared" si="22"/>
        <v>0</v>
      </c>
      <c r="N48" s="245">
        <f>+'PRIORIZACIÓN (2)'!Q47</f>
        <v>44864</v>
      </c>
      <c r="O48" s="243">
        <f t="shared" si="23"/>
        <v>793</v>
      </c>
      <c r="P48" s="241">
        <f>IF(O48&gt;=1080,30%,IF(O48&gt;=720,20%,IF(O48&gt;=360,10%,IF(O48&lt;=359,0%,0))))</f>
        <v>0.2</v>
      </c>
      <c r="Q48" s="239">
        <f t="shared" si="25"/>
        <v>0.35</v>
      </c>
      <c r="R48" s="27">
        <f t="shared" si="17"/>
        <v>38</v>
      </c>
    </row>
    <row r="49" spans="2:18" ht="45.75" thickBot="1" x14ac:dyDescent="0.3">
      <c r="B49" s="233" t="str">
        <f>+'PRIORIZACIÓN (2)'!B48</f>
        <v>Evaluación del Estatuto de Auditoria, Código de Ética del Auditor y Plan de Mejoramiento de las Auditorias Cruzadas</v>
      </c>
      <c r="C49" s="5">
        <f>+'PRIORIZACIÓN (2)'!C48</f>
        <v>0</v>
      </c>
      <c r="D49" s="1">
        <f>+'PRIORIZACIÓN (2)'!D48</f>
        <v>1</v>
      </c>
      <c r="E49" s="1">
        <f>+'PRIORIZACIÓN (2)'!E48</f>
        <v>2</v>
      </c>
      <c r="F49" s="1">
        <f>+'PRIORIZACIÓN (2)'!F48</f>
        <v>2</v>
      </c>
      <c r="G49" s="235">
        <f t="shared" si="18"/>
        <v>5</v>
      </c>
      <c r="H49" s="237" t="str">
        <f t="shared" si="19"/>
        <v>Moderado</v>
      </c>
      <c r="I49" s="6">
        <f t="shared" si="20"/>
        <v>0.15</v>
      </c>
      <c r="J49" s="8"/>
      <c r="K49" s="227">
        <f t="shared" si="21"/>
        <v>0</v>
      </c>
      <c r="L49" s="5"/>
      <c r="M49" s="6">
        <f t="shared" si="22"/>
        <v>0</v>
      </c>
      <c r="N49" s="245">
        <f>+'PRIORIZACIÓN (2)'!Q48</f>
        <v>44651</v>
      </c>
      <c r="O49" s="243">
        <f t="shared" si="23"/>
        <v>1006</v>
      </c>
      <c r="P49" s="241">
        <f t="shared" si="24"/>
        <v>0.2</v>
      </c>
      <c r="Q49" s="239">
        <f t="shared" si="25"/>
        <v>0.35</v>
      </c>
      <c r="R49" s="27">
        <f t="shared" si="17"/>
        <v>38</v>
      </c>
    </row>
    <row r="50" spans="2:18" ht="30.75" thickBot="1" x14ac:dyDescent="0.3">
      <c r="B50" s="233" t="str">
        <f>+'PRIORIZACIÓN (2)'!B49</f>
        <v>Factores de Gestión Prioritarias para la Empresa (análisis OCI) y Fortalecimiento Institucional</v>
      </c>
      <c r="C50" s="5">
        <f>+'PRIORIZACIÓN (2)'!C49</f>
        <v>0</v>
      </c>
      <c r="D50" s="1">
        <f>+'PRIORIZACIÓN (2)'!D49</f>
        <v>0</v>
      </c>
      <c r="E50" s="1">
        <f>+'PRIORIZACIÓN (2)'!E49</f>
        <v>2</v>
      </c>
      <c r="F50" s="1">
        <f>+'PRIORIZACIÓN (2)'!F49</f>
        <v>2</v>
      </c>
      <c r="G50" s="235">
        <f t="shared" ref="G50:G55" si="26">SUM(C50:F50)</f>
        <v>4</v>
      </c>
      <c r="H50" s="237" t="str">
        <f t="shared" ref="H50:H55" si="27">+IF(($C50/$G50)&gt;=0.2,"Extremo",+IF((($C50/G50)+($D50/$G50))&gt;=0.3,"Alto",+IF((($C50/$G50)+($D50/$G50)+($E50/$G50))&gt;=0.4,"Moderado",+IF(($C50/$G50)+($D50/$G50)+($E50/$G50)+($F50/$G50)&gt;=0.5,"Bajo",""))))</f>
        <v>Moderado</v>
      </c>
      <c r="I50" s="6">
        <f t="shared" ref="I50:I55" si="28">(IF(H50="Extremo",50%,(IF(H50="Alto",40%,IF(H50="Moderado",15%,IF(H50="Bajo",10%,0))))))</f>
        <v>0.15</v>
      </c>
      <c r="J50" s="8"/>
      <c r="K50" s="227">
        <f t="shared" ref="K50:K55" si="29">IF(J50="Si",100%,IF(J50="No",0,0))</f>
        <v>0</v>
      </c>
      <c r="L50" s="5"/>
      <c r="M50" s="6">
        <f t="shared" ref="M50:M55" si="30">IF(L50="Si",20%,IF(L50="No",0,0))</f>
        <v>0</v>
      </c>
      <c r="N50" s="245">
        <f>+'PRIORIZACIÓN (2)'!Q49</f>
        <v>44428</v>
      </c>
      <c r="O50" s="243">
        <f t="shared" ref="O50:O55" si="31">+$C$6-N50</f>
        <v>1229</v>
      </c>
      <c r="P50" s="241">
        <f t="shared" ref="P50:P55" si="32">IF(O50&gt;=1080,30%,IF(O50&gt;=720,20%,IF(O50&gt;=360,10%,IF(O50&lt;=359,0%,0))))</f>
        <v>0.3</v>
      </c>
      <c r="Q50" s="239">
        <f t="shared" ref="Q50:Q55" si="33">IF(K50=100%,100%,(I50+M50+P50))</f>
        <v>0.44999999999999996</v>
      </c>
      <c r="R50" s="27">
        <f t="shared" si="17"/>
        <v>34</v>
      </c>
    </row>
    <row r="51" spans="2:18" ht="30.75" thickBot="1" x14ac:dyDescent="0.3">
      <c r="B51" s="233" t="str">
        <f>+'PRIORIZACIÓN (2)'!B50</f>
        <v>Auditoria de Fiducias. Alcance por muestra confiable.</v>
      </c>
      <c r="C51" s="5">
        <f>+'PRIORIZACIÓN (2)'!C50</f>
        <v>0</v>
      </c>
      <c r="D51" s="1">
        <f>+'PRIORIZACIÓN (2)'!D50</f>
        <v>1</v>
      </c>
      <c r="E51" s="1">
        <f>+'PRIORIZACIÓN (2)'!E50</f>
        <v>1</v>
      </c>
      <c r="F51" s="1">
        <f>+'PRIORIZACIÓN (2)'!F50</f>
        <v>1</v>
      </c>
      <c r="G51" s="235">
        <f t="shared" si="26"/>
        <v>3</v>
      </c>
      <c r="H51" s="237" t="str">
        <f t="shared" si="27"/>
        <v>Alto</v>
      </c>
      <c r="I51" s="6">
        <f t="shared" si="28"/>
        <v>0.4</v>
      </c>
      <c r="J51" s="8"/>
      <c r="K51" s="227">
        <f t="shared" si="29"/>
        <v>0</v>
      </c>
      <c r="L51" s="5"/>
      <c r="M51" s="6">
        <f t="shared" si="30"/>
        <v>0</v>
      </c>
      <c r="N51" s="245">
        <f>+'PRIORIZACIÓN (2)'!Q50</f>
        <v>44502</v>
      </c>
      <c r="O51" s="243">
        <f t="shared" si="31"/>
        <v>1155</v>
      </c>
      <c r="P51" s="241">
        <f t="shared" si="32"/>
        <v>0.3</v>
      </c>
      <c r="Q51" s="239">
        <f t="shared" si="33"/>
        <v>0.7</v>
      </c>
      <c r="R51" s="27">
        <f t="shared" si="17"/>
        <v>19</v>
      </c>
    </row>
    <row r="52" spans="2:18" ht="30.75" thickBot="1" x14ac:dyDescent="0.3">
      <c r="B52" s="233" t="str">
        <f>+'PRIORIZACIÓN (2)'!B51</f>
        <v>Auditoria Plan estratégico y gestión Tecnología y Comunicaciones</v>
      </c>
      <c r="C52" s="5">
        <f>+'PRIORIZACIÓN (2)'!C51</f>
        <v>0</v>
      </c>
      <c r="D52" s="1">
        <f>+'PRIORIZACIÓN (2)'!D51</f>
        <v>2</v>
      </c>
      <c r="E52" s="1">
        <f>+'PRIORIZACIÓN (2)'!E51</f>
        <v>2</v>
      </c>
      <c r="F52" s="1">
        <f>+'PRIORIZACIÓN (2)'!F51</f>
        <v>2</v>
      </c>
      <c r="G52" s="235">
        <f t="shared" si="26"/>
        <v>6</v>
      </c>
      <c r="H52" s="237" t="str">
        <f t="shared" si="27"/>
        <v>Alto</v>
      </c>
      <c r="I52" s="6">
        <f t="shared" si="28"/>
        <v>0.4</v>
      </c>
      <c r="J52" s="8"/>
      <c r="K52" s="227">
        <f t="shared" si="29"/>
        <v>0</v>
      </c>
      <c r="L52" s="5"/>
      <c r="M52" s="6">
        <f t="shared" si="30"/>
        <v>0</v>
      </c>
      <c r="N52" s="245">
        <f>+'PRIORIZACIÓN (2)'!Q51</f>
        <v>44523</v>
      </c>
      <c r="O52" s="243">
        <f t="shared" si="31"/>
        <v>1134</v>
      </c>
      <c r="P52" s="241">
        <f t="shared" si="32"/>
        <v>0.3</v>
      </c>
      <c r="Q52" s="239">
        <f t="shared" si="33"/>
        <v>0.7</v>
      </c>
      <c r="R52" s="27">
        <f t="shared" si="17"/>
        <v>19</v>
      </c>
    </row>
    <row r="53" spans="2:18" ht="45.75" thickBot="1" x14ac:dyDescent="0.3">
      <c r="B53" s="233" t="str">
        <f>+'PRIORIZACIÓN (2)'!B52</f>
        <v>Proyecto: Formulación, Gestión y Estructuración de Proyectos de Desarrollo, Revitalización o Renovación Urbana. Incluido aspecto contractual</v>
      </c>
      <c r="C53" s="5">
        <f>+'PRIORIZACIÓN (2)'!C52</f>
        <v>0</v>
      </c>
      <c r="D53" s="1">
        <f>+'PRIORIZACIÓN (2)'!D52</f>
        <v>1</v>
      </c>
      <c r="E53" s="1">
        <f>+'PRIORIZACIÓN (2)'!E52</f>
        <v>1</v>
      </c>
      <c r="F53" s="1">
        <f>+'PRIORIZACIÓN (2)'!F52</f>
        <v>3</v>
      </c>
      <c r="G53" s="235">
        <f t="shared" si="26"/>
        <v>5</v>
      </c>
      <c r="H53" s="237" t="str">
        <f t="shared" si="27"/>
        <v>Moderado</v>
      </c>
      <c r="I53" s="6">
        <f t="shared" si="28"/>
        <v>0.15</v>
      </c>
      <c r="J53" s="8"/>
      <c r="K53" s="227">
        <f t="shared" si="29"/>
        <v>0</v>
      </c>
      <c r="L53" s="5"/>
      <c r="M53" s="6">
        <f t="shared" si="30"/>
        <v>0</v>
      </c>
      <c r="N53" s="245">
        <f>+'PRIORIZACIÓN (2)'!Q52</f>
        <v>44553</v>
      </c>
      <c r="O53" s="243">
        <f t="shared" si="31"/>
        <v>1104</v>
      </c>
      <c r="P53" s="241">
        <f t="shared" si="32"/>
        <v>0.3</v>
      </c>
      <c r="Q53" s="239">
        <f t="shared" si="33"/>
        <v>0.44999999999999996</v>
      </c>
      <c r="R53" s="27">
        <f t="shared" si="17"/>
        <v>34</v>
      </c>
    </row>
    <row r="54" spans="2:18" ht="30.75" thickBot="1" x14ac:dyDescent="0.3">
      <c r="B54" s="233" t="str">
        <f>+'PRIORIZACIÓN (2)'!B53</f>
        <v>Auditoria Gestión Social asociada a la Adquisición Predial y grupos de interés</v>
      </c>
      <c r="C54" s="5">
        <f>+'PRIORIZACIÓN (2)'!C53</f>
        <v>0</v>
      </c>
      <c r="D54" s="1">
        <f>+'PRIORIZACIÓN (2)'!D53</f>
        <v>1</v>
      </c>
      <c r="E54" s="1">
        <f>+'PRIORIZACIÓN (2)'!E53</f>
        <v>2</v>
      </c>
      <c r="F54" s="1">
        <f>+'PRIORIZACIÓN (2)'!F53</f>
        <v>2</v>
      </c>
      <c r="G54" s="235">
        <f t="shared" si="26"/>
        <v>5</v>
      </c>
      <c r="H54" s="237" t="str">
        <f t="shared" si="27"/>
        <v>Moderado</v>
      </c>
      <c r="I54" s="6">
        <f t="shared" si="28"/>
        <v>0.15</v>
      </c>
      <c r="J54" s="8"/>
      <c r="K54" s="227">
        <f t="shared" si="29"/>
        <v>0</v>
      </c>
      <c r="L54" s="5"/>
      <c r="M54" s="6">
        <f t="shared" si="30"/>
        <v>0</v>
      </c>
      <c r="N54" s="245">
        <f>+'PRIORIZACIÓN (2)'!Q53</f>
        <v>44553</v>
      </c>
      <c r="O54" s="243">
        <f t="shared" si="31"/>
        <v>1104</v>
      </c>
      <c r="P54" s="241">
        <f t="shared" si="32"/>
        <v>0.3</v>
      </c>
      <c r="Q54" s="239">
        <f t="shared" si="33"/>
        <v>0.44999999999999996</v>
      </c>
      <c r="R54" s="27">
        <f t="shared" si="17"/>
        <v>34</v>
      </c>
    </row>
    <row r="55" spans="2:18" ht="45" x14ac:dyDescent="0.25">
      <c r="B55" s="233" t="str">
        <f>+'PRIORIZACIÓN (2)'!B54</f>
        <v>Auditoria Proceso Evaluación y seguimiento - Normas Internacionales de Auditoria - Oficina PAD
Auditorias cruzadas OCI - Alcaldia.</v>
      </c>
      <c r="C55" s="5">
        <f>+'PRIORIZACIÓN (2)'!C54</f>
        <v>0</v>
      </c>
      <c r="D55" s="1">
        <f>+'PRIORIZACIÓN (2)'!D54</f>
        <v>0</v>
      </c>
      <c r="E55" s="1">
        <f>+'PRIORIZACIÓN (2)'!E54</f>
        <v>2</v>
      </c>
      <c r="F55" s="1">
        <f>+'PRIORIZACIÓN (2)'!F54</f>
        <v>2</v>
      </c>
      <c r="G55" s="235">
        <f t="shared" si="26"/>
        <v>4</v>
      </c>
      <c r="H55" s="237" t="str">
        <f t="shared" si="27"/>
        <v>Moderado</v>
      </c>
      <c r="I55" s="6">
        <f t="shared" si="28"/>
        <v>0.15</v>
      </c>
      <c r="J55" s="8"/>
      <c r="K55" s="227">
        <f t="shared" si="29"/>
        <v>0</v>
      </c>
      <c r="L55" s="5"/>
      <c r="M55" s="6">
        <f t="shared" si="30"/>
        <v>0</v>
      </c>
      <c r="N55" s="245">
        <f>+'PRIORIZACIÓN (2)'!Q54</f>
        <v>44484</v>
      </c>
      <c r="O55" s="243">
        <f t="shared" si="31"/>
        <v>1173</v>
      </c>
      <c r="P55" s="241">
        <f t="shared" si="32"/>
        <v>0.3</v>
      </c>
      <c r="Q55" s="239">
        <f t="shared" si="33"/>
        <v>0.44999999999999996</v>
      </c>
      <c r="R55" s="27">
        <f t="shared" si="17"/>
        <v>34</v>
      </c>
    </row>
    <row r="57" spans="2:18" ht="15.75" thickBot="1" x14ac:dyDescent="0.3"/>
    <row r="58" spans="2:18" x14ac:dyDescent="0.25">
      <c r="B58" s="11"/>
      <c r="C58" s="28"/>
      <c r="D58" s="12"/>
      <c r="E58" s="12"/>
      <c r="F58" s="12"/>
      <c r="G58" s="12"/>
      <c r="H58" s="12"/>
      <c r="I58" s="12"/>
      <c r="J58" s="12"/>
      <c r="K58" s="12"/>
      <c r="L58" s="12"/>
      <c r="M58" s="12"/>
      <c r="N58" s="12"/>
      <c r="O58" s="12"/>
      <c r="P58" s="13"/>
    </row>
    <row r="59" spans="2:18" x14ac:dyDescent="0.25">
      <c r="B59" s="14"/>
      <c r="C59" s="29"/>
      <c r="D59" s="15"/>
      <c r="E59" s="15"/>
      <c r="F59" s="15"/>
      <c r="G59" s="15"/>
      <c r="H59" s="15"/>
      <c r="I59" s="15"/>
      <c r="J59" s="15"/>
      <c r="K59" s="15"/>
      <c r="L59" s="15"/>
      <c r="M59" s="15"/>
      <c r="N59" s="15"/>
      <c r="O59" s="15"/>
      <c r="P59" s="16"/>
    </row>
    <row r="60" spans="2:18" x14ac:dyDescent="0.25">
      <c r="B60" s="14"/>
      <c r="C60" s="29"/>
      <c r="D60" s="15"/>
      <c r="E60" s="15"/>
      <c r="F60" s="15"/>
      <c r="G60" s="15"/>
      <c r="H60" s="15"/>
      <c r="I60" s="15"/>
      <c r="J60" s="15"/>
      <c r="K60" s="15"/>
      <c r="L60" s="15"/>
      <c r="M60" s="15"/>
      <c r="N60" s="15"/>
      <c r="O60" s="15"/>
      <c r="P60" s="16"/>
    </row>
    <row r="61" spans="2:18" x14ac:dyDescent="0.25">
      <c r="B61" s="14"/>
      <c r="C61" s="29"/>
      <c r="D61" s="15"/>
      <c r="E61" s="15"/>
      <c r="F61" s="15"/>
      <c r="G61" s="15"/>
      <c r="H61" s="15"/>
      <c r="I61" s="15"/>
      <c r="J61" s="15"/>
      <c r="K61" s="15"/>
      <c r="L61" s="15"/>
      <c r="M61" s="15"/>
      <c r="N61" s="15"/>
      <c r="O61" s="15"/>
      <c r="P61" s="16"/>
    </row>
    <row r="62" spans="2:18" x14ac:dyDescent="0.25">
      <c r="B62" s="14"/>
      <c r="C62" s="29"/>
      <c r="D62" s="15"/>
      <c r="E62" s="15"/>
      <c r="F62" s="15"/>
      <c r="G62" s="15"/>
      <c r="H62" s="15"/>
      <c r="I62" s="15"/>
      <c r="J62" s="15"/>
      <c r="K62" s="15"/>
      <c r="L62" s="15"/>
      <c r="M62" s="15"/>
      <c r="N62" s="15"/>
      <c r="O62" s="15"/>
      <c r="P62" s="16"/>
    </row>
    <row r="63" spans="2:18" x14ac:dyDescent="0.25">
      <c r="B63" s="14"/>
      <c r="C63" s="29"/>
      <c r="D63" s="15"/>
      <c r="E63" s="15"/>
      <c r="F63" s="15"/>
      <c r="G63" s="15"/>
      <c r="H63" s="15"/>
      <c r="I63" s="15"/>
      <c r="J63" s="15"/>
      <c r="K63" s="15"/>
      <c r="L63" s="15"/>
      <c r="M63" s="15"/>
      <c r="N63" s="15"/>
      <c r="O63" s="15"/>
      <c r="P63" s="16"/>
    </row>
    <row r="64" spans="2:18" x14ac:dyDescent="0.25">
      <c r="B64" s="14"/>
      <c r="C64" s="29"/>
      <c r="D64" s="15"/>
      <c r="E64" s="15"/>
      <c r="F64" s="15"/>
      <c r="G64" s="15"/>
      <c r="H64" s="15"/>
      <c r="I64" s="15"/>
      <c r="J64" s="15"/>
      <c r="K64" s="15"/>
      <c r="L64" s="15"/>
      <c r="M64" s="15"/>
      <c r="N64" s="15"/>
      <c r="O64" s="15"/>
      <c r="P64" s="16"/>
    </row>
    <row r="65" spans="2:16" x14ac:dyDescent="0.25">
      <c r="B65" s="729" t="s">
        <v>24</v>
      </c>
      <c r="C65" s="730"/>
      <c r="D65" s="730"/>
      <c r="E65" s="730"/>
      <c r="F65" s="730"/>
      <c r="G65" s="730"/>
      <c r="H65" s="730"/>
      <c r="I65" s="730"/>
      <c r="J65" s="730"/>
      <c r="K65" s="730"/>
      <c r="L65" s="730"/>
      <c r="M65" s="730"/>
      <c r="N65" s="730"/>
      <c r="O65" s="730"/>
      <c r="P65" s="731"/>
    </row>
    <row r="66" spans="2:16" x14ac:dyDescent="0.25">
      <c r="B66" s="14"/>
      <c r="C66" s="29"/>
      <c r="D66" s="15"/>
      <c r="E66" s="15"/>
      <c r="F66" s="15"/>
      <c r="G66" s="15"/>
      <c r="H66" s="15"/>
      <c r="I66" s="15"/>
      <c r="J66" s="15"/>
      <c r="K66" s="15"/>
      <c r="L66" s="15"/>
      <c r="M66" s="15"/>
      <c r="N66" s="15"/>
      <c r="O66" s="15"/>
      <c r="P66" s="16"/>
    </row>
    <row r="67" spans="2:16" x14ac:dyDescent="0.25">
      <c r="B67" s="14"/>
      <c r="C67" s="29"/>
      <c r="D67" s="15"/>
      <c r="E67" s="15"/>
      <c r="F67" s="15"/>
      <c r="G67" s="15"/>
      <c r="H67" s="15"/>
      <c r="I67" s="15"/>
      <c r="J67" s="15"/>
      <c r="K67" s="15"/>
      <c r="L67" s="15"/>
      <c r="M67" s="15"/>
      <c r="N67" s="15"/>
      <c r="O67" s="15"/>
      <c r="P67" s="16"/>
    </row>
    <row r="68" spans="2:16" x14ac:dyDescent="0.25">
      <c r="B68" s="14"/>
      <c r="C68" s="29"/>
      <c r="D68" s="15"/>
      <c r="E68" s="15"/>
      <c r="F68" s="15"/>
      <c r="G68" s="15"/>
      <c r="H68" s="15"/>
      <c r="I68" s="15"/>
      <c r="J68" s="15"/>
      <c r="K68" s="15"/>
      <c r="L68" s="15"/>
      <c r="M68" s="15"/>
      <c r="N68" s="15"/>
      <c r="O68" s="15"/>
      <c r="P68" s="16"/>
    </row>
    <row r="69" spans="2:16" x14ac:dyDescent="0.25">
      <c r="B69" s="14"/>
      <c r="C69" s="29"/>
      <c r="D69" s="15"/>
      <c r="E69" s="15"/>
      <c r="F69" s="15"/>
      <c r="G69" s="15"/>
      <c r="H69" s="15"/>
      <c r="I69" s="15"/>
      <c r="J69" s="15"/>
      <c r="K69" s="15"/>
      <c r="L69" s="15"/>
      <c r="M69" s="15"/>
      <c r="N69" s="15"/>
      <c r="O69" s="15"/>
      <c r="P69" s="16"/>
    </row>
    <row r="70" spans="2:16" x14ac:dyDescent="0.25">
      <c r="B70" s="14"/>
      <c r="C70" s="29"/>
      <c r="D70" s="15"/>
      <c r="E70" s="15"/>
      <c r="F70" s="15"/>
      <c r="G70" s="15"/>
      <c r="H70" s="15"/>
      <c r="I70" s="15"/>
      <c r="J70" s="15"/>
      <c r="K70" s="15"/>
      <c r="L70" s="15"/>
      <c r="M70" s="15"/>
      <c r="N70" s="15"/>
      <c r="O70" s="15"/>
      <c r="P70" s="16"/>
    </row>
    <row r="71" spans="2:16" x14ac:dyDescent="0.25">
      <c r="B71" s="14"/>
      <c r="C71" s="29"/>
      <c r="D71" s="15"/>
      <c r="E71" s="15"/>
      <c r="F71" s="15"/>
      <c r="G71" s="15"/>
      <c r="H71" s="15"/>
      <c r="I71" s="15"/>
      <c r="J71" s="15"/>
      <c r="K71" s="15"/>
      <c r="L71" s="15"/>
      <c r="M71" s="15"/>
      <c r="N71" s="15"/>
      <c r="O71" s="15"/>
      <c r="P71" s="16"/>
    </row>
    <row r="72" spans="2:16" x14ac:dyDescent="0.25">
      <c r="B72" s="14"/>
      <c r="C72" s="29"/>
      <c r="D72" s="15"/>
      <c r="E72" s="15"/>
      <c r="F72" s="15"/>
      <c r="G72" s="15"/>
      <c r="H72" s="15"/>
      <c r="I72" s="15"/>
      <c r="J72" s="15"/>
      <c r="K72" s="15"/>
      <c r="L72" s="15"/>
      <c r="M72" s="15"/>
      <c r="N72" s="15"/>
      <c r="O72" s="15"/>
      <c r="P72" s="16"/>
    </row>
    <row r="73" spans="2:16" x14ac:dyDescent="0.25">
      <c r="B73" s="14"/>
      <c r="C73" s="29"/>
      <c r="D73" s="15"/>
      <c r="E73" s="15"/>
      <c r="F73" s="15"/>
      <c r="G73" s="15"/>
      <c r="H73" s="15"/>
      <c r="I73" s="15"/>
      <c r="J73" s="15"/>
      <c r="K73" s="15"/>
      <c r="L73" s="15"/>
      <c r="M73" s="15"/>
      <c r="N73" s="15"/>
      <c r="O73" s="15"/>
      <c r="P73" s="16"/>
    </row>
    <row r="74" spans="2:16" x14ac:dyDescent="0.25">
      <c r="B74" s="14"/>
      <c r="C74" s="29"/>
      <c r="D74" s="15"/>
      <c r="E74" s="15"/>
      <c r="F74" s="15"/>
      <c r="G74" s="15"/>
      <c r="H74" s="15"/>
      <c r="I74" s="15"/>
      <c r="J74" s="15"/>
      <c r="K74" s="15"/>
      <c r="L74" s="15"/>
      <c r="M74" s="15"/>
      <c r="N74" s="15"/>
      <c r="O74" s="15"/>
      <c r="P74" s="16"/>
    </row>
    <row r="75" spans="2:16" x14ac:dyDescent="0.25">
      <c r="B75" s="14"/>
      <c r="C75" s="29"/>
      <c r="D75" s="15"/>
      <c r="E75" s="15"/>
      <c r="F75" s="15"/>
      <c r="G75" s="15"/>
      <c r="H75" s="15"/>
      <c r="I75" s="15"/>
      <c r="J75" s="15"/>
      <c r="K75" s="15"/>
      <c r="L75" s="15"/>
      <c r="M75" s="15"/>
      <c r="N75" s="15"/>
      <c r="O75" s="15"/>
      <c r="P75" s="16"/>
    </row>
    <row r="76" spans="2:16" ht="15.75" thickBot="1" x14ac:dyDescent="0.3">
      <c r="B76" s="17"/>
      <c r="C76" s="18"/>
      <c r="D76" s="18"/>
      <c r="E76" s="18"/>
      <c r="F76" s="18"/>
      <c r="G76" s="18"/>
      <c r="H76" s="18"/>
      <c r="I76" s="18"/>
      <c r="J76" s="18"/>
      <c r="K76" s="18"/>
      <c r="L76" s="18"/>
      <c r="M76" s="18"/>
      <c r="N76" s="18"/>
      <c r="O76" s="18"/>
      <c r="P76" s="19"/>
    </row>
  </sheetData>
  <mergeCells count="23">
    <mergeCell ref="B2:B5"/>
    <mergeCell ref="C2:N5"/>
    <mergeCell ref="Q2:Q5"/>
    <mergeCell ref="O2:P2"/>
    <mergeCell ref="O3:P3"/>
    <mergeCell ref="O4:P4"/>
    <mergeCell ref="O5:P5"/>
    <mergeCell ref="R10:R11"/>
    <mergeCell ref="Q9:R9"/>
    <mergeCell ref="B65:P65"/>
    <mergeCell ref="J10:K11"/>
    <mergeCell ref="J9:K9"/>
    <mergeCell ref="L10:M11"/>
    <mergeCell ref="N10:N11"/>
    <mergeCell ref="B10:B11"/>
    <mergeCell ref="C10:G10"/>
    <mergeCell ref="H10:I11"/>
    <mergeCell ref="C9:I9"/>
    <mergeCell ref="O10:O11"/>
    <mergeCell ref="P10:P11"/>
    <mergeCell ref="L9:M9"/>
    <mergeCell ref="N9:P9"/>
    <mergeCell ref="Q10:Q11"/>
  </mergeCells>
  <conditionalFormatting sqref="H12">
    <cfRule type="containsText" dxfId="29" priority="49" operator="containsText" text="Moderado">
      <formula>NOT(ISERROR(SEARCH("Moderado",H12)))</formula>
    </cfRule>
    <cfRule type="containsText" dxfId="28" priority="50" operator="containsText" text="Alto">
      <formula>NOT(ISERROR(SEARCH("Alto",H12)))</formula>
    </cfRule>
    <cfRule type="containsText" dxfId="27" priority="51" operator="containsText" text="Muy Alto">
      <formula>NOT(ISERROR(SEARCH("Muy Alto",H12)))</formula>
    </cfRule>
  </conditionalFormatting>
  <conditionalFormatting sqref="H12">
    <cfRule type="containsText" dxfId="26" priority="47" operator="containsText" text="Muy Bajo">
      <formula>NOT(ISERROR(SEARCH("Muy Bajo",H12)))</formula>
    </cfRule>
    <cfRule type="containsText" dxfId="25" priority="48" operator="containsText" text="Bajo">
      <formula>NOT(ISERROR(SEARCH("Bajo",H12)))</formula>
    </cfRule>
  </conditionalFormatting>
  <conditionalFormatting sqref="H12">
    <cfRule type="containsText" dxfId="24" priority="46" operator="containsText" text="Extremo">
      <formula>NOT(ISERROR(SEARCH("Extremo",H12)))</formula>
    </cfRule>
  </conditionalFormatting>
  <conditionalFormatting sqref="H13:H21 H24:H34">
    <cfRule type="containsText" dxfId="23" priority="43" operator="containsText" text="Moderado">
      <formula>NOT(ISERROR(SEARCH("Moderado",H13)))</formula>
    </cfRule>
    <cfRule type="containsText" dxfId="22" priority="44" operator="containsText" text="Alto">
      <formula>NOT(ISERROR(SEARCH("Alto",H13)))</formula>
    </cfRule>
    <cfRule type="containsText" dxfId="21" priority="45" operator="containsText" text="Muy Alto">
      <formula>NOT(ISERROR(SEARCH("Muy Alto",H13)))</formula>
    </cfRule>
  </conditionalFormatting>
  <conditionalFormatting sqref="H13:H21 H24:H34">
    <cfRule type="containsText" dxfId="20" priority="41" operator="containsText" text="Muy Bajo">
      <formula>NOT(ISERROR(SEARCH("Muy Bajo",H13)))</formula>
    </cfRule>
    <cfRule type="containsText" dxfId="19" priority="42" operator="containsText" text="Bajo">
      <formula>NOT(ISERROR(SEARCH("Bajo",H13)))</formula>
    </cfRule>
  </conditionalFormatting>
  <conditionalFormatting sqref="H13:H21 H24:H34">
    <cfRule type="containsText" dxfId="18" priority="40" operator="containsText" text="Extremo">
      <formula>NOT(ISERROR(SEARCH("Extremo",H13)))</formula>
    </cfRule>
  </conditionalFormatting>
  <conditionalFormatting sqref="T12">
    <cfRule type="colorScale" priority="37">
      <colorScale>
        <cfvo type="min"/>
        <cfvo type="percentile" val="50"/>
        <cfvo type="max"/>
        <color rgb="FF63BE7B"/>
        <color rgb="FFFFEB84"/>
        <color rgb="FFF8696B"/>
      </colorScale>
    </cfRule>
  </conditionalFormatting>
  <conditionalFormatting sqref="H22">
    <cfRule type="containsText" dxfId="17" priority="20" operator="containsText" text="Moderado">
      <formula>NOT(ISERROR(SEARCH("Moderado",H22)))</formula>
    </cfRule>
    <cfRule type="containsText" dxfId="16" priority="21" operator="containsText" text="Alto">
      <formula>NOT(ISERROR(SEARCH("Alto",H22)))</formula>
    </cfRule>
    <cfRule type="containsText" dxfId="15" priority="22" operator="containsText" text="Muy Alto">
      <formula>NOT(ISERROR(SEARCH("Muy Alto",H22)))</formula>
    </cfRule>
  </conditionalFormatting>
  <conditionalFormatting sqref="H22">
    <cfRule type="containsText" dxfId="14" priority="18" operator="containsText" text="Muy Bajo">
      <formula>NOT(ISERROR(SEARCH("Muy Bajo",H22)))</formula>
    </cfRule>
    <cfRule type="containsText" dxfId="13" priority="19" operator="containsText" text="Bajo">
      <formula>NOT(ISERROR(SEARCH("Bajo",H22)))</formula>
    </cfRule>
  </conditionalFormatting>
  <conditionalFormatting sqref="H22">
    <cfRule type="containsText" dxfId="12" priority="17" operator="containsText" text="Extremo">
      <formula>NOT(ISERROR(SEARCH("Extremo",H22)))</formula>
    </cfRule>
  </conditionalFormatting>
  <conditionalFormatting sqref="H23">
    <cfRule type="containsText" dxfId="11" priority="13" operator="containsText" text="Moderado">
      <formula>NOT(ISERROR(SEARCH("Moderado",H23)))</formula>
    </cfRule>
    <cfRule type="containsText" dxfId="10" priority="14" operator="containsText" text="Alto">
      <formula>NOT(ISERROR(SEARCH("Alto",H23)))</formula>
    </cfRule>
    <cfRule type="containsText" dxfId="9" priority="15" operator="containsText" text="Muy Alto">
      <formula>NOT(ISERROR(SEARCH("Muy Alto",H23)))</formula>
    </cfRule>
  </conditionalFormatting>
  <conditionalFormatting sqref="H23">
    <cfRule type="containsText" dxfId="8" priority="11" operator="containsText" text="Muy Bajo">
      <formula>NOT(ISERROR(SEARCH("Muy Bajo",H23)))</formula>
    </cfRule>
    <cfRule type="containsText" dxfId="7" priority="12" operator="containsText" text="Bajo">
      <formula>NOT(ISERROR(SEARCH("Bajo",H23)))</formula>
    </cfRule>
  </conditionalFormatting>
  <conditionalFormatting sqref="H23">
    <cfRule type="containsText" dxfId="6" priority="10" operator="containsText" text="Extremo">
      <formula>NOT(ISERROR(SEARCH("Extremo",H23)))</formula>
    </cfRule>
  </conditionalFormatting>
  <conditionalFormatting sqref="Q23">
    <cfRule type="colorScale" priority="9">
      <colorScale>
        <cfvo type="min"/>
        <cfvo type="percentile" val="50"/>
        <cfvo type="max"/>
        <color rgb="FF63BE7B"/>
        <color rgb="FFFFEB84"/>
        <color rgb="FFF8696B"/>
      </colorScale>
    </cfRule>
  </conditionalFormatting>
  <conditionalFormatting sqref="Q22">
    <cfRule type="colorScale" priority="8">
      <colorScale>
        <cfvo type="min"/>
        <cfvo type="percentile" val="50"/>
        <cfvo type="max"/>
        <color rgb="FF63BE7B"/>
        <color rgb="FFFFEB84"/>
        <color rgb="FFF8696B"/>
      </colorScale>
    </cfRule>
  </conditionalFormatting>
  <conditionalFormatting sqref="Q12:Q21 Q24:Q34">
    <cfRule type="colorScale" priority="126">
      <colorScale>
        <cfvo type="min"/>
        <cfvo type="percentile" val="50"/>
        <cfvo type="max"/>
        <color rgb="FF63BE7B"/>
        <color rgb="FFFFEB84"/>
        <color rgb="FFF8696B"/>
      </colorScale>
    </cfRule>
  </conditionalFormatting>
  <conditionalFormatting sqref="H35:H55">
    <cfRule type="containsText" dxfId="5" priority="5" operator="containsText" text="Moderado">
      <formula>NOT(ISERROR(SEARCH("Moderado",H35)))</formula>
    </cfRule>
    <cfRule type="containsText" dxfId="4" priority="6" operator="containsText" text="Alto">
      <formula>NOT(ISERROR(SEARCH("Alto",H35)))</formula>
    </cfRule>
    <cfRule type="containsText" dxfId="3" priority="7" operator="containsText" text="Muy Alto">
      <formula>NOT(ISERROR(SEARCH("Muy Alto",H35)))</formula>
    </cfRule>
  </conditionalFormatting>
  <conditionalFormatting sqref="H35:H55">
    <cfRule type="containsText" dxfId="2" priority="3" operator="containsText" text="Muy Bajo">
      <formula>NOT(ISERROR(SEARCH("Muy Bajo",H35)))</formula>
    </cfRule>
    <cfRule type="containsText" dxfId="1" priority="4" operator="containsText" text="Bajo">
      <formula>NOT(ISERROR(SEARCH("Bajo",H35)))</formula>
    </cfRule>
  </conditionalFormatting>
  <conditionalFormatting sqref="H35:H55">
    <cfRule type="containsText" dxfId="0" priority="2" operator="containsText" text="Extremo">
      <formula>NOT(ISERROR(SEARCH("Extremo",H35)))</formula>
    </cfRule>
  </conditionalFormatting>
  <conditionalFormatting sqref="Q35:Q55">
    <cfRule type="colorScale" priority="130">
      <colorScale>
        <cfvo type="min"/>
        <cfvo type="percentile" val="50"/>
        <cfvo type="max"/>
        <color rgb="FF63BE7B"/>
        <color rgb="FFFFEB84"/>
        <color rgb="FFF8696B"/>
      </colorScale>
    </cfRule>
  </conditionalFormatting>
  <dataValidations count="1">
    <dataValidation type="list" allowBlank="1" showInputMessage="1" showErrorMessage="1" sqref="J12:J55 L12:L55">
      <formula1>"Si,No"</formula1>
    </dataValidation>
  </dataValidations>
  <pageMargins left="0.7" right="0.7" top="0.75" bottom="0.75" header="0.3" footer="0.3"/>
  <pageSetup orientation="portrait" horizontalDpi="4294967293"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59"/>
  <sheetViews>
    <sheetView topLeftCell="A4" zoomScale="130" zoomScaleNormal="130" workbookViewId="0">
      <selection activeCell="D36" sqref="D36"/>
    </sheetView>
  </sheetViews>
  <sheetFormatPr baseColWidth="10" defaultColWidth="11.42578125" defaultRowHeight="15" x14ac:dyDescent="0.25"/>
  <cols>
    <col min="2" max="2" width="23.42578125" bestFit="1" customWidth="1"/>
    <col min="3" max="3" width="20" bestFit="1" customWidth="1"/>
    <col min="4" max="4" width="23.140625" customWidth="1"/>
  </cols>
  <sheetData>
    <row r="2" spans="2:6" ht="15" customHeight="1" x14ac:dyDescent="0.25">
      <c r="B2" s="519"/>
      <c r="C2" s="519"/>
      <c r="D2" s="519"/>
    </row>
    <row r="3" spans="2:6" ht="15" customHeight="1" x14ac:dyDescent="0.25">
      <c r="B3" s="519"/>
      <c r="C3" s="519"/>
      <c r="D3" s="519"/>
    </row>
    <row r="4" spans="2:6" x14ac:dyDescent="0.25">
      <c r="B4" s="429"/>
      <c r="C4" s="429"/>
      <c r="D4" s="429"/>
    </row>
    <row r="5" spans="2:6" x14ac:dyDescent="0.25">
      <c r="B5" s="430"/>
      <c r="C5" s="431"/>
      <c r="D5" s="432"/>
    </row>
    <row r="6" spans="2:6" ht="15" customHeight="1" x14ac:dyDescent="0.25">
      <c r="B6" s="519"/>
      <c r="C6" s="519"/>
      <c r="D6" s="519"/>
    </row>
    <row r="7" spans="2:6" x14ac:dyDescent="0.25">
      <c r="B7" s="429"/>
      <c r="C7" s="429"/>
      <c r="D7" s="429"/>
    </row>
    <row r="8" spans="2:6" ht="18.75" x14ac:dyDescent="0.3">
      <c r="B8" s="430"/>
      <c r="C8" s="431"/>
      <c r="D8" s="432"/>
      <c r="F8" s="251"/>
    </row>
    <row r="9" spans="2:6" ht="15" customHeight="1" x14ac:dyDescent="0.3">
      <c r="B9" s="519"/>
      <c r="C9" s="519"/>
      <c r="D9" s="519"/>
      <c r="F9" s="252"/>
    </row>
    <row r="10" spans="2:6" x14ac:dyDescent="0.25">
      <c r="B10" s="429"/>
      <c r="C10" s="429"/>
      <c r="D10" s="429"/>
    </row>
    <row r="11" spans="2:6" ht="135.75" customHeight="1" x14ac:dyDescent="0.25">
      <c r="B11" s="430"/>
      <c r="C11" s="431"/>
      <c r="D11" s="432"/>
    </row>
    <row r="12" spans="2:6" ht="15" customHeight="1" x14ac:dyDescent="0.25">
      <c r="B12" s="519"/>
      <c r="C12" s="519"/>
      <c r="D12" s="519"/>
    </row>
    <row r="13" spans="2:6" x14ac:dyDescent="0.25">
      <c r="B13" s="429"/>
      <c r="C13" s="429"/>
      <c r="D13" s="429"/>
    </row>
    <row r="14" spans="2:6" x14ac:dyDescent="0.25">
      <c r="B14" s="430"/>
      <c r="C14" s="431"/>
      <c r="D14" s="432"/>
    </row>
    <row r="15" spans="2:6" ht="15" customHeight="1" x14ac:dyDescent="0.25">
      <c r="B15" s="519"/>
      <c r="C15" s="519"/>
      <c r="D15" s="519"/>
    </row>
    <row r="16" spans="2:6" x14ac:dyDescent="0.25">
      <c r="B16" s="429"/>
      <c r="C16" s="429"/>
      <c r="D16" s="429"/>
    </row>
    <row r="17" spans="1:11" ht="33" customHeight="1" x14ac:dyDescent="0.25">
      <c r="B17" s="430"/>
      <c r="C17" s="431"/>
      <c r="D17" s="432"/>
    </row>
    <row r="20" spans="1:11" x14ac:dyDescent="0.25">
      <c r="A20" s="15"/>
      <c r="B20" s="15"/>
      <c r="C20" s="15"/>
      <c r="D20" s="15"/>
      <c r="E20" s="15"/>
      <c r="F20" s="15"/>
      <c r="G20" s="15"/>
      <c r="H20" s="15"/>
      <c r="I20" s="15"/>
      <c r="J20" s="15"/>
      <c r="K20" s="15"/>
    </row>
    <row r="21" spans="1:11" x14ac:dyDescent="0.25">
      <c r="A21" s="15"/>
      <c r="B21" s="15"/>
      <c r="C21" s="15"/>
      <c r="D21" s="15"/>
      <c r="E21" s="15"/>
      <c r="F21" s="15"/>
      <c r="G21" s="15"/>
      <c r="H21" s="15"/>
      <c r="I21" s="15"/>
      <c r="J21" s="15"/>
      <c r="K21" s="15"/>
    </row>
    <row r="22" spans="1:11" x14ac:dyDescent="0.25">
      <c r="A22" s="15"/>
      <c r="B22" s="15"/>
      <c r="C22" s="15"/>
      <c r="D22" s="15"/>
      <c r="E22" s="15"/>
      <c r="F22" s="15"/>
      <c r="G22" s="15"/>
      <c r="H22" s="15"/>
      <c r="I22" s="15"/>
      <c r="J22" s="15"/>
      <c r="K22" s="15"/>
    </row>
    <row r="23" spans="1:11" x14ac:dyDescent="0.25">
      <c r="A23" s="15"/>
      <c r="B23" s="15"/>
      <c r="C23" s="15"/>
      <c r="D23" s="15"/>
      <c r="E23" s="15"/>
      <c r="F23" s="15"/>
      <c r="G23" s="15"/>
      <c r="H23" s="15"/>
      <c r="I23" s="15"/>
      <c r="J23" s="15"/>
      <c r="K23" s="15"/>
    </row>
    <row r="24" spans="1:11" x14ac:dyDescent="0.25">
      <c r="A24" s="15"/>
      <c r="B24" s="15"/>
      <c r="C24" s="15"/>
      <c r="D24" s="15"/>
      <c r="E24" s="15"/>
      <c r="F24" s="15"/>
      <c r="G24" s="15"/>
      <c r="H24" s="15"/>
      <c r="I24" s="15"/>
      <c r="J24" s="15"/>
      <c r="K24" s="15"/>
    </row>
    <row r="25" spans="1:11" x14ac:dyDescent="0.25">
      <c r="A25" s="15"/>
      <c r="B25" s="15"/>
      <c r="C25" s="15"/>
      <c r="D25" s="15"/>
      <c r="E25" s="15"/>
      <c r="F25" s="15"/>
      <c r="G25" s="15"/>
      <c r="H25" s="15"/>
      <c r="I25" s="15"/>
      <c r="J25" s="15"/>
      <c r="K25" s="15"/>
    </row>
    <row r="26" spans="1:11" x14ac:dyDescent="0.25">
      <c r="A26" s="15"/>
      <c r="B26" s="15"/>
      <c r="C26" s="435" t="s">
        <v>606</v>
      </c>
      <c r="D26" s="435" t="s">
        <v>605</v>
      </c>
      <c r="F26" s="15"/>
      <c r="G26" s="15"/>
      <c r="H26" s="15"/>
      <c r="I26" s="15"/>
      <c r="J26" s="15"/>
      <c r="K26" s="15"/>
    </row>
    <row r="27" spans="1:11" x14ac:dyDescent="0.25">
      <c r="A27" s="15"/>
      <c r="B27" s="15"/>
      <c r="C27" s="433">
        <v>2022</v>
      </c>
      <c r="D27" s="434">
        <v>99.2</v>
      </c>
      <c r="F27" s="15"/>
      <c r="G27" s="15"/>
      <c r="H27" s="15"/>
      <c r="I27" s="15"/>
      <c r="J27" s="15"/>
      <c r="K27" s="15"/>
    </row>
    <row r="28" spans="1:11" x14ac:dyDescent="0.25">
      <c r="A28" s="15"/>
      <c r="B28" s="15"/>
      <c r="C28" s="433">
        <v>2021</v>
      </c>
      <c r="D28" s="434">
        <v>96</v>
      </c>
      <c r="F28" s="15"/>
      <c r="G28" s="15"/>
      <c r="H28" s="15"/>
      <c r="I28" s="15"/>
      <c r="J28" s="15"/>
      <c r="K28" s="15"/>
    </row>
    <row r="29" spans="1:11" x14ac:dyDescent="0.25">
      <c r="A29" s="15"/>
      <c r="B29" s="15"/>
      <c r="C29" s="15"/>
      <c r="D29" s="15"/>
      <c r="E29" s="15"/>
      <c r="F29" s="15"/>
      <c r="G29" s="15"/>
      <c r="H29" s="15"/>
      <c r="I29" s="15"/>
      <c r="J29" s="15"/>
      <c r="K29" s="15"/>
    </row>
    <row r="30" spans="1:11" x14ac:dyDescent="0.25">
      <c r="A30" s="15"/>
      <c r="B30" s="15"/>
      <c r="C30" s="15"/>
      <c r="D30" s="15"/>
      <c r="E30" s="15"/>
      <c r="F30" s="15"/>
      <c r="G30" s="15"/>
      <c r="H30" s="15"/>
      <c r="I30" s="15"/>
      <c r="J30" s="15"/>
      <c r="K30" s="15"/>
    </row>
    <row r="31" spans="1:11" x14ac:dyDescent="0.25">
      <c r="A31" s="15"/>
      <c r="B31" s="15"/>
      <c r="C31" s="15"/>
      <c r="D31" s="15"/>
      <c r="E31" s="15"/>
      <c r="F31" s="15"/>
      <c r="G31" s="15"/>
      <c r="H31" s="15"/>
      <c r="I31" s="15"/>
      <c r="J31" s="15"/>
      <c r="K31" s="15"/>
    </row>
    <row r="32" spans="1:11" x14ac:dyDescent="0.25">
      <c r="A32" s="15"/>
      <c r="B32" s="15"/>
      <c r="C32" s="15"/>
      <c r="D32" s="15"/>
      <c r="E32" s="15"/>
      <c r="F32" s="15"/>
      <c r="G32" s="15"/>
      <c r="H32" s="15"/>
      <c r="I32" s="15"/>
      <c r="J32" s="15"/>
      <c r="K32" s="15"/>
    </row>
    <row r="33" spans="1:11" x14ac:dyDescent="0.25">
      <c r="A33" s="15"/>
      <c r="B33" s="15"/>
      <c r="C33" s="15"/>
      <c r="D33" s="15"/>
      <c r="E33" s="15"/>
      <c r="F33" s="15"/>
      <c r="G33" s="15"/>
      <c r="H33" s="15"/>
      <c r="I33" s="15"/>
      <c r="J33" s="15"/>
      <c r="K33" s="15"/>
    </row>
    <row r="34" spans="1:11" x14ac:dyDescent="0.25">
      <c r="A34" s="15"/>
      <c r="B34" s="15"/>
      <c r="C34" s="15"/>
      <c r="D34" s="15"/>
      <c r="E34" s="15"/>
      <c r="F34" s="15"/>
      <c r="G34" s="15"/>
      <c r="H34" s="15"/>
      <c r="I34" s="15"/>
      <c r="J34" s="15"/>
      <c r="K34" s="15"/>
    </row>
    <row r="35" spans="1:11" x14ac:dyDescent="0.25">
      <c r="A35" s="15"/>
      <c r="B35" s="15"/>
      <c r="C35" s="15"/>
      <c r="D35" s="15"/>
      <c r="E35" s="15"/>
      <c r="F35" s="15"/>
      <c r="G35" s="15"/>
      <c r="H35" s="15"/>
      <c r="I35" s="15"/>
      <c r="J35" s="15"/>
      <c r="K35" s="15"/>
    </row>
    <row r="36" spans="1:11" x14ac:dyDescent="0.25">
      <c r="A36" s="15"/>
      <c r="B36" s="15"/>
      <c r="C36" s="15"/>
      <c r="D36" s="15"/>
      <c r="E36" s="15"/>
      <c r="F36" s="15"/>
      <c r="G36" s="15"/>
      <c r="H36" s="15"/>
      <c r="I36" s="15"/>
      <c r="J36" s="15"/>
      <c r="K36" s="15"/>
    </row>
    <row r="37" spans="1:11" x14ac:dyDescent="0.25">
      <c r="A37" s="15"/>
      <c r="B37" s="15"/>
      <c r="C37" s="15"/>
      <c r="D37" s="15"/>
      <c r="E37" s="15"/>
      <c r="F37" s="15"/>
      <c r="G37" s="15"/>
      <c r="H37" s="15"/>
      <c r="I37" s="15"/>
      <c r="J37" s="15"/>
      <c r="K37" s="15"/>
    </row>
    <row r="38" spans="1:11" x14ac:dyDescent="0.25">
      <c r="A38" s="15"/>
      <c r="B38" s="15"/>
      <c r="C38" s="15"/>
      <c r="D38" s="15"/>
      <c r="E38" s="15"/>
      <c r="F38" s="15"/>
      <c r="G38" s="15"/>
      <c r="H38" s="15"/>
      <c r="I38" s="15"/>
      <c r="J38" s="15"/>
      <c r="K38" s="15"/>
    </row>
    <row r="39" spans="1:11" x14ac:dyDescent="0.25">
      <c r="A39" s="15"/>
      <c r="B39" s="15"/>
      <c r="C39" s="15"/>
      <c r="D39" s="15"/>
      <c r="E39" s="15"/>
      <c r="F39" s="15"/>
      <c r="G39" s="15"/>
      <c r="H39" s="15"/>
      <c r="I39" s="15"/>
      <c r="J39" s="15"/>
      <c r="K39" s="15"/>
    </row>
    <row r="40" spans="1:11" x14ac:dyDescent="0.25">
      <c r="A40" s="15"/>
      <c r="B40" s="15"/>
      <c r="C40" s="15"/>
      <c r="D40" s="15"/>
      <c r="E40" s="15"/>
      <c r="F40" s="15"/>
      <c r="G40" s="15"/>
      <c r="H40" s="15"/>
      <c r="I40" s="15"/>
      <c r="J40" s="15"/>
      <c r="K40" s="15"/>
    </row>
    <row r="41" spans="1:11" x14ac:dyDescent="0.25">
      <c r="A41" s="15"/>
      <c r="B41" s="15"/>
      <c r="C41" s="15"/>
      <c r="D41" s="15"/>
      <c r="E41" s="15"/>
      <c r="F41" s="15"/>
      <c r="G41" s="15"/>
      <c r="H41" s="15"/>
      <c r="I41" s="15"/>
      <c r="J41" s="15"/>
      <c r="K41" s="15"/>
    </row>
    <row r="42" spans="1:11" x14ac:dyDescent="0.25">
      <c r="A42" s="15"/>
      <c r="B42" s="15"/>
      <c r="C42" s="15"/>
      <c r="D42" s="15"/>
      <c r="E42" s="15"/>
      <c r="F42" s="15"/>
      <c r="G42" s="15"/>
      <c r="H42" s="15"/>
      <c r="I42" s="15"/>
      <c r="J42" s="15"/>
      <c r="K42" s="15"/>
    </row>
    <row r="43" spans="1:11" x14ac:dyDescent="0.25">
      <c r="A43" s="15"/>
      <c r="B43" s="15"/>
      <c r="C43" s="15"/>
      <c r="D43" s="15"/>
      <c r="E43" s="15"/>
      <c r="F43" s="15"/>
      <c r="G43" s="15"/>
      <c r="H43" s="15"/>
      <c r="I43" s="15"/>
      <c r="J43" s="15"/>
      <c r="K43" s="15"/>
    </row>
    <row r="44" spans="1:11" x14ac:dyDescent="0.25">
      <c r="A44" s="15"/>
      <c r="B44" s="15"/>
      <c r="C44" s="15"/>
      <c r="D44" s="15"/>
      <c r="E44" s="15"/>
      <c r="F44" s="15"/>
      <c r="G44" s="15"/>
      <c r="H44" s="15"/>
      <c r="I44" s="15"/>
      <c r="J44" s="15"/>
      <c r="K44" s="15"/>
    </row>
    <row r="45" spans="1:11" x14ac:dyDescent="0.25">
      <c r="A45" s="15"/>
      <c r="B45" s="15"/>
      <c r="C45" s="15"/>
      <c r="D45" s="15"/>
      <c r="E45" s="15"/>
      <c r="F45" s="15"/>
      <c r="G45" s="15"/>
      <c r="H45" s="15"/>
      <c r="I45" s="15"/>
      <c r="J45" s="15"/>
      <c r="K45" s="15"/>
    </row>
    <row r="46" spans="1:11" x14ac:dyDescent="0.25">
      <c r="A46" s="15"/>
      <c r="B46" s="15"/>
      <c r="C46" s="15"/>
      <c r="D46" s="15"/>
      <c r="E46" s="15"/>
      <c r="F46" s="15"/>
      <c r="G46" s="15"/>
      <c r="H46" s="15"/>
      <c r="I46" s="15"/>
      <c r="J46" s="15"/>
      <c r="K46" s="15"/>
    </row>
    <row r="47" spans="1:11" x14ac:dyDescent="0.25">
      <c r="A47" s="15"/>
      <c r="B47" s="15"/>
      <c r="C47" s="15"/>
      <c r="D47" s="15"/>
      <c r="E47" s="15"/>
      <c r="F47" s="15"/>
      <c r="G47" s="15"/>
      <c r="H47" s="15"/>
      <c r="I47" s="15"/>
      <c r="J47" s="15"/>
      <c r="K47" s="15"/>
    </row>
    <row r="48" spans="1:11" x14ac:dyDescent="0.25">
      <c r="A48" s="15"/>
      <c r="B48" s="15"/>
      <c r="C48" s="15"/>
      <c r="D48" s="15"/>
      <c r="E48" s="15"/>
      <c r="F48" s="15"/>
      <c r="G48" s="15"/>
      <c r="H48" s="15"/>
      <c r="I48" s="15"/>
      <c r="J48" s="15"/>
      <c r="K48" s="15"/>
    </row>
    <row r="49" spans="1:11" x14ac:dyDescent="0.25">
      <c r="A49" s="15"/>
      <c r="B49" s="15"/>
      <c r="C49" s="15"/>
      <c r="D49" s="15"/>
      <c r="E49" s="15"/>
      <c r="F49" s="15"/>
      <c r="G49" s="15"/>
      <c r="H49" s="15"/>
      <c r="I49" s="15"/>
      <c r="J49" s="15"/>
      <c r="K49" s="15"/>
    </row>
    <row r="50" spans="1:11" x14ac:dyDescent="0.25">
      <c r="A50" s="15"/>
      <c r="B50" s="15"/>
      <c r="C50" s="15"/>
      <c r="D50" s="15"/>
      <c r="E50" s="15"/>
      <c r="F50" s="15"/>
      <c r="G50" s="15"/>
      <c r="H50" s="15"/>
      <c r="I50" s="15"/>
      <c r="J50" s="15"/>
      <c r="K50" s="15"/>
    </row>
    <row r="51" spans="1:11" x14ac:dyDescent="0.25">
      <c r="A51" s="15"/>
      <c r="B51" s="15"/>
      <c r="C51" s="15"/>
      <c r="D51" s="15"/>
      <c r="E51" s="15"/>
      <c r="F51" s="15"/>
      <c r="G51" s="15"/>
      <c r="H51" s="15"/>
      <c r="I51" s="15"/>
      <c r="J51" s="15"/>
      <c r="K51" s="15"/>
    </row>
    <row r="52" spans="1:11" x14ac:dyDescent="0.25">
      <c r="A52" s="15"/>
      <c r="B52" s="15"/>
      <c r="C52" s="15"/>
      <c r="D52" s="15"/>
      <c r="E52" s="15"/>
      <c r="F52" s="15"/>
      <c r="G52" s="15"/>
      <c r="H52" s="15"/>
      <c r="I52" s="15"/>
      <c r="J52" s="15"/>
      <c r="K52" s="15"/>
    </row>
    <row r="53" spans="1:11" x14ac:dyDescent="0.25">
      <c r="A53" s="15"/>
      <c r="B53" s="15"/>
      <c r="C53" s="15"/>
      <c r="D53" s="15"/>
      <c r="E53" s="15"/>
      <c r="F53" s="15"/>
      <c r="G53" s="15"/>
      <c r="H53" s="15"/>
      <c r="I53" s="15"/>
      <c r="J53" s="15"/>
      <c r="K53" s="15"/>
    </row>
    <row r="54" spans="1:11" x14ac:dyDescent="0.25">
      <c r="A54" s="15"/>
      <c r="B54" s="15"/>
      <c r="C54" s="15"/>
      <c r="D54" s="15"/>
      <c r="E54" s="15"/>
      <c r="F54" s="15"/>
      <c r="G54" s="15"/>
      <c r="H54" s="15"/>
      <c r="I54" s="15"/>
      <c r="J54" s="15"/>
      <c r="K54" s="15"/>
    </row>
    <row r="55" spans="1:11" x14ac:dyDescent="0.25">
      <c r="A55" s="15"/>
      <c r="B55" s="15"/>
      <c r="C55" s="15"/>
      <c r="D55" s="15"/>
      <c r="E55" s="15"/>
      <c r="F55" s="15"/>
      <c r="G55" s="15"/>
      <c r="H55" s="15"/>
      <c r="I55" s="15"/>
      <c r="J55" s="15"/>
      <c r="K55" s="15"/>
    </row>
    <row r="56" spans="1:11" x14ac:dyDescent="0.25">
      <c r="A56" s="15"/>
      <c r="B56" s="15"/>
      <c r="C56" s="15"/>
      <c r="D56" s="15"/>
      <c r="E56" s="15"/>
      <c r="F56" s="15"/>
      <c r="G56" s="15"/>
      <c r="H56" s="15"/>
      <c r="I56" s="15"/>
      <c r="J56" s="15"/>
      <c r="K56" s="15"/>
    </row>
    <row r="57" spans="1:11" x14ac:dyDescent="0.25">
      <c r="A57" s="15"/>
      <c r="B57" s="15"/>
      <c r="C57" s="15"/>
      <c r="D57" s="15"/>
      <c r="E57" s="15"/>
      <c r="F57" s="15"/>
      <c r="G57" s="15"/>
      <c r="H57" s="15"/>
      <c r="I57" s="15"/>
      <c r="J57" s="15"/>
      <c r="K57" s="15"/>
    </row>
    <row r="58" spans="1:11" x14ac:dyDescent="0.25">
      <c r="A58" s="15"/>
      <c r="B58" s="15"/>
      <c r="C58" s="15"/>
      <c r="D58" s="15"/>
      <c r="E58" s="15"/>
      <c r="F58" s="15"/>
      <c r="G58" s="15"/>
      <c r="H58" s="15"/>
      <c r="I58" s="15"/>
      <c r="J58" s="15"/>
      <c r="K58" s="15"/>
    </row>
    <row r="59" spans="1:11" x14ac:dyDescent="0.25">
      <c r="A59" s="15"/>
      <c r="B59" s="15"/>
      <c r="C59" s="15"/>
      <c r="D59" s="15"/>
      <c r="E59" s="15"/>
      <c r="F59" s="15"/>
      <c r="G59" s="15"/>
      <c r="H59" s="15"/>
      <c r="I59" s="15"/>
      <c r="J59" s="15"/>
      <c r="K59" s="15"/>
    </row>
  </sheetData>
  <mergeCells count="6">
    <mergeCell ref="B15:D15"/>
    <mergeCell ref="B2:D2"/>
    <mergeCell ref="B3:D3"/>
    <mergeCell ref="B6:D6"/>
    <mergeCell ref="B9:D9"/>
    <mergeCell ref="B12:D1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7" zoomScale="85" zoomScaleNormal="85" workbookViewId="0">
      <selection activeCell="U40" sqref="U40"/>
    </sheetView>
  </sheetViews>
  <sheetFormatPr baseColWidth="10" defaultColWidth="11.42578125" defaultRowHeight="15" x14ac:dyDescent="0.2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topLeftCell="A4" workbookViewId="0">
      <selection activeCell="L87" sqref="L87"/>
    </sheetView>
  </sheetViews>
  <sheetFormatPr baseColWidth="10" defaultColWidth="11.42578125" defaultRowHeight="15" x14ac:dyDescent="0.25"/>
  <cols>
    <col min="1" max="1" width="43.28515625" style="59" customWidth="1"/>
    <col min="2" max="2" width="103.7109375" style="59" customWidth="1"/>
    <col min="3" max="16384" width="11.42578125" style="59"/>
  </cols>
  <sheetData>
    <row r="1" spans="1:2" ht="46.5" customHeight="1" x14ac:dyDescent="0.25">
      <c r="A1" s="520" t="s">
        <v>27</v>
      </c>
      <c r="B1" s="521"/>
    </row>
    <row r="2" spans="1:2" ht="78" customHeight="1" x14ac:dyDescent="0.25">
      <c r="A2" s="57" t="s">
        <v>49</v>
      </c>
      <c r="B2" s="52" t="s">
        <v>28</v>
      </c>
    </row>
    <row r="3" spans="1:2" ht="78" customHeight="1" x14ac:dyDescent="0.25">
      <c r="A3" s="57" t="s">
        <v>48</v>
      </c>
      <c r="B3" s="52" t="s">
        <v>47</v>
      </c>
    </row>
    <row r="4" spans="1:2" ht="78" customHeight="1" x14ac:dyDescent="0.25">
      <c r="A4" s="57" t="s">
        <v>50</v>
      </c>
      <c r="B4" s="52" t="s">
        <v>95</v>
      </c>
    </row>
    <row r="5" spans="1:2" ht="201.75" customHeight="1" x14ac:dyDescent="0.25">
      <c r="A5" s="57" t="s">
        <v>29</v>
      </c>
      <c r="B5" s="52" t="s">
        <v>30</v>
      </c>
    </row>
    <row r="6" spans="1:2" ht="78" customHeight="1" x14ac:dyDescent="0.25">
      <c r="A6" s="57" t="s">
        <v>51</v>
      </c>
      <c r="B6" s="52" t="s">
        <v>31</v>
      </c>
    </row>
    <row r="7" spans="1:2" ht="78" customHeight="1" x14ac:dyDescent="0.25">
      <c r="A7" s="56" t="s">
        <v>32</v>
      </c>
      <c r="B7" s="52" t="s">
        <v>33</v>
      </c>
    </row>
    <row r="8" spans="1:2" ht="78" customHeight="1" x14ac:dyDescent="0.25">
      <c r="A8" s="57" t="s">
        <v>52</v>
      </c>
      <c r="B8" s="52" t="s">
        <v>34</v>
      </c>
    </row>
    <row r="9" spans="1:2" ht="78" customHeight="1" x14ac:dyDescent="0.25">
      <c r="A9" s="56" t="s">
        <v>35</v>
      </c>
      <c r="B9" s="52" t="s">
        <v>54</v>
      </c>
    </row>
    <row r="10" spans="1:2" ht="78" customHeight="1" x14ac:dyDescent="0.25">
      <c r="A10" s="56" t="s">
        <v>36</v>
      </c>
      <c r="B10" s="52" t="s">
        <v>37</v>
      </c>
    </row>
    <row r="11" spans="1:2" ht="78" customHeight="1" x14ac:dyDescent="0.25">
      <c r="A11" s="57" t="s">
        <v>38</v>
      </c>
      <c r="B11" s="52" t="s">
        <v>39</v>
      </c>
    </row>
    <row r="12" spans="1:2" ht="78" customHeight="1" x14ac:dyDescent="0.25">
      <c r="A12" s="57" t="s">
        <v>40</v>
      </c>
      <c r="B12" s="52" t="s">
        <v>55</v>
      </c>
    </row>
    <row r="13" spans="1:2" ht="78" customHeight="1" x14ac:dyDescent="0.25">
      <c r="A13" s="57" t="s">
        <v>41</v>
      </c>
      <c r="B13" s="52" t="s">
        <v>42</v>
      </c>
    </row>
    <row r="14" spans="1:2" ht="110.25" customHeight="1" x14ac:dyDescent="0.25">
      <c r="A14" s="57" t="s">
        <v>43</v>
      </c>
      <c r="B14" s="52" t="s">
        <v>44</v>
      </c>
    </row>
    <row r="15" spans="1:2" ht="78" customHeight="1" x14ac:dyDescent="0.25">
      <c r="A15" s="57" t="s">
        <v>53</v>
      </c>
      <c r="B15" s="52" t="s">
        <v>276</v>
      </c>
    </row>
    <row r="16" spans="1:2" ht="78" customHeight="1" x14ac:dyDescent="0.25">
      <c r="A16" s="161" t="s">
        <v>45</v>
      </c>
      <c r="B16" s="162" t="s">
        <v>46</v>
      </c>
    </row>
    <row r="20" spans="1:1" x14ac:dyDescent="0.25">
      <c r="A20" s="163"/>
    </row>
    <row r="21" spans="1:1" x14ac:dyDescent="0.25">
      <c r="A21" s="164"/>
    </row>
    <row r="22" spans="1:1" x14ac:dyDescent="0.25">
      <c r="A22" s="164"/>
    </row>
    <row r="23" spans="1:1" x14ac:dyDescent="0.25">
      <c r="A23" s="164"/>
    </row>
    <row r="24" spans="1:1" x14ac:dyDescent="0.25">
      <c r="A24" s="160"/>
    </row>
    <row r="25" spans="1:1" x14ac:dyDescent="0.25">
      <c r="A25" s="160"/>
    </row>
    <row r="26" spans="1:1" x14ac:dyDescent="0.25">
      <c r="A26" s="160"/>
    </row>
    <row r="27" spans="1:1" x14ac:dyDescent="0.25">
      <c r="A27" s="160"/>
    </row>
  </sheetData>
  <sortState ref="A6:A19">
    <sortCondition ref="A5"/>
  </sortState>
  <mergeCells count="1">
    <mergeCell ref="A1:B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K12"/>
  <sheetViews>
    <sheetView topLeftCell="A8" workbookViewId="0">
      <selection activeCell="C10" sqref="C10:K10"/>
    </sheetView>
  </sheetViews>
  <sheetFormatPr baseColWidth="10" defaultColWidth="11.42578125" defaultRowHeight="15" x14ac:dyDescent="0.25"/>
  <cols>
    <col min="1" max="2" width="11.42578125" style="15"/>
    <col min="3" max="3" width="16.85546875" style="15" customWidth="1"/>
    <col min="4" max="16384" width="11.42578125" style="15"/>
  </cols>
  <sheetData>
    <row r="4" spans="3:11" ht="15.75" thickBot="1" x14ac:dyDescent="0.3"/>
    <row r="5" spans="3:11" x14ac:dyDescent="0.25">
      <c r="C5" s="139" t="s">
        <v>235</v>
      </c>
      <c r="D5" s="140"/>
      <c r="E5" s="140"/>
      <c r="F5" s="140"/>
      <c r="G5" s="140"/>
      <c r="H5" s="140"/>
      <c r="I5" s="140"/>
      <c r="J5" s="140"/>
      <c r="K5" s="141"/>
    </row>
    <row r="6" spans="3:11" ht="15.75" thickBot="1" x14ac:dyDescent="0.3">
      <c r="C6" s="142" t="s">
        <v>237</v>
      </c>
      <c r="D6" s="143" t="s">
        <v>236</v>
      </c>
      <c r="E6" s="143"/>
      <c r="F6" s="143"/>
      <c r="G6" s="143"/>
      <c r="H6" s="143"/>
      <c r="I6" s="143"/>
      <c r="J6" s="143"/>
      <c r="K6" s="144"/>
    </row>
    <row r="9" spans="3:11" ht="272.25" customHeight="1" x14ac:dyDescent="0.25">
      <c r="C9" s="522" t="s">
        <v>242</v>
      </c>
      <c r="D9" s="522"/>
      <c r="E9" s="522"/>
      <c r="F9" s="522"/>
      <c r="G9" s="522"/>
      <c r="H9" s="522"/>
      <c r="I9" s="522"/>
      <c r="J9" s="522"/>
      <c r="K9" s="522"/>
    </row>
    <row r="10" spans="3:11" ht="135" customHeight="1" x14ac:dyDescent="0.25">
      <c r="C10" s="522" t="s">
        <v>608</v>
      </c>
      <c r="D10" s="522"/>
      <c r="E10" s="522"/>
      <c r="F10" s="522"/>
      <c r="G10" s="522"/>
      <c r="H10" s="522"/>
      <c r="I10" s="522"/>
      <c r="J10" s="522"/>
      <c r="K10" s="522"/>
    </row>
    <row r="11" spans="3:11" ht="205.5" customHeight="1" x14ac:dyDescent="0.25">
      <c r="C11" s="157"/>
      <c r="D11" s="157"/>
      <c r="E11" s="157"/>
      <c r="F11" s="157"/>
      <c r="G11" s="157"/>
      <c r="H11" s="157"/>
      <c r="I11" s="157"/>
      <c r="J11" s="157"/>
      <c r="K11" s="157"/>
    </row>
    <row r="12" spans="3:11" ht="39.75" customHeight="1" x14ac:dyDescent="0.25">
      <c r="C12" s="523" t="s">
        <v>243</v>
      </c>
      <c r="D12" s="523"/>
      <c r="E12" s="523"/>
      <c r="F12" s="523"/>
      <c r="G12" s="523"/>
      <c r="H12" s="523"/>
      <c r="I12" s="523"/>
      <c r="J12" s="523"/>
      <c r="K12" s="523"/>
    </row>
  </sheetData>
  <mergeCells count="3">
    <mergeCell ref="C9:K9"/>
    <mergeCell ref="C10:K10"/>
    <mergeCell ref="C12:K12"/>
  </mergeCells>
  <pageMargins left="0.7" right="0.7" top="0.75" bottom="0.75" header="0.3" footer="0.3"/>
  <pageSetup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topLeftCell="A27" workbookViewId="0">
      <selection activeCell="F38" sqref="F38"/>
    </sheetView>
  </sheetViews>
  <sheetFormatPr baseColWidth="10" defaultColWidth="11.42578125" defaultRowHeight="15" x14ac:dyDescent="0.25"/>
  <cols>
    <col min="1" max="1" width="24.140625" style="15" customWidth="1"/>
    <col min="2" max="2" width="44.42578125" style="15" customWidth="1"/>
    <col min="3" max="3" width="47.28515625" style="15" bestFit="1" customWidth="1"/>
    <col min="4" max="4" width="27" style="63" customWidth="1"/>
    <col min="5" max="5" width="25.28515625" style="15" customWidth="1"/>
    <col min="6" max="6" width="45.7109375" style="15" customWidth="1"/>
    <col min="7" max="13" width="11.42578125" style="15"/>
    <col min="14" max="14" width="27.5703125" style="15" customWidth="1"/>
    <col min="15" max="16384" width="11.42578125" style="15"/>
  </cols>
  <sheetData>
    <row r="1" spans="1:14" ht="72" customHeight="1" x14ac:dyDescent="0.25">
      <c r="A1"/>
      <c r="B1" s="524" t="s">
        <v>435</v>
      </c>
      <c r="C1" s="524"/>
      <c r="D1" s="524"/>
      <c r="E1" s="524"/>
      <c r="F1" s="525"/>
      <c r="G1" s="60"/>
      <c r="H1" s="60"/>
      <c r="I1" s="60"/>
      <c r="J1" s="60"/>
      <c r="K1" s="60"/>
      <c r="L1" s="60"/>
      <c r="M1" s="62"/>
      <c r="N1" s="63"/>
    </row>
    <row r="2" spans="1:14" ht="16.5" x14ac:dyDescent="0.3">
      <c r="A2" s="64" t="s">
        <v>99</v>
      </c>
      <c r="B2" s="186">
        <v>45657</v>
      </c>
      <c r="F2" s="16"/>
    </row>
    <row r="3" spans="1:14" ht="76.5" customHeight="1" x14ac:dyDescent="0.25">
      <c r="A3" s="526" t="s">
        <v>126</v>
      </c>
      <c r="B3" s="527"/>
      <c r="C3" s="527"/>
      <c r="D3" s="527"/>
      <c r="E3" s="527"/>
      <c r="F3" s="528"/>
    </row>
    <row r="4" spans="1:14" ht="24.75" customHeight="1" x14ac:dyDescent="0.25">
      <c r="A4" s="65"/>
      <c r="B4"/>
      <c r="C4"/>
      <c r="D4" s="197"/>
      <c r="E4"/>
      <c r="F4" s="66"/>
      <c r="H4"/>
    </row>
    <row r="5" spans="1:14" ht="28.5" x14ac:dyDescent="0.25">
      <c r="A5" s="67" t="s">
        <v>63</v>
      </c>
      <c r="B5" s="49" t="s">
        <v>58</v>
      </c>
      <c r="C5" s="49" t="s">
        <v>59</v>
      </c>
      <c r="D5" s="49" t="s">
        <v>60</v>
      </c>
      <c r="E5" s="49" t="s">
        <v>62</v>
      </c>
      <c r="F5" s="68" t="s">
        <v>61</v>
      </c>
      <c r="G5" s="61"/>
    </row>
    <row r="6" spans="1:14" ht="30.75" customHeight="1" x14ac:dyDescent="0.25">
      <c r="A6" s="531" t="s">
        <v>64</v>
      </c>
      <c r="B6" s="55" t="s">
        <v>70</v>
      </c>
      <c r="C6" s="187" t="s">
        <v>451</v>
      </c>
      <c r="D6" s="196">
        <v>45175</v>
      </c>
      <c r="E6" s="54" t="s">
        <v>348</v>
      </c>
      <c r="F6" s="69"/>
    </row>
    <row r="7" spans="1:14" ht="30.75" customHeight="1" x14ac:dyDescent="0.25">
      <c r="A7" s="531"/>
      <c r="B7" s="55" t="s">
        <v>65</v>
      </c>
      <c r="C7" s="187" t="s">
        <v>452</v>
      </c>
      <c r="D7" s="196">
        <v>44636</v>
      </c>
      <c r="E7" s="54" t="s">
        <v>348</v>
      </c>
      <c r="F7" s="69"/>
    </row>
    <row r="8" spans="1:14" ht="30.75" customHeight="1" x14ac:dyDescent="0.25">
      <c r="A8" s="531"/>
      <c r="B8" s="55" t="s">
        <v>66</v>
      </c>
      <c r="C8" s="187" t="s">
        <v>452</v>
      </c>
      <c r="D8" s="196">
        <v>44636</v>
      </c>
      <c r="E8" s="54" t="s">
        <v>348</v>
      </c>
      <c r="F8" s="69"/>
    </row>
    <row r="9" spans="1:14" ht="16.5" x14ac:dyDescent="0.25">
      <c r="A9" s="531"/>
      <c r="B9" s="55" t="s">
        <v>68</v>
      </c>
      <c r="C9" s="188" t="s">
        <v>453</v>
      </c>
      <c r="D9" s="196">
        <v>44182</v>
      </c>
      <c r="E9" s="54" t="s">
        <v>348</v>
      </c>
      <c r="F9" s="69"/>
    </row>
    <row r="10" spans="1:14" ht="33" x14ac:dyDescent="0.25">
      <c r="A10" s="531"/>
      <c r="B10" s="55" t="s">
        <v>69</v>
      </c>
      <c r="C10" s="188" t="s">
        <v>453</v>
      </c>
      <c r="D10" s="196">
        <v>44043</v>
      </c>
      <c r="E10" s="54" t="s">
        <v>348</v>
      </c>
      <c r="F10" s="69"/>
    </row>
    <row r="11" spans="1:14" ht="30.75" customHeight="1" x14ac:dyDescent="0.25">
      <c r="A11" s="531"/>
      <c r="B11" s="55" t="s">
        <v>67</v>
      </c>
      <c r="C11" s="188" t="s">
        <v>405</v>
      </c>
      <c r="D11" s="54" t="s">
        <v>406</v>
      </c>
      <c r="E11" s="54" t="s">
        <v>348</v>
      </c>
      <c r="F11" s="69"/>
    </row>
    <row r="12" spans="1:14" ht="30.75" customHeight="1" x14ac:dyDescent="0.25">
      <c r="A12" s="531"/>
      <c r="B12" s="55" t="s">
        <v>82</v>
      </c>
      <c r="C12" s="188" t="s">
        <v>454</v>
      </c>
      <c r="D12" s="196">
        <v>45322</v>
      </c>
      <c r="E12" s="54" t="s">
        <v>348</v>
      </c>
      <c r="F12" s="69"/>
    </row>
    <row r="13" spans="1:14" ht="30.75" customHeight="1" x14ac:dyDescent="0.25">
      <c r="A13" s="531"/>
      <c r="B13" s="55" t="s">
        <v>71</v>
      </c>
      <c r="C13" s="187" t="s">
        <v>455</v>
      </c>
      <c r="D13" s="196">
        <v>45261</v>
      </c>
      <c r="E13" s="54" t="s">
        <v>348</v>
      </c>
      <c r="F13" s="69"/>
    </row>
    <row r="14" spans="1:14" ht="30.75" customHeight="1" x14ac:dyDescent="0.25">
      <c r="A14" s="531"/>
      <c r="B14" s="55" t="s">
        <v>234</v>
      </c>
      <c r="C14" s="187" t="s">
        <v>609</v>
      </c>
      <c r="D14" s="196">
        <v>44886</v>
      </c>
      <c r="E14" s="54" t="s">
        <v>348</v>
      </c>
      <c r="F14" s="69"/>
    </row>
    <row r="15" spans="1:14" ht="30.75" customHeight="1" x14ac:dyDescent="0.25">
      <c r="A15" s="531"/>
      <c r="B15" s="55" t="s">
        <v>83</v>
      </c>
      <c r="C15" s="188" t="s">
        <v>456</v>
      </c>
      <c r="D15" s="54" t="s">
        <v>610</v>
      </c>
      <c r="E15" s="54" t="s">
        <v>348</v>
      </c>
      <c r="F15" s="69"/>
    </row>
    <row r="16" spans="1:14" ht="31.5" customHeight="1" x14ac:dyDescent="0.25">
      <c r="A16" s="531"/>
      <c r="B16" s="55" t="s">
        <v>91</v>
      </c>
      <c r="C16" s="188" t="s">
        <v>457</v>
      </c>
      <c r="D16" s="196">
        <v>43979</v>
      </c>
      <c r="E16" s="54" t="s">
        <v>348</v>
      </c>
      <c r="F16" s="69"/>
    </row>
    <row r="17" spans="1:6" ht="37.5" customHeight="1" x14ac:dyDescent="0.3">
      <c r="A17" s="529" t="s">
        <v>72</v>
      </c>
      <c r="B17" s="58" t="s">
        <v>73</v>
      </c>
      <c r="C17" s="188" t="s">
        <v>458</v>
      </c>
      <c r="D17" s="200" t="s">
        <v>611</v>
      </c>
      <c r="E17" s="54" t="s">
        <v>348</v>
      </c>
      <c r="F17" s="70"/>
    </row>
    <row r="18" spans="1:6" ht="37.5" customHeight="1" x14ac:dyDescent="0.3">
      <c r="A18" s="529"/>
      <c r="B18" s="58" t="s">
        <v>74</v>
      </c>
      <c r="C18" s="188" t="s">
        <v>459</v>
      </c>
      <c r="D18" s="200">
        <v>2023</v>
      </c>
      <c r="E18" s="54" t="s">
        <v>348</v>
      </c>
      <c r="F18" s="70"/>
    </row>
    <row r="19" spans="1:6" ht="37.5" customHeight="1" x14ac:dyDescent="0.3">
      <c r="A19" s="529"/>
      <c r="B19" s="58" t="s">
        <v>75</v>
      </c>
      <c r="C19" s="188" t="s">
        <v>461</v>
      </c>
      <c r="D19" s="202">
        <v>45248</v>
      </c>
      <c r="E19" s="54" t="s">
        <v>348</v>
      </c>
      <c r="F19" s="70"/>
    </row>
    <row r="20" spans="1:6" ht="37.5" customHeight="1" x14ac:dyDescent="0.3">
      <c r="A20" s="529"/>
      <c r="B20" s="58" t="s">
        <v>76</v>
      </c>
      <c r="C20" s="201" t="s">
        <v>460</v>
      </c>
      <c r="D20" s="202">
        <v>45248</v>
      </c>
      <c r="E20" s="54" t="s">
        <v>349</v>
      </c>
      <c r="F20" s="70"/>
    </row>
    <row r="21" spans="1:6" ht="37.5" customHeight="1" x14ac:dyDescent="0.3">
      <c r="A21" s="529"/>
      <c r="B21" s="58" t="s">
        <v>77</v>
      </c>
      <c r="C21" s="188" t="s">
        <v>462</v>
      </c>
      <c r="D21" s="200" t="s">
        <v>347</v>
      </c>
      <c r="E21" s="54" t="s">
        <v>12</v>
      </c>
      <c r="F21" s="70"/>
    </row>
    <row r="22" spans="1:6" ht="37.5" customHeight="1" x14ac:dyDescent="0.3">
      <c r="A22" s="529"/>
      <c r="B22" s="58" t="s">
        <v>100</v>
      </c>
      <c r="C22" s="187" t="s">
        <v>455</v>
      </c>
      <c r="D22" s="202">
        <v>45248</v>
      </c>
      <c r="E22" s="54" t="s">
        <v>348</v>
      </c>
      <c r="F22" s="70"/>
    </row>
    <row r="23" spans="1:6" ht="30" x14ac:dyDescent="0.3">
      <c r="A23" s="529"/>
      <c r="B23" s="58" t="s">
        <v>78</v>
      </c>
      <c r="C23" s="188" t="s">
        <v>463</v>
      </c>
      <c r="D23" s="202">
        <v>45322</v>
      </c>
      <c r="E23" s="54" t="s">
        <v>348</v>
      </c>
      <c r="F23" s="70"/>
    </row>
    <row r="24" spans="1:6" ht="37.5" customHeight="1" x14ac:dyDescent="0.3">
      <c r="A24" s="529"/>
      <c r="B24" s="55" t="s">
        <v>79</v>
      </c>
      <c r="C24" s="260" t="s">
        <v>464</v>
      </c>
      <c r="D24" s="200">
        <v>2023</v>
      </c>
      <c r="E24" s="54" t="s">
        <v>348</v>
      </c>
      <c r="F24" s="70"/>
    </row>
    <row r="25" spans="1:6" ht="37.5" customHeight="1" x14ac:dyDescent="0.3">
      <c r="A25" s="529"/>
      <c r="B25" s="55" t="s">
        <v>80</v>
      </c>
      <c r="C25" s="188" t="s">
        <v>465</v>
      </c>
      <c r="D25" s="200">
        <v>2023</v>
      </c>
      <c r="E25" s="54" t="s">
        <v>348</v>
      </c>
      <c r="F25" s="70"/>
    </row>
    <row r="26" spans="1:6" ht="37.5" customHeight="1" x14ac:dyDescent="0.3">
      <c r="A26" s="529"/>
      <c r="B26" s="55" t="s">
        <v>81</v>
      </c>
      <c r="C26" s="188" t="s">
        <v>466</v>
      </c>
      <c r="D26" s="436">
        <v>45292</v>
      </c>
      <c r="E26" s="54" t="s">
        <v>348</v>
      </c>
      <c r="F26" s="70"/>
    </row>
    <row r="27" spans="1:6" ht="37.5" customHeight="1" x14ac:dyDescent="0.3">
      <c r="A27" s="529"/>
      <c r="B27" s="55" t="s">
        <v>84</v>
      </c>
      <c r="C27" s="188" t="s">
        <v>467</v>
      </c>
      <c r="D27" s="200" t="s">
        <v>612</v>
      </c>
      <c r="E27" s="54" t="s">
        <v>348</v>
      </c>
      <c r="F27" s="70"/>
    </row>
    <row r="28" spans="1:6" ht="16.5" x14ac:dyDescent="0.3">
      <c r="A28" s="532" t="s">
        <v>88</v>
      </c>
      <c r="B28" s="55" t="s">
        <v>89</v>
      </c>
      <c r="C28" s="188" t="s">
        <v>468</v>
      </c>
      <c r="D28" s="200">
        <v>2023</v>
      </c>
      <c r="E28" s="54" t="s">
        <v>348</v>
      </c>
      <c r="F28" s="70"/>
    </row>
    <row r="29" spans="1:6" ht="37.5" customHeight="1" x14ac:dyDescent="0.3">
      <c r="A29" s="533"/>
      <c r="B29" s="55" t="s">
        <v>90</v>
      </c>
      <c r="C29" s="188" t="s">
        <v>469</v>
      </c>
      <c r="D29" s="202">
        <v>45169</v>
      </c>
      <c r="E29" s="54" t="s">
        <v>348</v>
      </c>
      <c r="F29" s="70"/>
    </row>
    <row r="30" spans="1:6" ht="37.5" customHeight="1" x14ac:dyDescent="0.3">
      <c r="A30" s="533"/>
      <c r="B30" s="55" t="s">
        <v>92</v>
      </c>
      <c r="C30" s="188" t="s">
        <v>470</v>
      </c>
      <c r="D30" s="200">
        <v>2023</v>
      </c>
      <c r="E30" s="54" t="s">
        <v>348</v>
      </c>
      <c r="F30" s="70"/>
    </row>
    <row r="31" spans="1:6" ht="30" x14ac:dyDescent="0.3">
      <c r="A31" s="533"/>
      <c r="B31" s="55" t="s">
        <v>93</v>
      </c>
      <c r="C31" s="188" t="s">
        <v>470</v>
      </c>
      <c r="D31" s="200">
        <v>2023</v>
      </c>
      <c r="E31" s="54" t="s">
        <v>348</v>
      </c>
      <c r="F31" s="70"/>
    </row>
    <row r="32" spans="1:6" ht="37.5" customHeight="1" x14ac:dyDescent="0.3">
      <c r="A32" s="534"/>
      <c r="B32" s="55" t="s">
        <v>96</v>
      </c>
      <c r="C32" s="188" t="s">
        <v>347</v>
      </c>
      <c r="D32" s="200">
        <v>2023</v>
      </c>
      <c r="E32" s="54" t="s">
        <v>613</v>
      </c>
      <c r="F32" s="70" t="s">
        <v>614</v>
      </c>
    </row>
    <row r="33" spans="1:6" ht="43.5" customHeight="1" x14ac:dyDescent="0.3">
      <c r="A33" s="529" t="s">
        <v>85</v>
      </c>
      <c r="B33" s="55" t="s">
        <v>98</v>
      </c>
      <c r="C33" s="188" t="s">
        <v>471</v>
      </c>
      <c r="D33" s="202">
        <v>45322</v>
      </c>
      <c r="E33" s="54" t="s">
        <v>348</v>
      </c>
      <c r="F33" s="70"/>
    </row>
    <row r="34" spans="1:6" ht="33" x14ac:dyDescent="0.3">
      <c r="A34" s="529"/>
      <c r="B34" s="55" t="s">
        <v>86</v>
      </c>
      <c r="C34" s="188" t="s">
        <v>473</v>
      </c>
      <c r="D34" s="202">
        <v>45323</v>
      </c>
      <c r="E34" s="54" t="s">
        <v>348</v>
      </c>
      <c r="F34" s="70"/>
    </row>
    <row r="35" spans="1:6" ht="43.5" customHeight="1" x14ac:dyDescent="0.3">
      <c r="A35" s="529"/>
      <c r="B35" s="55" t="s">
        <v>87</v>
      </c>
      <c r="C35" s="188" t="s">
        <v>472</v>
      </c>
      <c r="D35" s="202">
        <v>45323</v>
      </c>
      <c r="E35" s="54" t="s">
        <v>348</v>
      </c>
      <c r="F35" s="70"/>
    </row>
    <row r="36" spans="1:6" ht="43.5" customHeight="1" x14ac:dyDescent="0.3">
      <c r="A36" s="529"/>
      <c r="B36" s="55" t="s">
        <v>94</v>
      </c>
      <c r="C36" s="188" t="s">
        <v>347</v>
      </c>
      <c r="D36" s="200"/>
      <c r="E36" s="54"/>
      <c r="F36" s="70"/>
    </row>
    <row r="37" spans="1:6" ht="43.5" customHeight="1" x14ac:dyDescent="0.3">
      <c r="A37" s="529"/>
      <c r="B37" s="55" t="s">
        <v>97</v>
      </c>
      <c r="C37" s="188"/>
      <c r="D37" s="200">
        <v>2023</v>
      </c>
      <c r="E37" s="54" t="s">
        <v>613</v>
      </c>
      <c r="F37" s="70"/>
    </row>
    <row r="38" spans="1:6" ht="33" x14ac:dyDescent="0.3">
      <c r="A38" s="529"/>
      <c r="B38" s="55" t="s">
        <v>124</v>
      </c>
      <c r="C38" s="188" t="s">
        <v>474</v>
      </c>
      <c r="D38" s="200">
        <v>2023</v>
      </c>
      <c r="E38" s="54" t="s">
        <v>348</v>
      </c>
      <c r="F38" s="70"/>
    </row>
    <row r="39" spans="1:6" ht="33.75" thickBot="1" x14ac:dyDescent="0.35">
      <c r="A39" s="530"/>
      <c r="B39" s="71" t="s">
        <v>125</v>
      </c>
      <c r="C39" s="295" t="s">
        <v>475</v>
      </c>
      <c r="D39" s="437">
        <v>2018</v>
      </c>
      <c r="E39" s="189" t="s">
        <v>348</v>
      </c>
      <c r="F39" s="72" t="s">
        <v>615</v>
      </c>
    </row>
    <row r="40" spans="1:6" ht="16.5" x14ac:dyDescent="0.3">
      <c r="A40" s="159"/>
      <c r="B40" s="159"/>
      <c r="C40" s="159"/>
      <c r="D40" s="198"/>
      <c r="E40" s="159"/>
      <c r="F40" s="159"/>
    </row>
    <row r="41" spans="1:6" ht="16.5" x14ac:dyDescent="0.3">
      <c r="A41" s="159"/>
      <c r="B41" s="159"/>
      <c r="C41" s="159"/>
      <c r="D41" s="198"/>
      <c r="E41" s="159"/>
      <c r="F41" s="159"/>
    </row>
    <row r="42" spans="1:6" ht="16.5" x14ac:dyDescent="0.3">
      <c r="A42" s="90"/>
      <c r="B42" s="90"/>
      <c r="C42" s="90"/>
      <c r="D42" s="199"/>
      <c r="E42" s="90"/>
      <c r="F42" s="90"/>
    </row>
    <row r="43" spans="1:6" ht="16.5" x14ac:dyDescent="0.3">
      <c r="A43" s="90"/>
      <c r="B43" s="90"/>
      <c r="C43" s="90"/>
      <c r="D43" s="199"/>
      <c r="E43" s="90"/>
      <c r="F43" s="90"/>
    </row>
  </sheetData>
  <mergeCells count="6">
    <mergeCell ref="B1:F1"/>
    <mergeCell ref="A3:F3"/>
    <mergeCell ref="A33:A39"/>
    <mergeCell ref="A6:A16"/>
    <mergeCell ref="A17:A27"/>
    <mergeCell ref="A28:A32"/>
  </mergeCells>
  <dataValidations count="4">
    <dataValidation allowBlank="1" showInputMessage="1" showErrorMessage="1" prompt="Registre el documento soporte donde se encuentra el item del repositorio de la entidad. (Físico o Magnético)" sqref="C5"/>
    <dataValidation allowBlank="1" showInputMessage="1" showErrorMessage="1" prompt="Registre la fecha de vigencia del soporte relacionado. Cuando sean distintos documentos y fechas en el ítem como procesos. relacione donde se encuentra el registro de actualziaciones." sqref="D5"/>
    <dataValidation allowBlank="1" showInputMessage="1" showErrorMessage="1" prompt="Registre SI, si tiene acceso al documento, NO cuando exista alguna limitación en su acceso, indicando en las Notas del equipo Auditor la observación._x000a_" sqref="E5"/>
    <dataValidation allowBlank="1" showInputMessage="1" showErrorMessage="1" prompt="Registre notas de relevancia de orientación sobre la información. Ej: Version desactualizada, No se presentó auditoría regular en la última vigencia, etc." sqref="F5"/>
  </dataValidations>
  <hyperlinks>
    <hyperlink ref="C6" r:id="rId1"/>
    <hyperlink ref="C13" r:id="rId2"/>
    <hyperlink ref="C17" r:id="rId3"/>
    <hyperlink ref="C22" r:id="rId4"/>
  </hyperlinks>
  <pageMargins left="0.7" right="0.7" top="0.75" bottom="0.75" header="0.3" footer="0.3"/>
  <pageSetup orientation="portrait" horizontalDpi="4294967292" verticalDpi="0" r:id="rId5"/>
  <drawing r:id="rId6"/>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B100"/>
  <sheetViews>
    <sheetView topLeftCell="A6" zoomScale="70" zoomScaleNormal="70" workbookViewId="0">
      <selection activeCell="O29" sqref="O29"/>
    </sheetView>
  </sheetViews>
  <sheetFormatPr baseColWidth="10" defaultColWidth="14.42578125" defaultRowHeight="15" customHeight="1" x14ac:dyDescent="0.3"/>
  <cols>
    <col min="1" max="1" width="4.5703125" style="165" customWidth="1"/>
    <col min="2" max="2" width="48.7109375" style="165" customWidth="1"/>
    <col min="3" max="7" width="10.7109375" style="165" customWidth="1"/>
    <col min="8" max="8" width="11.5703125" style="165" customWidth="1"/>
    <col min="9" max="9" width="14.140625" style="165" customWidth="1"/>
    <col min="10" max="10" width="22" style="165" customWidth="1"/>
    <col min="11" max="12" width="9.7109375" style="165" bestFit="1" customWidth="1"/>
    <col min="13" max="13" width="13" style="165" customWidth="1"/>
    <col min="14" max="14" width="10.85546875" style="165" customWidth="1"/>
    <col min="15" max="16" width="10.7109375" style="165" customWidth="1"/>
    <col min="17" max="17" width="16.28515625" style="165" customWidth="1"/>
    <col min="18" max="18" width="16.140625" style="165" customWidth="1"/>
    <col min="19" max="19" width="10.7109375" style="165" customWidth="1"/>
    <col min="20" max="21" width="32.140625" style="165" customWidth="1"/>
    <col min="22" max="24" width="14.42578125" style="165"/>
    <col min="25" max="25" width="39" style="165" customWidth="1"/>
    <col min="26" max="16384" width="14.42578125" style="165"/>
  </cols>
  <sheetData>
    <row r="1" spans="2:28" ht="15" customHeight="1" thickBot="1" x14ac:dyDescent="0.35"/>
    <row r="2" spans="2:28" ht="16.5" x14ac:dyDescent="0.3">
      <c r="B2" s="537"/>
      <c r="C2" s="540" t="s">
        <v>330</v>
      </c>
      <c r="D2" s="541"/>
      <c r="E2" s="541"/>
      <c r="F2" s="541"/>
      <c r="G2" s="541"/>
      <c r="H2" s="541"/>
      <c r="I2" s="541"/>
      <c r="J2" s="541"/>
      <c r="K2" s="541"/>
      <c r="L2" s="541"/>
      <c r="M2" s="541"/>
      <c r="N2" s="541"/>
      <c r="O2" s="541"/>
      <c r="P2" s="541"/>
      <c r="Q2" s="542"/>
      <c r="R2" s="549"/>
      <c r="S2" s="550"/>
      <c r="T2" s="551"/>
    </row>
    <row r="3" spans="2:28" ht="16.5" x14ac:dyDescent="0.3">
      <c r="B3" s="538"/>
      <c r="C3" s="543"/>
      <c r="D3" s="544"/>
      <c r="E3" s="544"/>
      <c r="F3" s="544"/>
      <c r="G3" s="544"/>
      <c r="H3" s="544"/>
      <c r="I3" s="544"/>
      <c r="J3" s="544"/>
      <c r="K3" s="544"/>
      <c r="L3" s="544"/>
      <c r="M3" s="544"/>
      <c r="N3" s="544"/>
      <c r="O3" s="544"/>
      <c r="P3" s="544"/>
      <c r="Q3" s="545"/>
      <c r="R3" s="554"/>
      <c r="S3" s="555"/>
      <c r="T3" s="552"/>
    </row>
    <row r="4" spans="2:28" ht="16.5" x14ac:dyDescent="0.3">
      <c r="B4" s="538"/>
      <c r="C4" s="543"/>
      <c r="D4" s="544"/>
      <c r="E4" s="544"/>
      <c r="F4" s="544"/>
      <c r="G4" s="544"/>
      <c r="H4" s="544"/>
      <c r="I4" s="544"/>
      <c r="J4" s="544"/>
      <c r="K4" s="544"/>
      <c r="L4" s="544"/>
      <c r="M4" s="544"/>
      <c r="N4" s="544"/>
      <c r="O4" s="544"/>
      <c r="P4" s="544"/>
      <c r="Q4" s="545"/>
      <c r="R4" s="554"/>
      <c r="S4" s="555"/>
      <c r="T4" s="552"/>
    </row>
    <row r="5" spans="2:28" ht="17.25" thickBot="1" x14ac:dyDescent="0.35">
      <c r="B5" s="539"/>
      <c r="C5" s="543"/>
      <c r="D5" s="546"/>
      <c r="E5" s="547"/>
      <c r="F5" s="547"/>
      <c r="G5" s="547"/>
      <c r="H5" s="547"/>
      <c r="I5" s="547"/>
      <c r="J5" s="547"/>
      <c r="K5" s="547"/>
      <c r="L5" s="547"/>
      <c r="M5" s="547"/>
      <c r="N5" s="547"/>
      <c r="O5" s="547"/>
      <c r="P5" s="547"/>
      <c r="Q5" s="548"/>
      <c r="R5" s="556"/>
      <c r="S5" s="557"/>
      <c r="T5" s="553"/>
    </row>
    <row r="6" spans="2:28" ht="17.25" thickBot="1" x14ac:dyDescent="0.35">
      <c r="B6" s="225" t="s">
        <v>11</v>
      </c>
      <c r="C6" s="535">
        <v>45657</v>
      </c>
      <c r="D6" s="536"/>
    </row>
    <row r="7" spans="2:28" ht="15" customHeight="1" thickBot="1" x14ac:dyDescent="0.35"/>
    <row r="8" spans="2:28" ht="17.25" thickBot="1" x14ac:dyDescent="0.35">
      <c r="B8" s="166">
        <v>1</v>
      </c>
      <c r="C8" s="571">
        <v>2</v>
      </c>
      <c r="D8" s="572"/>
      <c r="E8" s="572"/>
      <c r="F8" s="572"/>
      <c r="G8" s="572"/>
      <c r="H8" s="572"/>
      <c r="I8" s="572"/>
      <c r="J8" s="573"/>
      <c r="K8" s="178"/>
      <c r="L8" s="178"/>
      <c r="M8" s="577">
        <v>3</v>
      </c>
      <c r="N8" s="578"/>
      <c r="O8" s="577">
        <v>4</v>
      </c>
      <c r="P8" s="578"/>
      <c r="Q8" s="577">
        <v>5</v>
      </c>
      <c r="R8" s="579"/>
      <c r="S8" s="579"/>
      <c r="T8" s="569">
        <v>6</v>
      </c>
      <c r="U8" s="570"/>
    </row>
    <row r="9" spans="2:28" ht="47.25" customHeight="1" thickBot="1" x14ac:dyDescent="0.35">
      <c r="B9" s="558" t="s">
        <v>329</v>
      </c>
      <c r="C9" s="560" t="s">
        <v>0</v>
      </c>
      <c r="D9" s="547"/>
      <c r="E9" s="547"/>
      <c r="F9" s="547"/>
      <c r="G9" s="547"/>
      <c r="H9" s="561" t="s">
        <v>6</v>
      </c>
      <c r="I9" s="546"/>
      <c r="J9" s="565" t="s">
        <v>277</v>
      </c>
      <c r="K9" s="574"/>
      <c r="L9" s="566"/>
      <c r="M9" s="563" t="s">
        <v>7</v>
      </c>
      <c r="N9" s="564"/>
      <c r="O9" s="561" t="s">
        <v>8</v>
      </c>
      <c r="P9" s="564"/>
      <c r="Q9" s="580" t="s">
        <v>9</v>
      </c>
      <c r="R9" s="580" t="s">
        <v>10</v>
      </c>
      <c r="S9" s="561" t="s">
        <v>13</v>
      </c>
      <c r="T9" s="565" t="s">
        <v>14</v>
      </c>
      <c r="U9" s="566"/>
    </row>
    <row r="10" spans="2:28" ht="47.25" customHeight="1" thickBot="1" x14ac:dyDescent="0.35">
      <c r="B10" s="559"/>
      <c r="C10" s="211" t="s">
        <v>1</v>
      </c>
      <c r="D10" s="212" t="s">
        <v>2</v>
      </c>
      <c r="E10" s="213" t="s">
        <v>3</v>
      </c>
      <c r="F10" s="214" t="s">
        <v>4</v>
      </c>
      <c r="G10" s="215" t="s">
        <v>5</v>
      </c>
      <c r="H10" s="562"/>
      <c r="I10" s="546"/>
      <c r="J10" s="575"/>
      <c r="K10" s="563"/>
      <c r="L10" s="576"/>
      <c r="M10" s="546"/>
      <c r="N10" s="564"/>
      <c r="O10" s="562"/>
      <c r="P10" s="564"/>
      <c r="Q10" s="559"/>
      <c r="R10" s="559"/>
      <c r="S10" s="562"/>
      <c r="T10" s="567"/>
      <c r="U10" s="568"/>
    </row>
    <row r="11" spans="2:28" ht="51.75" customHeight="1" thickBot="1" x14ac:dyDescent="0.35">
      <c r="B11" s="253" t="str">
        <f>+'PAA OCI  '!B19</f>
        <v>Seguimiento a SARLAFT</v>
      </c>
      <c r="C11" s="216">
        <f>+'ANALISIS OCI'!X9</f>
        <v>1</v>
      </c>
      <c r="D11" s="217">
        <f>+'ANALISIS OCI'!Y9</f>
        <v>1</v>
      </c>
      <c r="E11" s="217">
        <f>+'ANALISIS OCI'!Z9</f>
        <v>1</v>
      </c>
      <c r="F11" s="217">
        <f>+'ANALISIS OCI'!AA9</f>
        <v>1</v>
      </c>
      <c r="G11" s="218">
        <f>SUM(C11:F11)</f>
        <v>4</v>
      </c>
      <c r="H11" s="206" t="str">
        <f>IF(G11=0,0,IF(($C11/$G11)&gt;=0.2,"Extremo",+IF((($C11/G11)+($D11/$G11))&gt;=0.3,"Alto",+IF((($C11/$G11)+($D11/$G11)+($E11/$G11))&gt;=0.4,"Moderado",+IF(($C11/$G11)+($D11/$G11)+($E11/$G11)+($F11/$G11)&gt;=0.5,"Bajo",IF(G11=0,0))))))</f>
        <v>Extremo</v>
      </c>
      <c r="I11" s="207">
        <f t="shared" ref="I11:I28" si="0">(IF(H11="Extremo",50%,(IF(H11="Alto",40%,IF(H11="Moderado",15%,IF(H11="Bajo",10%,0))))))</f>
        <v>0.5</v>
      </c>
      <c r="J11" s="203" t="str">
        <f>'ANALISIS OCI'!AC9</f>
        <v>Extremo</v>
      </c>
      <c r="K11" s="204">
        <f>(IF(J11="Extremo",50%,(IF(J11="Alto",40%,IF(J11="Moderado",15%,IF(J11="Bajo",10%,0))))))</f>
        <v>0.5</v>
      </c>
      <c r="L11" s="205">
        <f>IF(I11=0,K11,I11)</f>
        <v>0.5</v>
      </c>
      <c r="M11" s="219" t="s">
        <v>12</v>
      </c>
      <c r="N11" s="220">
        <f t="shared" ref="N11:N28" si="1">IF(M11="Si",100%,IF(M11="No",0,0))</f>
        <v>0</v>
      </c>
      <c r="O11" s="221" t="s">
        <v>348</v>
      </c>
      <c r="P11" s="222">
        <f t="shared" ref="P11:P28" si="2">IF(O11="Si",20%,IF(O11="No",0,0))</f>
        <v>0.2</v>
      </c>
      <c r="Q11" s="208"/>
      <c r="R11" s="209">
        <f>+$C$6-Q11</f>
        <v>45657</v>
      </c>
      <c r="S11" s="223">
        <f t="shared" ref="S11:S47" si="3">IF(R11&gt;=1080,30%,IF(R11&gt;=720,20%,IF(R11&gt;=360,10%,IF(R11&lt;=359,0%,0))))</f>
        <v>0.3</v>
      </c>
      <c r="T11" s="210">
        <f>IF(N11=100%,100%,(L11+P11+S11))</f>
        <v>1</v>
      </c>
      <c r="U11" s="179" t="str">
        <f>+IF(T11&gt;=85%,$AB$12,IF(AND( T11&gt;65%,T11&lt;85%),$AB$13,$AB$14))</f>
        <v xml:space="preserve">Incluir en el ciclo de auditorías de la vigencia </v>
      </c>
    </row>
    <row r="12" spans="2:28" ht="39" customHeight="1" thickBot="1" x14ac:dyDescent="0.35">
      <c r="B12" s="253" t="str">
        <f>+'PAA OCI  '!B20</f>
        <v>Revisión de Polizas de Seguro Corporativa</v>
      </c>
      <c r="C12" s="216">
        <f>+'ANALISIS OCI'!X10</f>
        <v>1</v>
      </c>
      <c r="D12" s="217">
        <f>+'ANALISIS OCI'!Y10</f>
        <v>1</v>
      </c>
      <c r="E12" s="217">
        <f>+'ANALISIS OCI'!Z10</f>
        <v>1</v>
      </c>
      <c r="F12" s="217">
        <f>+'ANALISIS OCI'!AA10</f>
        <v>2</v>
      </c>
      <c r="G12" s="218">
        <f t="shared" ref="G12:G28" si="4">SUM(C12:F12)</f>
        <v>5</v>
      </c>
      <c r="H12" s="206" t="str">
        <f t="shared" ref="H12:H28" si="5">IF(G12=0,0,IF(($C12/$G12)&gt;=0.2,"Extremo",+IF((($C12/G12)+($D12/$G12))&gt;=0.3,"Alto",+IF((($C12/$G12)+($D12/$G12)+($E12/$G12))&gt;=0.4,"Moderado",+IF(($C12/$G12)+($D12/$G12)+($E12/$G12)+($F12/$G12)&gt;=0.5,"Bajo",IF(G12=0,0))))))</f>
        <v>Extremo</v>
      </c>
      <c r="I12" s="207">
        <f t="shared" si="0"/>
        <v>0.5</v>
      </c>
      <c r="J12" s="203" t="str">
        <f>'ANALISIS OCI'!AC10</f>
        <v>Extremo</v>
      </c>
      <c r="K12" s="204">
        <f>(IF(J12="Extremo",50%,(IF(J12="Alto",40%,IF(J12="Moderado",15%,IF(J12="Bajo",10%,0))))))</f>
        <v>0.5</v>
      </c>
      <c r="L12" s="205">
        <f t="shared" ref="L12:L77" si="6">IF(I12=0,K12,I12)</f>
        <v>0.5</v>
      </c>
      <c r="M12" s="219" t="s">
        <v>12</v>
      </c>
      <c r="N12" s="220">
        <f t="shared" si="1"/>
        <v>0</v>
      </c>
      <c r="O12" s="221" t="s">
        <v>12</v>
      </c>
      <c r="P12" s="222">
        <f t="shared" si="2"/>
        <v>0</v>
      </c>
      <c r="Q12" s="208"/>
      <c r="R12" s="209">
        <f>+$C$6-Q12</f>
        <v>45657</v>
      </c>
      <c r="S12" s="223">
        <f t="shared" si="3"/>
        <v>0.3</v>
      </c>
      <c r="T12" s="194">
        <f t="shared" ref="T12:T47" si="7">IF(N12=100%,100%,(L12+P12+S12))</f>
        <v>0.8</v>
      </c>
      <c r="U12" s="179" t="str">
        <f t="shared" ref="U12:U77" si="8">+IF(T12&gt;=85%,$AB$12,IF(AND( T12&gt;65%,T12&lt;85%),$AB$13,$AB$14))</f>
        <v xml:space="preserve">Incluir en el ciclo vigente de acuerdo a disponibilidad de recursos </v>
      </c>
      <c r="AB12" s="165" t="s">
        <v>289</v>
      </c>
    </row>
    <row r="13" spans="2:28" ht="39.75" customHeight="1" thickBot="1" x14ac:dyDescent="0.35">
      <c r="B13" s="253" t="str">
        <f>+'PAA OCI  '!B21</f>
        <v>Seguimiento a actos administrativos Internos</v>
      </c>
      <c r="C13" s="216">
        <f>+'ANALISIS OCI'!X11</f>
        <v>0</v>
      </c>
      <c r="D13" s="217">
        <f>+'ANALISIS OCI'!Y11</f>
        <v>0</v>
      </c>
      <c r="E13" s="217">
        <f>+'ANALISIS OCI'!Z11</f>
        <v>1</v>
      </c>
      <c r="F13" s="217">
        <f>+'ANALISIS OCI'!AA11</f>
        <v>3</v>
      </c>
      <c r="G13" s="218">
        <f t="shared" si="4"/>
        <v>4</v>
      </c>
      <c r="H13" s="206" t="str">
        <f t="shared" si="5"/>
        <v>Bajo</v>
      </c>
      <c r="I13" s="207">
        <f t="shared" si="0"/>
        <v>0.1</v>
      </c>
      <c r="J13" s="203" t="str">
        <f>'ANALISIS OCI'!AC11</f>
        <v>Bajo</v>
      </c>
      <c r="K13" s="204">
        <f t="shared" ref="K13:K78" si="9">(IF(J13="Extremo",50%,(IF(J13="Alto",40%,IF(J13="Moderado",15%,IF(J13="Bajo",10%,0))))))</f>
        <v>0.1</v>
      </c>
      <c r="L13" s="205">
        <f t="shared" si="6"/>
        <v>0.1</v>
      </c>
      <c r="M13" s="219" t="s">
        <v>12</v>
      </c>
      <c r="N13" s="220">
        <f t="shared" si="1"/>
        <v>0</v>
      </c>
      <c r="O13" s="221" t="s">
        <v>12</v>
      </c>
      <c r="P13" s="222">
        <f t="shared" si="2"/>
        <v>0</v>
      </c>
      <c r="Q13" s="208"/>
      <c r="R13" s="209">
        <f t="shared" ref="R13:R28" si="10">+$C$6-Q13</f>
        <v>45657</v>
      </c>
      <c r="S13" s="223">
        <f t="shared" si="3"/>
        <v>0.3</v>
      </c>
      <c r="T13" s="194">
        <f t="shared" si="7"/>
        <v>0.4</v>
      </c>
      <c r="U13" s="179" t="str">
        <f t="shared" si="8"/>
        <v>Incluir en ciclos posteriores de auditoría</v>
      </c>
      <c r="AB13" s="165" t="s">
        <v>290</v>
      </c>
    </row>
    <row r="14" spans="2:28" ht="51.75" customHeight="1" thickBot="1" x14ac:dyDescent="0.35">
      <c r="B14" s="253" t="str">
        <f>+'PAA OCI  '!B22</f>
        <v>Plan Institucional de Archivos de la Entidad PINAR - Plan Estratégico de Talento Humano - Plan de Trabajo Anual en Seguridad y Salud en el Trabajo - Sistema de Gestión de Seguridad y Salud en el Trabajo</v>
      </c>
      <c r="C14" s="216">
        <f>+'ANALISIS OCI'!X12</f>
        <v>0</v>
      </c>
      <c r="D14" s="217">
        <f>+'ANALISIS OCI'!Y12</f>
        <v>0</v>
      </c>
      <c r="E14" s="217">
        <f>+'ANALISIS OCI'!Z12</f>
        <v>2</v>
      </c>
      <c r="F14" s="217">
        <f>+'ANALISIS OCI'!AA12</f>
        <v>3</v>
      </c>
      <c r="G14" s="218">
        <f t="shared" si="4"/>
        <v>5</v>
      </c>
      <c r="H14" s="206" t="str">
        <f t="shared" si="5"/>
        <v>Moderado</v>
      </c>
      <c r="I14" s="207">
        <f t="shared" si="0"/>
        <v>0.15</v>
      </c>
      <c r="J14" s="203" t="str">
        <f>'ANALISIS OCI'!AC12</f>
        <v>Moderado</v>
      </c>
      <c r="K14" s="204">
        <f t="shared" si="9"/>
        <v>0.15</v>
      </c>
      <c r="L14" s="205">
        <f t="shared" si="6"/>
        <v>0.15</v>
      </c>
      <c r="M14" s="219" t="s">
        <v>12</v>
      </c>
      <c r="N14" s="220">
        <f t="shared" si="1"/>
        <v>0</v>
      </c>
      <c r="O14" s="221" t="s">
        <v>12</v>
      </c>
      <c r="P14" s="222">
        <f t="shared" si="2"/>
        <v>0</v>
      </c>
      <c r="Q14" s="208"/>
      <c r="R14" s="209">
        <f t="shared" si="10"/>
        <v>45657</v>
      </c>
      <c r="S14" s="223">
        <f t="shared" si="3"/>
        <v>0.3</v>
      </c>
      <c r="T14" s="194">
        <f t="shared" si="7"/>
        <v>0.44999999999999996</v>
      </c>
      <c r="U14" s="179" t="str">
        <f t="shared" si="8"/>
        <v>Incluir en ciclos posteriores de auditoría</v>
      </c>
      <c r="AB14" s="165" t="s">
        <v>288</v>
      </c>
    </row>
    <row r="15" spans="2:28" ht="49.5" customHeight="1" thickBot="1" x14ac:dyDescent="0.35">
      <c r="B15" s="253" t="str">
        <f>+'PAA OCI  '!B23</f>
        <v>Plan Estratégico de Tecnologías de la Información y las Comunicaciones ­ PETI - Plan de Tratamiento de Riesgos de Seguridad y Privacidad de la Información - Plan de Seguridad y Privacidad de la Información</v>
      </c>
      <c r="C15" s="216">
        <f>+'ANALISIS OCI'!X13</f>
        <v>0</v>
      </c>
      <c r="D15" s="217">
        <f>+'ANALISIS OCI'!Y13</f>
        <v>0</v>
      </c>
      <c r="E15" s="217">
        <f>+'ANALISIS OCI'!Z13</f>
        <v>2</v>
      </c>
      <c r="F15" s="217">
        <f>+'ANALISIS OCI'!AA13</f>
        <v>3</v>
      </c>
      <c r="G15" s="218">
        <f t="shared" si="4"/>
        <v>5</v>
      </c>
      <c r="H15" s="206" t="str">
        <f t="shared" si="5"/>
        <v>Moderado</v>
      </c>
      <c r="I15" s="207">
        <f t="shared" si="0"/>
        <v>0.15</v>
      </c>
      <c r="J15" s="203" t="str">
        <f>'ANALISIS OCI'!AC13</f>
        <v>Moderado</v>
      </c>
      <c r="K15" s="204">
        <f t="shared" si="9"/>
        <v>0.15</v>
      </c>
      <c r="L15" s="205">
        <f t="shared" si="6"/>
        <v>0.15</v>
      </c>
      <c r="M15" s="219" t="s">
        <v>12</v>
      </c>
      <c r="N15" s="220">
        <f t="shared" si="1"/>
        <v>0</v>
      </c>
      <c r="O15" s="221" t="s">
        <v>12</v>
      </c>
      <c r="P15" s="222">
        <f t="shared" si="2"/>
        <v>0</v>
      </c>
      <c r="Q15" s="208"/>
      <c r="R15" s="209">
        <f t="shared" si="10"/>
        <v>45657</v>
      </c>
      <c r="S15" s="223">
        <f t="shared" si="3"/>
        <v>0.3</v>
      </c>
      <c r="T15" s="194">
        <f t="shared" si="7"/>
        <v>0.44999999999999996</v>
      </c>
      <c r="U15" s="179" t="str">
        <f t="shared" si="8"/>
        <v>Incluir en ciclos posteriores de auditoría</v>
      </c>
    </row>
    <row r="16" spans="2:28" ht="132.75" thickBot="1" x14ac:dyDescent="0.35">
      <c r="B16" s="253" t="str">
        <f>+'PAA OCI  '!B24</f>
        <v>Plan de Participación Ciudadana - Estrategia rendición de cuentas - Control documental según la ISO 9001 - Política operativa de integridad, conflicto de interés y gestión anti soborno - Política administración del riesgo - Auditorías procesos SIG según requisitos norma ISO 9001</v>
      </c>
      <c r="C16" s="216">
        <f>+'ANALISIS OCI'!X14</f>
        <v>0</v>
      </c>
      <c r="D16" s="217">
        <f>+'ANALISIS OCI'!Y14</f>
        <v>0</v>
      </c>
      <c r="E16" s="217">
        <f>+'ANALISIS OCI'!Z14</f>
        <v>2</v>
      </c>
      <c r="F16" s="217">
        <f>+'ANALISIS OCI'!AA14</f>
        <v>3</v>
      </c>
      <c r="G16" s="218">
        <f t="shared" si="4"/>
        <v>5</v>
      </c>
      <c r="H16" s="206" t="str">
        <f t="shared" si="5"/>
        <v>Moderado</v>
      </c>
      <c r="I16" s="207">
        <f t="shared" si="0"/>
        <v>0.15</v>
      </c>
      <c r="J16" s="203" t="str">
        <f>'ANALISIS OCI'!AC14</f>
        <v>Moderado</v>
      </c>
      <c r="K16" s="204">
        <f t="shared" si="9"/>
        <v>0.15</v>
      </c>
      <c r="L16" s="205">
        <f t="shared" si="6"/>
        <v>0.15</v>
      </c>
      <c r="M16" s="219" t="s">
        <v>12</v>
      </c>
      <c r="N16" s="220">
        <f t="shared" si="1"/>
        <v>0</v>
      </c>
      <c r="O16" s="221" t="s">
        <v>12</v>
      </c>
      <c r="P16" s="222">
        <f t="shared" si="2"/>
        <v>0</v>
      </c>
      <c r="Q16" s="208"/>
      <c r="R16" s="209">
        <f t="shared" si="10"/>
        <v>45657</v>
      </c>
      <c r="S16" s="223">
        <f t="shared" si="3"/>
        <v>0.3</v>
      </c>
      <c r="T16" s="194">
        <f t="shared" si="7"/>
        <v>0.44999999999999996</v>
      </c>
      <c r="U16" s="179" t="str">
        <f t="shared" si="8"/>
        <v>Incluir en ciclos posteriores de auditoría</v>
      </c>
    </row>
    <row r="17" spans="2:21" ht="43.5" customHeight="1" thickBot="1" x14ac:dyDescent="0.35">
      <c r="B17" s="253" t="str">
        <f>+'PAA OCI  '!B25</f>
        <v>Seguimiento adjudicación San Victorino</v>
      </c>
      <c r="C17" s="216">
        <f>+'ANALISIS OCI'!X15</f>
        <v>4</v>
      </c>
      <c r="D17" s="217">
        <f>+'ANALISIS OCI'!Y15</f>
        <v>0</v>
      </c>
      <c r="E17" s="217">
        <f>+'ANALISIS OCI'!Z15</f>
        <v>0</v>
      </c>
      <c r="F17" s="217">
        <f>+'ANALISIS OCI'!AA15</f>
        <v>1</v>
      </c>
      <c r="G17" s="218">
        <f t="shared" si="4"/>
        <v>5</v>
      </c>
      <c r="H17" s="206" t="str">
        <f t="shared" si="5"/>
        <v>Extremo</v>
      </c>
      <c r="I17" s="207">
        <f t="shared" si="0"/>
        <v>0.5</v>
      </c>
      <c r="J17" s="203" t="str">
        <f>'ANALISIS OCI'!AC15</f>
        <v>Extremo</v>
      </c>
      <c r="K17" s="204">
        <f t="shared" si="9"/>
        <v>0.5</v>
      </c>
      <c r="L17" s="205">
        <f t="shared" si="6"/>
        <v>0.5</v>
      </c>
      <c r="M17" s="219" t="s">
        <v>12</v>
      </c>
      <c r="N17" s="220">
        <f t="shared" si="1"/>
        <v>0</v>
      </c>
      <c r="O17" s="221" t="s">
        <v>12</v>
      </c>
      <c r="P17" s="222">
        <f t="shared" si="2"/>
        <v>0</v>
      </c>
      <c r="Q17" s="208"/>
      <c r="R17" s="209">
        <f t="shared" si="10"/>
        <v>45657</v>
      </c>
      <c r="S17" s="223">
        <f t="shared" si="3"/>
        <v>0.3</v>
      </c>
      <c r="T17" s="194">
        <f t="shared" si="7"/>
        <v>0.8</v>
      </c>
      <c r="U17" s="179" t="str">
        <f t="shared" si="8"/>
        <v xml:space="preserve">Incluir en el ciclo vigente de acuerdo a disponibilidad de recursos </v>
      </c>
    </row>
    <row r="18" spans="2:21" ht="54" customHeight="1" thickBot="1" x14ac:dyDescent="0.35">
      <c r="B18" s="253" t="str">
        <f>+'PAA OCI  '!B26</f>
        <v>Seguimiento estado Obra Alcaldia Mártires</v>
      </c>
      <c r="C18" s="216">
        <f>+'ANALISIS OCI'!X16</f>
        <v>4</v>
      </c>
      <c r="D18" s="217">
        <f>+'ANALISIS OCI'!Y16</f>
        <v>0</v>
      </c>
      <c r="E18" s="217">
        <f>+'ANALISIS OCI'!Z16</f>
        <v>0</v>
      </c>
      <c r="F18" s="217">
        <f>+'ANALISIS OCI'!AA16</f>
        <v>1</v>
      </c>
      <c r="G18" s="218">
        <f t="shared" si="4"/>
        <v>5</v>
      </c>
      <c r="H18" s="206" t="str">
        <f t="shared" si="5"/>
        <v>Extremo</v>
      </c>
      <c r="I18" s="207">
        <f t="shared" si="0"/>
        <v>0.5</v>
      </c>
      <c r="J18" s="203" t="str">
        <f>'ANALISIS OCI'!AC16</f>
        <v>Extremo</v>
      </c>
      <c r="K18" s="204">
        <f t="shared" si="9"/>
        <v>0.5</v>
      </c>
      <c r="L18" s="205">
        <f t="shared" si="6"/>
        <v>0.5</v>
      </c>
      <c r="M18" s="219" t="s">
        <v>12</v>
      </c>
      <c r="N18" s="220">
        <f t="shared" si="1"/>
        <v>0</v>
      </c>
      <c r="O18" s="221" t="s">
        <v>12</v>
      </c>
      <c r="P18" s="222">
        <f t="shared" si="2"/>
        <v>0</v>
      </c>
      <c r="Q18" s="208"/>
      <c r="R18" s="209">
        <f t="shared" si="10"/>
        <v>45657</v>
      </c>
      <c r="S18" s="223">
        <f t="shared" si="3"/>
        <v>0.3</v>
      </c>
      <c r="T18" s="194">
        <f t="shared" si="7"/>
        <v>0.8</v>
      </c>
      <c r="U18" s="179" t="str">
        <f t="shared" si="8"/>
        <v xml:space="preserve">Incluir en el ciclo vigente de acuerdo a disponibilidad de recursos </v>
      </c>
    </row>
    <row r="19" spans="2:21" ht="43.5" customHeight="1" thickBot="1" x14ac:dyDescent="0.35">
      <c r="B19" s="253" t="str">
        <f>+'PAA OCI  '!B27</f>
        <v>Seguimiento rol Empresa Ciudadela del Cuidado</v>
      </c>
      <c r="C19" s="216">
        <f>+'ANALISIS OCI'!X17</f>
        <v>4</v>
      </c>
      <c r="D19" s="217">
        <f>+'ANALISIS OCI'!Y17</f>
        <v>0</v>
      </c>
      <c r="E19" s="217">
        <f>+'ANALISIS OCI'!Z17</f>
        <v>0</v>
      </c>
      <c r="F19" s="217">
        <f>+'ANALISIS OCI'!AA17</f>
        <v>1</v>
      </c>
      <c r="G19" s="218">
        <f t="shared" si="4"/>
        <v>5</v>
      </c>
      <c r="H19" s="206" t="str">
        <f t="shared" si="5"/>
        <v>Extremo</v>
      </c>
      <c r="I19" s="207">
        <f t="shared" si="0"/>
        <v>0.5</v>
      </c>
      <c r="J19" s="203" t="str">
        <f>'ANALISIS OCI'!AC17</f>
        <v>Extremo</v>
      </c>
      <c r="K19" s="204">
        <f t="shared" si="9"/>
        <v>0.5</v>
      </c>
      <c r="L19" s="205">
        <f t="shared" si="6"/>
        <v>0.5</v>
      </c>
      <c r="M19" s="219"/>
      <c r="N19" s="220">
        <f t="shared" si="1"/>
        <v>0</v>
      </c>
      <c r="O19" s="221"/>
      <c r="P19" s="222">
        <f t="shared" si="2"/>
        <v>0</v>
      </c>
      <c r="Q19" s="208"/>
      <c r="R19" s="209">
        <f t="shared" si="10"/>
        <v>45657</v>
      </c>
      <c r="S19" s="223">
        <f t="shared" si="3"/>
        <v>0.3</v>
      </c>
      <c r="T19" s="194">
        <f t="shared" si="7"/>
        <v>0.8</v>
      </c>
      <c r="U19" s="179" t="str">
        <f t="shared" si="8"/>
        <v xml:space="preserve">Incluir en el ciclo vigente de acuerdo a disponibilidad de recursos </v>
      </c>
    </row>
    <row r="20" spans="2:21" ht="43.5" customHeight="1" thickBot="1" x14ac:dyDescent="0.35">
      <c r="B20" s="253" t="str">
        <f>+'PAA OCI  '!B28</f>
        <v xml:space="preserve">Apoyo realización comité de auditoría y seguimiento de los compromisos establecidos </v>
      </c>
      <c r="C20" s="216">
        <f>+'ANALISIS OCI'!X18</f>
        <v>0</v>
      </c>
      <c r="D20" s="217">
        <f>+'ANALISIS OCI'!Y18</f>
        <v>0</v>
      </c>
      <c r="E20" s="217">
        <f>+'ANALISIS OCI'!Z18</f>
        <v>2</v>
      </c>
      <c r="F20" s="217">
        <f>+'ANALISIS OCI'!AA18</f>
        <v>3</v>
      </c>
      <c r="G20" s="218">
        <f>SUM(C20:F20)</f>
        <v>5</v>
      </c>
      <c r="H20" s="206" t="str">
        <f>IF(G20=0,0,IF(($C20/$G20)&gt;=0.2,"Extremo",+IF((($C20/G20)+($D20/$G20))&gt;=0.3,"Alto",+IF((($C20/$G20)+($D20/$G20)+($E20/$G20))&gt;=0.4,"Moderado",+IF(($C20/$G20)+($D20/$G20)+($E20/$G20)+($F20/$G20)&gt;=0.5,"Bajo",IF(G20=0,0))))))</f>
        <v>Moderado</v>
      </c>
      <c r="I20" s="207">
        <f>(IF(H20="Extremo",50%,(IF(H20="Alto",40%,IF(H20="Moderado",15%,IF(H20="Bajo",10%,0))))))</f>
        <v>0.15</v>
      </c>
      <c r="J20" s="203" t="str">
        <f>'ANALISIS OCI'!AC18</f>
        <v>Moderado</v>
      </c>
      <c r="K20" s="204">
        <f>(IF(J20="Extremo",50%,(IF(J20="Alto",40%,IF(J20="Moderado",15%,IF(J20="Bajo",10%,0))))))</f>
        <v>0.15</v>
      </c>
      <c r="L20" s="205">
        <f>IF(I20=0,K20,I20)</f>
        <v>0.15</v>
      </c>
      <c r="M20" s="219"/>
      <c r="N20" s="220">
        <f>IF(M20="Si",100%,IF(M20="No",0,0))</f>
        <v>0</v>
      </c>
      <c r="O20" s="221"/>
      <c r="P20" s="222">
        <f>IF(O20="Si",20%,IF(O20="No",0,0))</f>
        <v>0</v>
      </c>
      <c r="Q20" s="208"/>
      <c r="R20" s="209">
        <f>+$C$6-Q20</f>
        <v>45657</v>
      </c>
      <c r="S20" s="223">
        <f>IF(R20&gt;=1080,30%,IF(R20&gt;=720,20%,IF(R20&gt;=360,10%,IF(R20&lt;=359,0%,0))))</f>
        <v>0.3</v>
      </c>
      <c r="T20" s="194">
        <f>IF(N20=100%,100%,(L20+P20+S20))</f>
        <v>0.44999999999999996</v>
      </c>
      <c r="U20" s="179" t="str">
        <f>+IF(T20&gt;=85%,$AB$12,IF(AND( T20&gt;65%,T20&lt;85%),$AB$13,$AB$14))</f>
        <v>Incluir en ciclos posteriores de auditoría</v>
      </c>
    </row>
    <row r="21" spans="2:21" ht="54" customHeight="1" thickBot="1" x14ac:dyDescent="0.35">
      <c r="B21" s="253" t="str">
        <f>+'PAA OCI  '!B29</f>
        <v>Proceso adquisición de suelo por enajenación voluntaria, expropiación administrativa o judicial - Adquisición proyectos Tercera Concurrencia - Adquisición proyecto San Bernardo Tercer Milenio AMD 1 – Convenio 3151-2019 suscrito con el IDRD.</v>
      </c>
      <c r="C21" s="216">
        <f>+'ANALISIS OCI'!X19</f>
        <v>3</v>
      </c>
      <c r="D21" s="217">
        <f>+'ANALISIS OCI'!Y19</f>
        <v>0</v>
      </c>
      <c r="E21" s="217">
        <f>+'ANALISIS OCI'!Z19</f>
        <v>0</v>
      </c>
      <c r="F21" s="217">
        <f>+'ANALISIS OCI'!AA19</f>
        <v>1</v>
      </c>
      <c r="G21" s="218">
        <f>SUM(C21:F21)</f>
        <v>4</v>
      </c>
      <c r="H21" s="206" t="str">
        <f>IF(G21=0,0,IF(($C21/$G21)&gt;=0.2,"Extremo",+IF((($C21/G21)+($D21/$G21))&gt;=0.3,"Alto",+IF((($C21/$G21)+($D21/$G21)+($E21/$G21))&gt;=0.4,"Moderado",+IF(($C21/$G21)+($D21/$G21)+($E21/$G21)+($F21/$G21)&gt;=0.5,"Bajo",IF(G21=0,0))))))</f>
        <v>Extremo</v>
      </c>
      <c r="I21" s="207">
        <f>(IF(H21="Extremo",50%,(IF(H21="Alto",40%,IF(H21="Moderado",15%,IF(H21="Bajo",10%,0))))))</f>
        <v>0.5</v>
      </c>
      <c r="J21" s="203" t="str">
        <f>'ANALISIS OCI'!AC19</f>
        <v>Extremo</v>
      </c>
      <c r="K21" s="204">
        <f>(IF(J21="Extremo",50%,(IF(J21="Alto",40%,IF(J21="Moderado",15%,IF(J21="Bajo",10%,0))))))</f>
        <v>0.5</v>
      </c>
      <c r="L21" s="205">
        <f>IF(I21=0,K21,I21)</f>
        <v>0.5</v>
      </c>
      <c r="M21" s="219"/>
      <c r="N21" s="220">
        <f>IF(M21="Si",100%,IF(M21="No",0,0))</f>
        <v>0</v>
      </c>
      <c r="O21" s="221"/>
      <c r="P21" s="222">
        <f>IF(O21="Si",20%,IF(O21="No",0,0))</f>
        <v>0</v>
      </c>
      <c r="Q21" s="208"/>
      <c r="R21" s="209">
        <f>+$C$6-Q21</f>
        <v>45657</v>
      </c>
      <c r="S21" s="223">
        <f>IF(R21&gt;=1080,30%,IF(R21&gt;=720,20%,IF(R21&gt;=360,10%,IF(R21&lt;=359,0%,0))))</f>
        <v>0.3</v>
      </c>
      <c r="T21" s="194">
        <f>IF(N21=100%,100%,(L21+P21+S21))</f>
        <v>0.8</v>
      </c>
      <c r="U21" s="179" t="str">
        <f>+IF(T21&gt;=85%,$AB$12,IF(AND( T21&gt;65%,T21&lt;85%),$AB$13,$AB$14))</f>
        <v xml:space="preserve">Incluir en el ciclo vigente de acuerdo a disponibilidad de recursos </v>
      </c>
    </row>
    <row r="22" spans="2:21" ht="54" customHeight="1" thickBot="1" x14ac:dyDescent="0.35">
      <c r="B22" s="253" t="str">
        <f>+'PAA OCI  '!B30</f>
        <v>Maduración y Calidad en la construccion del anexo técnico para los proyectos - gestión contractual</v>
      </c>
      <c r="C22" s="216">
        <f>+'ANALISIS OCI'!X20</f>
        <v>0</v>
      </c>
      <c r="D22" s="217">
        <f>+'ANALISIS OCI'!Y20</f>
        <v>0</v>
      </c>
      <c r="E22" s="217">
        <f>+'ANALISIS OCI'!Z20</f>
        <v>2</v>
      </c>
      <c r="F22" s="217">
        <f>+'ANALISIS OCI'!AA20</f>
        <v>3</v>
      </c>
      <c r="G22" s="218">
        <f t="shared" si="4"/>
        <v>5</v>
      </c>
      <c r="H22" s="206" t="str">
        <f t="shared" si="5"/>
        <v>Moderado</v>
      </c>
      <c r="I22" s="207">
        <f>(IF(H22="Extremo",50%,(IF(H22="Alto",40%,IF(H22="Moderado",15%,IF(H22="Bajo",10%,0))))))</f>
        <v>0.15</v>
      </c>
      <c r="J22" s="203" t="str">
        <f>'ANALISIS OCI'!AC20</f>
        <v>Moderado</v>
      </c>
      <c r="K22" s="204">
        <f t="shared" si="9"/>
        <v>0.15</v>
      </c>
      <c r="L22" s="205">
        <f t="shared" si="6"/>
        <v>0.15</v>
      </c>
      <c r="M22" s="219"/>
      <c r="N22" s="220">
        <f t="shared" si="1"/>
        <v>0</v>
      </c>
      <c r="O22" s="221"/>
      <c r="P22" s="222">
        <f t="shared" si="2"/>
        <v>0</v>
      </c>
      <c r="Q22" s="208"/>
      <c r="R22" s="209">
        <f t="shared" si="10"/>
        <v>45657</v>
      </c>
      <c r="S22" s="223">
        <f t="shared" si="3"/>
        <v>0.3</v>
      </c>
      <c r="T22" s="194">
        <f t="shared" si="7"/>
        <v>0.44999999999999996</v>
      </c>
      <c r="U22" s="179" t="str">
        <f t="shared" si="8"/>
        <v>Incluir en ciclos posteriores de auditoría</v>
      </c>
    </row>
    <row r="23" spans="2:21" ht="43.5" customHeight="1" thickBot="1" x14ac:dyDescent="0.35">
      <c r="B23" s="253" t="e">
        <f>+'PAA OCI  '!#REF!</f>
        <v>#REF!</v>
      </c>
      <c r="C23" s="216">
        <f>+'ANALISIS OCI'!X21</f>
        <v>0</v>
      </c>
      <c r="D23" s="217">
        <f>+'ANALISIS OCI'!Y21</f>
        <v>0</v>
      </c>
      <c r="E23" s="217">
        <f>+'ANALISIS OCI'!Z21</f>
        <v>2</v>
      </c>
      <c r="F23" s="217">
        <f>+'ANALISIS OCI'!AA21</f>
        <v>3</v>
      </c>
      <c r="G23" s="218">
        <f t="shared" si="4"/>
        <v>5</v>
      </c>
      <c r="H23" s="206" t="str">
        <f t="shared" si="5"/>
        <v>Moderado</v>
      </c>
      <c r="I23" s="207">
        <f t="shared" si="0"/>
        <v>0.15</v>
      </c>
      <c r="J23" s="203" t="str">
        <f>'ANALISIS OCI'!AC21</f>
        <v>Moderado</v>
      </c>
      <c r="K23" s="204">
        <f t="shared" si="9"/>
        <v>0.15</v>
      </c>
      <c r="L23" s="205">
        <f t="shared" si="6"/>
        <v>0.15</v>
      </c>
      <c r="M23" s="219"/>
      <c r="N23" s="220">
        <f t="shared" si="1"/>
        <v>0</v>
      </c>
      <c r="O23" s="221"/>
      <c r="P23" s="222">
        <f t="shared" si="2"/>
        <v>0</v>
      </c>
      <c r="Q23" s="208"/>
      <c r="R23" s="209">
        <f t="shared" si="10"/>
        <v>45657</v>
      </c>
      <c r="S23" s="223">
        <f t="shared" si="3"/>
        <v>0.3</v>
      </c>
      <c r="T23" s="167">
        <f t="shared" si="7"/>
        <v>0.44999999999999996</v>
      </c>
      <c r="U23" s="179" t="str">
        <f t="shared" si="8"/>
        <v>Incluir en ciclos posteriores de auditoría</v>
      </c>
    </row>
    <row r="24" spans="2:21" ht="43.5" customHeight="1" thickBot="1" x14ac:dyDescent="0.35">
      <c r="B24" s="253" t="str">
        <f>+'PAA OCI  '!B31</f>
        <v>Auditoria implementación sistema de información SIM</v>
      </c>
      <c r="C24" s="216">
        <f>+'ANALISIS OCI'!X22</f>
        <v>1</v>
      </c>
      <c r="D24" s="217">
        <f>+'ANALISIS OCI'!Y22</f>
        <v>0</v>
      </c>
      <c r="E24" s="217">
        <f>+'ANALISIS OCI'!Z22</f>
        <v>1</v>
      </c>
      <c r="F24" s="217">
        <f>+'ANALISIS OCI'!AA22</f>
        <v>2</v>
      </c>
      <c r="G24" s="218">
        <f t="shared" si="4"/>
        <v>4</v>
      </c>
      <c r="H24" s="206" t="str">
        <f t="shared" si="5"/>
        <v>Extremo</v>
      </c>
      <c r="I24" s="207">
        <f t="shared" si="0"/>
        <v>0.5</v>
      </c>
      <c r="J24" s="203" t="str">
        <f>'ANALISIS OCI'!AC22</f>
        <v>Extremo</v>
      </c>
      <c r="K24" s="204">
        <f t="shared" si="9"/>
        <v>0.5</v>
      </c>
      <c r="L24" s="205">
        <f t="shared" si="6"/>
        <v>0.5</v>
      </c>
      <c r="M24" s="219"/>
      <c r="N24" s="220">
        <f t="shared" si="1"/>
        <v>0</v>
      </c>
      <c r="O24" s="221"/>
      <c r="P24" s="222">
        <f t="shared" si="2"/>
        <v>0</v>
      </c>
      <c r="Q24" s="208"/>
      <c r="R24" s="209">
        <f t="shared" si="10"/>
        <v>45657</v>
      </c>
      <c r="S24" s="223">
        <f t="shared" si="3"/>
        <v>0.3</v>
      </c>
      <c r="T24" s="167">
        <f>IF(N24=100%,100%,(L24+P24+S24))</f>
        <v>0.8</v>
      </c>
      <c r="U24" s="179" t="str">
        <f t="shared" si="8"/>
        <v xml:space="preserve">Incluir en el ciclo vigente de acuerdo a disponibilidad de recursos </v>
      </c>
    </row>
    <row r="25" spans="2:21" ht="48.75" customHeight="1" thickBot="1" x14ac:dyDescent="0.35">
      <c r="B25" s="253" t="str">
        <f>+'PAA OCI  '!B32</f>
        <v>Auditoria proyecto misional 1 (proyecto san Bernardo)</v>
      </c>
      <c r="C25" s="216">
        <f>+'ANALISIS OCI'!X23</f>
        <v>1</v>
      </c>
      <c r="D25" s="217">
        <f>+'ANALISIS OCI'!Y23</f>
        <v>0</v>
      </c>
      <c r="E25" s="217">
        <f>+'ANALISIS OCI'!Z23</f>
        <v>1</v>
      </c>
      <c r="F25" s="217">
        <f>+'ANALISIS OCI'!AA23</f>
        <v>2</v>
      </c>
      <c r="G25" s="218">
        <f t="shared" si="4"/>
        <v>4</v>
      </c>
      <c r="H25" s="206" t="str">
        <f t="shared" si="5"/>
        <v>Extremo</v>
      </c>
      <c r="I25" s="207">
        <f t="shared" si="0"/>
        <v>0.5</v>
      </c>
      <c r="J25" s="203" t="str">
        <f>'ANALISIS OCI'!AC23</f>
        <v>Extremo</v>
      </c>
      <c r="K25" s="204">
        <f t="shared" si="9"/>
        <v>0.5</v>
      </c>
      <c r="L25" s="205">
        <f t="shared" si="6"/>
        <v>0.5</v>
      </c>
      <c r="M25" s="219"/>
      <c r="N25" s="220">
        <f t="shared" si="1"/>
        <v>0</v>
      </c>
      <c r="O25" s="221"/>
      <c r="P25" s="222">
        <f t="shared" si="2"/>
        <v>0</v>
      </c>
      <c r="Q25" s="208"/>
      <c r="R25" s="209">
        <f t="shared" si="10"/>
        <v>45657</v>
      </c>
      <c r="S25" s="223">
        <f t="shared" si="3"/>
        <v>0.3</v>
      </c>
      <c r="T25" s="167">
        <f t="shared" si="7"/>
        <v>0.8</v>
      </c>
      <c r="U25" s="179" t="str">
        <f t="shared" si="8"/>
        <v xml:space="preserve">Incluir en el ciclo vigente de acuerdo a disponibilidad de recursos </v>
      </c>
    </row>
    <row r="26" spans="2:21" ht="50.25" thickBot="1" x14ac:dyDescent="0.35">
      <c r="B26" s="253" t="str">
        <f>+'PAA OCI  '!B33</f>
        <v>Auditoria proyecto misional 2 (Actuaciones Estrategicas)</v>
      </c>
      <c r="C26" s="216">
        <f>+'ANALISIS OCI'!X24</f>
        <v>1</v>
      </c>
      <c r="D26" s="217">
        <f>+'ANALISIS OCI'!Y24</f>
        <v>0</v>
      </c>
      <c r="E26" s="217">
        <f>+'ANALISIS OCI'!Z24</f>
        <v>1</v>
      </c>
      <c r="F26" s="217">
        <f>+'ANALISIS OCI'!AA24</f>
        <v>2</v>
      </c>
      <c r="G26" s="218">
        <f t="shared" si="4"/>
        <v>4</v>
      </c>
      <c r="H26" s="206" t="str">
        <f t="shared" si="5"/>
        <v>Extremo</v>
      </c>
      <c r="I26" s="207">
        <f t="shared" si="0"/>
        <v>0.5</v>
      </c>
      <c r="J26" s="203" t="str">
        <f>'ANALISIS OCI'!AC24</f>
        <v>Extremo</v>
      </c>
      <c r="K26" s="204">
        <f t="shared" si="9"/>
        <v>0.5</v>
      </c>
      <c r="L26" s="205">
        <f t="shared" si="6"/>
        <v>0.5</v>
      </c>
      <c r="M26" s="219"/>
      <c r="N26" s="220">
        <f t="shared" si="1"/>
        <v>0</v>
      </c>
      <c r="O26" s="221"/>
      <c r="P26" s="222">
        <f t="shared" si="2"/>
        <v>0</v>
      </c>
      <c r="Q26" s="208"/>
      <c r="R26" s="209">
        <f t="shared" si="10"/>
        <v>45657</v>
      </c>
      <c r="S26" s="223">
        <f t="shared" si="3"/>
        <v>0.3</v>
      </c>
      <c r="T26" s="167">
        <f t="shared" si="7"/>
        <v>0.8</v>
      </c>
      <c r="U26" s="179" t="str">
        <f t="shared" si="8"/>
        <v xml:space="preserve">Incluir en el ciclo vigente de acuerdo a disponibilidad de recursos </v>
      </c>
    </row>
    <row r="27" spans="2:21" ht="33.75" thickBot="1" x14ac:dyDescent="0.35">
      <c r="B27" s="253" t="str">
        <f>+'PAA OCI  '!B34</f>
        <v>Auditoria de Gestión Contractual</v>
      </c>
      <c r="C27" s="216">
        <f>+'ANALISIS OCI'!X25</f>
        <v>0</v>
      </c>
      <c r="D27" s="217">
        <f>+'ANALISIS OCI'!Y25</f>
        <v>1</v>
      </c>
      <c r="E27" s="217">
        <f>+'ANALISIS OCI'!Z25</f>
        <v>1</v>
      </c>
      <c r="F27" s="217">
        <f>+'ANALISIS OCI'!AA25</f>
        <v>4</v>
      </c>
      <c r="G27" s="218">
        <f t="shared" si="4"/>
        <v>6</v>
      </c>
      <c r="H27" s="206" t="str">
        <f t="shared" si="5"/>
        <v>Bajo</v>
      </c>
      <c r="I27" s="207">
        <f t="shared" si="0"/>
        <v>0.1</v>
      </c>
      <c r="J27" s="203" t="str">
        <f>'ANALISIS OCI'!AC25</f>
        <v>Bajo</v>
      </c>
      <c r="K27" s="204">
        <f t="shared" si="9"/>
        <v>0.1</v>
      </c>
      <c r="L27" s="205">
        <f t="shared" si="6"/>
        <v>0.1</v>
      </c>
      <c r="M27" s="219"/>
      <c r="N27" s="220">
        <f t="shared" si="1"/>
        <v>0</v>
      </c>
      <c r="O27" s="221"/>
      <c r="P27" s="222">
        <f t="shared" si="2"/>
        <v>0</v>
      </c>
      <c r="Q27" s="208"/>
      <c r="R27" s="209">
        <f t="shared" si="10"/>
        <v>45657</v>
      </c>
      <c r="S27" s="223">
        <f t="shared" si="3"/>
        <v>0.3</v>
      </c>
      <c r="T27" s="167">
        <f t="shared" si="7"/>
        <v>0.4</v>
      </c>
      <c r="U27" s="179" t="str">
        <f t="shared" si="8"/>
        <v>Incluir en ciclos posteriores de auditoría</v>
      </c>
    </row>
    <row r="28" spans="2:21" ht="50.25" thickBot="1" x14ac:dyDescent="0.35">
      <c r="B28" s="253" t="str">
        <f>+'PAA OCI  '!B35</f>
        <v>Auditoria proceso administrativo 1 (Esquema Fiduciario)</v>
      </c>
      <c r="C28" s="216">
        <f>+'ANALISIS OCI'!X26</f>
        <v>0</v>
      </c>
      <c r="D28" s="217">
        <f>+'ANALISIS OCI'!Y26</f>
        <v>1</v>
      </c>
      <c r="E28" s="217">
        <f>+'ANALISIS OCI'!Z26</f>
        <v>1</v>
      </c>
      <c r="F28" s="217">
        <f>+'ANALISIS OCI'!AA26</f>
        <v>1</v>
      </c>
      <c r="G28" s="218">
        <f t="shared" si="4"/>
        <v>3</v>
      </c>
      <c r="H28" s="206" t="str">
        <f t="shared" si="5"/>
        <v>Alto</v>
      </c>
      <c r="I28" s="207">
        <f t="shared" si="0"/>
        <v>0.4</v>
      </c>
      <c r="J28" s="203" t="str">
        <f>'ANALISIS OCI'!AC26</f>
        <v>Alto</v>
      </c>
      <c r="K28" s="204">
        <f t="shared" si="9"/>
        <v>0.4</v>
      </c>
      <c r="L28" s="205">
        <f t="shared" si="6"/>
        <v>0.4</v>
      </c>
      <c r="M28" s="219"/>
      <c r="N28" s="220">
        <f t="shared" si="1"/>
        <v>0</v>
      </c>
      <c r="O28" s="221"/>
      <c r="P28" s="222">
        <f t="shared" si="2"/>
        <v>0</v>
      </c>
      <c r="Q28" s="208"/>
      <c r="R28" s="209">
        <f t="shared" si="10"/>
        <v>45657</v>
      </c>
      <c r="S28" s="223">
        <f t="shared" si="3"/>
        <v>0.3</v>
      </c>
      <c r="T28" s="167">
        <f t="shared" si="7"/>
        <v>0.7</v>
      </c>
      <c r="U28" s="179" t="str">
        <f t="shared" si="8"/>
        <v xml:space="preserve">Incluir en el ciclo vigente de acuerdo a disponibilidad de recursos </v>
      </c>
    </row>
    <row r="29" spans="2:21" ht="50.25" thickBot="1" x14ac:dyDescent="0.35">
      <c r="B29" s="282" t="s">
        <v>476</v>
      </c>
      <c r="C29" s="216">
        <f>+'ANALISIS OCI'!X27</f>
        <v>1</v>
      </c>
      <c r="D29" s="217">
        <f>+'ANALISIS OCI'!Y27</f>
        <v>0</v>
      </c>
      <c r="E29" s="217">
        <f>+'ANALISIS OCI'!Z27</f>
        <v>1</v>
      </c>
      <c r="F29" s="217">
        <f>+'ANALISIS OCI'!AA27</f>
        <v>2</v>
      </c>
      <c r="G29" s="218">
        <f t="shared" ref="G29:G52" si="11">SUM(C29:F29)</f>
        <v>4</v>
      </c>
      <c r="H29" s="206" t="str">
        <f t="shared" ref="H29:H54" si="12">IF(G29=0,0,IF(($C29/$G29)&gt;=0.2,"Extremo",+IF((($C29/G29)+($D29/$G29))&gt;=0.3,"Alto",+IF((($C29/$G29)+($D29/$G29)+($E29/$G29))&gt;=0.4,"Moderado",+IF(($C29/$G29)+($D29/$G29)+($E29/$G29)+($F29/$G29)&gt;=0.5,"Bajo",IF(G29=0,0))))))</f>
        <v>Extremo</v>
      </c>
      <c r="I29" s="207">
        <f t="shared" ref="I29:I54" si="13">(IF(H29="Extremo",50%,(IF(H29="Alto",40%,IF(H29="Moderado",15%,IF(H29="Bajo",10%,0))))))</f>
        <v>0.5</v>
      </c>
      <c r="J29" s="203" t="str">
        <f>'ANALISIS OCI'!AC27</f>
        <v>Extremo</v>
      </c>
      <c r="K29" s="204">
        <f t="shared" ref="K29:K54" si="14">(IF(J29="Extremo",50%,(IF(J29="Alto",40%,IF(J29="Moderado",15%,IF(J29="Bajo",10%,0))))))</f>
        <v>0.5</v>
      </c>
      <c r="L29" s="205">
        <f t="shared" ref="L29:L54" si="15">IF(I29=0,K29,I29)</f>
        <v>0.5</v>
      </c>
      <c r="M29" s="219"/>
      <c r="N29" s="220">
        <f t="shared" ref="N29:N54" si="16">IF(M29="Si",100%,IF(M29="No",0,0))</f>
        <v>0</v>
      </c>
      <c r="O29" s="221"/>
      <c r="P29" s="222">
        <f t="shared" ref="P29:P54" si="17">IF(O29="Si",20%,IF(O29="No",0,0))</f>
        <v>0</v>
      </c>
      <c r="Q29" s="208">
        <v>45201</v>
      </c>
      <c r="R29" s="209">
        <f t="shared" ref="R29:R54" si="18">+$C$6-Q29</f>
        <v>456</v>
      </c>
      <c r="S29" s="223">
        <f t="shared" si="3"/>
        <v>0.1</v>
      </c>
      <c r="T29" s="167">
        <f t="shared" si="7"/>
        <v>0.6</v>
      </c>
      <c r="U29" s="179" t="str">
        <f t="shared" si="8"/>
        <v>Incluir en ciclos posteriores de auditoría</v>
      </c>
    </row>
    <row r="30" spans="2:21" ht="43.5" customHeight="1" thickBot="1" x14ac:dyDescent="0.35">
      <c r="B30" s="282" t="s">
        <v>477</v>
      </c>
      <c r="C30" s="216">
        <f>+'ANALISIS OCI'!X28</f>
        <v>0</v>
      </c>
      <c r="D30" s="217">
        <f>+'ANALISIS OCI'!Y28</f>
        <v>1</v>
      </c>
      <c r="E30" s="217">
        <f>+'ANALISIS OCI'!Z28</f>
        <v>1</v>
      </c>
      <c r="F30" s="217">
        <f>+'ANALISIS OCI'!AA28</f>
        <v>1</v>
      </c>
      <c r="G30" s="218">
        <f t="shared" si="11"/>
        <v>3</v>
      </c>
      <c r="H30" s="206" t="str">
        <f t="shared" si="12"/>
        <v>Alto</v>
      </c>
      <c r="I30" s="207">
        <f t="shared" si="13"/>
        <v>0.4</v>
      </c>
      <c r="J30" s="203" t="str">
        <f>'ANALISIS OCI'!AC28</f>
        <v>Alto</v>
      </c>
      <c r="K30" s="204">
        <f t="shared" si="14"/>
        <v>0.4</v>
      </c>
      <c r="L30" s="205">
        <f t="shared" si="15"/>
        <v>0.4</v>
      </c>
      <c r="M30" s="219"/>
      <c r="N30" s="220">
        <f t="shared" si="16"/>
        <v>0</v>
      </c>
      <c r="O30" s="221"/>
      <c r="P30" s="222">
        <f t="shared" si="17"/>
        <v>0</v>
      </c>
      <c r="Q30" s="208">
        <v>45127</v>
      </c>
      <c r="R30" s="209">
        <f t="shared" si="18"/>
        <v>530</v>
      </c>
      <c r="S30" s="223">
        <f t="shared" si="3"/>
        <v>0.1</v>
      </c>
      <c r="T30" s="167">
        <f t="shared" si="7"/>
        <v>0.5</v>
      </c>
      <c r="U30" s="179" t="str">
        <f t="shared" si="8"/>
        <v>Incluir en ciclos posteriores de auditoría</v>
      </c>
    </row>
    <row r="31" spans="2:21" ht="43.5" customHeight="1" thickBot="1" x14ac:dyDescent="0.35">
      <c r="B31" s="282" t="s">
        <v>478</v>
      </c>
      <c r="C31" s="216">
        <f>+'ANALISIS OCI'!X29</f>
        <v>0</v>
      </c>
      <c r="D31" s="217">
        <f>+'ANALISIS OCI'!Y29</f>
        <v>1</v>
      </c>
      <c r="E31" s="217">
        <f>+'ANALISIS OCI'!Z29</f>
        <v>1</v>
      </c>
      <c r="F31" s="217">
        <f>+'ANALISIS OCI'!AA29</f>
        <v>1</v>
      </c>
      <c r="G31" s="218">
        <f t="shared" si="11"/>
        <v>3</v>
      </c>
      <c r="H31" s="206" t="str">
        <f t="shared" si="12"/>
        <v>Alto</v>
      </c>
      <c r="I31" s="207">
        <f t="shared" si="13"/>
        <v>0.4</v>
      </c>
      <c r="J31" s="203" t="str">
        <f>'ANALISIS OCI'!AC29</f>
        <v>Alto</v>
      </c>
      <c r="K31" s="204">
        <f t="shared" si="14"/>
        <v>0.4</v>
      </c>
      <c r="L31" s="205">
        <f t="shared" si="15"/>
        <v>0.4</v>
      </c>
      <c r="M31" s="219"/>
      <c r="N31" s="220">
        <f t="shared" si="16"/>
        <v>0</v>
      </c>
      <c r="O31" s="221"/>
      <c r="P31" s="222">
        <f t="shared" si="17"/>
        <v>0</v>
      </c>
      <c r="Q31" s="208">
        <v>45137</v>
      </c>
      <c r="R31" s="209">
        <f t="shared" si="18"/>
        <v>520</v>
      </c>
      <c r="S31" s="223">
        <f t="shared" si="3"/>
        <v>0.1</v>
      </c>
      <c r="T31" s="167">
        <f t="shared" si="7"/>
        <v>0.5</v>
      </c>
      <c r="U31" s="179" t="str">
        <f t="shared" si="8"/>
        <v>Incluir en ciclos posteriores de auditoría</v>
      </c>
    </row>
    <row r="32" spans="2:21" ht="43.5" customHeight="1" thickBot="1" x14ac:dyDescent="0.35">
      <c r="B32" s="282" t="s">
        <v>479</v>
      </c>
      <c r="C32" s="216">
        <f>+'ANALISIS OCI'!X30</f>
        <v>0</v>
      </c>
      <c r="D32" s="217">
        <f>+'ANALISIS OCI'!Y30</f>
        <v>0</v>
      </c>
      <c r="E32" s="217">
        <f>+'ANALISIS OCI'!Z30</f>
        <v>2</v>
      </c>
      <c r="F32" s="217">
        <f>+'ANALISIS OCI'!AA30</f>
        <v>2</v>
      </c>
      <c r="G32" s="218">
        <f t="shared" si="11"/>
        <v>4</v>
      </c>
      <c r="H32" s="206" t="str">
        <f t="shared" si="12"/>
        <v>Moderado</v>
      </c>
      <c r="I32" s="207">
        <f t="shared" si="13"/>
        <v>0.15</v>
      </c>
      <c r="J32" s="203" t="str">
        <f>'ANALISIS OCI'!AC30</f>
        <v>Moderado</v>
      </c>
      <c r="K32" s="204">
        <f t="shared" si="14"/>
        <v>0.15</v>
      </c>
      <c r="L32" s="205">
        <f t="shared" si="15"/>
        <v>0.15</v>
      </c>
      <c r="M32" s="219"/>
      <c r="N32" s="220">
        <f t="shared" si="16"/>
        <v>0</v>
      </c>
      <c r="O32" s="221"/>
      <c r="P32" s="222">
        <f t="shared" si="17"/>
        <v>0</v>
      </c>
      <c r="Q32" s="208">
        <v>45076</v>
      </c>
      <c r="R32" s="209">
        <f t="shared" si="18"/>
        <v>581</v>
      </c>
      <c r="S32" s="223">
        <f t="shared" si="3"/>
        <v>0.1</v>
      </c>
      <c r="T32" s="167">
        <f t="shared" si="7"/>
        <v>0.25</v>
      </c>
      <c r="U32" s="179" t="str">
        <f t="shared" si="8"/>
        <v>Incluir en ciclos posteriores de auditoría</v>
      </c>
    </row>
    <row r="33" spans="2:21" ht="43.5" customHeight="1" thickBot="1" x14ac:dyDescent="0.35">
      <c r="B33" s="282" t="s">
        <v>480</v>
      </c>
      <c r="C33" s="216">
        <f>+'ANALISIS OCI'!X31</f>
        <v>1</v>
      </c>
      <c r="D33" s="217">
        <f>+'ANALISIS OCI'!Y31</f>
        <v>0</v>
      </c>
      <c r="E33" s="217">
        <f>+'ANALISIS OCI'!Z31</f>
        <v>0</v>
      </c>
      <c r="F33" s="217">
        <f>+'ANALISIS OCI'!AA31</f>
        <v>3</v>
      </c>
      <c r="G33" s="218">
        <f t="shared" si="11"/>
        <v>4</v>
      </c>
      <c r="H33" s="206" t="str">
        <f t="shared" si="12"/>
        <v>Extremo</v>
      </c>
      <c r="I33" s="207">
        <f t="shared" si="13"/>
        <v>0.5</v>
      </c>
      <c r="J33" s="203" t="str">
        <f>'ANALISIS OCI'!AC31</f>
        <v>Extremo</v>
      </c>
      <c r="K33" s="204">
        <f t="shared" si="14"/>
        <v>0.5</v>
      </c>
      <c r="L33" s="205">
        <f t="shared" si="15"/>
        <v>0.5</v>
      </c>
      <c r="M33" s="219"/>
      <c r="N33" s="220">
        <f t="shared" si="16"/>
        <v>0</v>
      </c>
      <c r="O33" s="221"/>
      <c r="P33" s="222">
        <f t="shared" si="17"/>
        <v>0</v>
      </c>
      <c r="Q33" s="208">
        <v>45093</v>
      </c>
      <c r="R33" s="209">
        <f t="shared" si="18"/>
        <v>564</v>
      </c>
      <c r="S33" s="223">
        <f t="shared" si="3"/>
        <v>0.1</v>
      </c>
      <c r="T33" s="167">
        <f t="shared" si="7"/>
        <v>0.6</v>
      </c>
      <c r="U33" s="179" t="str">
        <f t="shared" si="8"/>
        <v>Incluir en ciclos posteriores de auditoría</v>
      </c>
    </row>
    <row r="34" spans="2:21" ht="43.5" customHeight="1" thickBot="1" x14ac:dyDescent="0.35">
      <c r="B34" s="282" t="s">
        <v>481</v>
      </c>
      <c r="C34" s="216">
        <f>+'ANALISIS OCI'!X32</f>
        <v>1</v>
      </c>
      <c r="D34" s="217">
        <f>+'ANALISIS OCI'!Y32</f>
        <v>0</v>
      </c>
      <c r="E34" s="217">
        <f>+'ANALISIS OCI'!Z32</f>
        <v>0</v>
      </c>
      <c r="F34" s="217">
        <f>+'ANALISIS OCI'!AA32</f>
        <v>4</v>
      </c>
      <c r="G34" s="218">
        <f t="shared" si="11"/>
        <v>5</v>
      </c>
      <c r="H34" s="206" t="str">
        <f t="shared" si="12"/>
        <v>Extremo</v>
      </c>
      <c r="I34" s="207">
        <f t="shared" si="13"/>
        <v>0.5</v>
      </c>
      <c r="J34" s="203" t="str">
        <f>'ANALISIS OCI'!AC32</f>
        <v>Extremo</v>
      </c>
      <c r="K34" s="204">
        <f t="shared" si="14"/>
        <v>0.5</v>
      </c>
      <c r="L34" s="205">
        <f t="shared" si="15"/>
        <v>0.5</v>
      </c>
      <c r="M34" s="219"/>
      <c r="N34" s="220">
        <f t="shared" si="16"/>
        <v>0</v>
      </c>
      <c r="O34" s="221"/>
      <c r="P34" s="222">
        <f t="shared" si="17"/>
        <v>0</v>
      </c>
      <c r="Q34" s="208">
        <v>45259</v>
      </c>
      <c r="R34" s="209">
        <f t="shared" si="18"/>
        <v>398</v>
      </c>
      <c r="S34" s="223">
        <f t="shared" si="3"/>
        <v>0.1</v>
      </c>
      <c r="T34" s="167">
        <f t="shared" si="7"/>
        <v>0.6</v>
      </c>
      <c r="U34" s="179" t="str">
        <f t="shared" si="8"/>
        <v>Incluir en ciclos posteriores de auditoría</v>
      </c>
    </row>
    <row r="35" spans="2:21" ht="43.5" customHeight="1" thickBot="1" x14ac:dyDescent="0.35">
      <c r="B35" s="282" t="s">
        <v>482</v>
      </c>
      <c r="C35" s="216">
        <f>+'ANALISIS OCI'!X33</f>
        <v>0</v>
      </c>
      <c r="D35" s="217">
        <f>+'ANALISIS OCI'!Y33</f>
        <v>2</v>
      </c>
      <c r="E35" s="217">
        <f>+'ANALISIS OCI'!Z33</f>
        <v>2</v>
      </c>
      <c r="F35" s="217">
        <f>+'ANALISIS OCI'!AA33</f>
        <v>2</v>
      </c>
      <c r="G35" s="218">
        <f t="shared" si="11"/>
        <v>6</v>
      </c>
      <c r="H35" s="206" t="str">
        <f t="shared" si="12"/>
        <v>Alto</v>
      </c>
      <c r="I35" s="207">
        <f t="shared" si="13"/>
        <v>0.4</v>
      </c>
      <c r="J35" s="203" t="str">
        <f>'ANALISIS OCI'!AC33</f>
        <v>Alto</v>
      </c>
      <c r="K35" s="204">
        <f t="shared" si="14"/>
        <v>0.4</v>
      </c>
      <c r="L35" s="205">
        <f t="shared" si="15"/>
        <v>0.4</v>
      </c>
      <c r="M35" s="219"/>
      <c r="N35" s="220">
        <f t="shared" si="16"/>
        <v>0</v>
      </c>
      <c r="O35" s="221"/>
      <c r="P35" s="222">
        <f t="shared" si="17"/>
        <v>0</v>
      </c>
      <c r="Q35" s="208">
        <v>45147</v>
      </c>
      <c r="R35" s="209">
        <f t="shared" si="18"/>
        <v>510</v>
      </c>
      <c r="S35" s="223">
        <f t="shared" si="3"/>
        <v>0.1</v>
      </c>
      <c r="T35" s="167">
        <f t="shared" si="7"/>
        <v>0.5</v>
      </c>
      <c r="U35" s="179" t="str">
        <f t="shared" si="8"/>
        <v>Incluir en ciclos posteriores de auditoría</v>
      </c>
    </row>
    <row r="36" spans="2:21" ht="43.5" customHeight="1" thickBot="1" x14ac:dyDescent="0.35">
      <c r="B36" s="282" t="s">
        <v>483</v>
      </c>
      <c r="C36" s="216">
        <f>+'ANALISIS OCI'!X34</f>
        <v>0</v>
      </c>
      <c r="D36" s="217">
        <f>+'ANALISIS OCI'!Y34</f>
        <v>0</v>
      </c>
      <c r="E36" s="217">
        <f>+'ANALISIS OCI'!Z34</f>
        <v>3</v>
      </c>
      <c r="F36" s="217">
        <f>+'ANALISIS OCI'!AA34</f>
        <v>1</v>
      </c>
      <c r="G36" s="218">
        <f t="shared" si="11"/>
        <v>4</v>
      </c>
      <c r="H36" s="206" t="str">
        <f t="shared" si="12"/>
        <v>Moderado</v>
      </c>
      <c r="I36" s="207">
        <f t="shared" si="13"/>
        <v>0.15</v>
      </c>
      <c r="J36" s="203" t="str">
        <f>'ANALISIS OCI'!AC34</f>
        <v>Moderado</v>
      </c>
      <c r="K36" s="204">
        <f t="shared" si="14"/>
        <v>0.15</v>
      </c>
      <c r="L36" s="205">
        <f t="shared" si="15"/>
        <v>0.15</v>
      </c>
      <c r="M36" s="219"/>
      <c r="N36" s="220">
        <f t="shared" si="16"/>
        <v>0</v>
      </c>
      <c r="O36" s="221"/>
      <c r="P36" s="222">
        <f t="shared" si="17"/>
        <v>0</v>
      </c>
      <c r="Q36" s="208">
        <v>45230</v>
      </c>
      <c r="R36" s="209">
        <f t="shared" si="18"/>
        <v>427</v>
      </c>
      <c r="S36" s="223">
        <f t="shared" si="3"/>
        <v>0.1</v>
      </c>
      <c r="T36" s="167">
        <f t="shared" si="7"/>
        <v>0.25</v>
      </c>
      <c r="U36" s="179" t="str">
        <f t="shared" si="8"/>
        <v>Incluir en ciclos posteriores de auditoría</v>
      </c>
    </row>
    <row r="37" spans="2:21" ht="43.5" customHeight="1" thickBot="1" x14ac:dyDescent="0.35">
      <c r="B37" s="282" t="s">
        <v>484</v>
      </c>
      <c r="C37" s="216">
        <f>+'ANALISIS OCI'!X35</f>
        <v>0</v>
      </c>
      <c r="D37" s="217">
        <f>+'ANALISIS OCI'!Y35</f>
        <v>0</v>
      </c>
      <c r="E37" s="217">
        <f>+'ANALISIS OCI'!Z35</f>
        <v>1</v>
      </c>
      <c r="F37" s="217">
        <f>+'ANALISIS OCI'!AA35</f>
        <v>3</v>
      </c>
      <c r="G37" s="218">
        <f t="shared" si="11"/>
        <v>4</v>
      </c>
      <c r="H37" s="206" t="str">
        <f t="shared" si="12"/>
        <v>Bajo</v>
      </c>
      <c r="I37" s="207">
        <f t="shared" si="13"/>
        <v>0.1</v>
      </c>
      <c r="J37" s="203" t="str">
        <f>'ANALISIS OCI'!AC35</f>
        <v>Bajo</v>
      </c>
      <c r="K37" s="204">
        <f t="shared" si="14"/>
        <v>0.1</v>
      </c>
      <c r="L37" s="205">
        <f t="shared" si="15"/>
        <v>0.1</v>
      </c>
      <c r="M37" s="219"/>
      <c r="N37" s="220">
        <f t="shared" si="16"/>
        <v>0</v>
      </c>
      <c r="O37" s="221"/>
      <c r="P37" s="222">
        <f t="shared" si="17"/>
        <v>0</v>
      </c>
      <c r="Q37" s="208">
        <v>45260</v>
      </c>
      <c r="R37" s="209">
        <f t="shared" si="18"/>
        <v>397</v>
      </c>
      <c r="S37" s="223">
        <f t="shared" si="3"/>
        <v>0.1</v>
      </c>
      <c r="T37" s="167">
        <f t="shared" si="7"/>
        <v>0.2</v>
      </c>
      <c r="U37" s="179" t="str">
        <f t="shared" si="8"/>
        <v>Incluir en ciclos posteriores de auditoría</v>
      </c>
    </row>
    <row r="38" spans="2:21" ht="43.5" customHeight="1" thickBot="1" x14ac:dyDescent="0.35">
      <c r="B38" s="296" t="s">
        <v>494</v>
      </c>
      <c r="C38" s="297">
        <f>+'ANALISIS OCI'!X36</f>
        <v>0</v>
      </c>
      <c r="D38" s="298">
        <f>+'ANALISIS OCI'!Y36</f>
        <v>0</v>
      </c>
      <c r="E38" s="298">
        <f>+'ANALISIS OCI'!Z36</f>
        <v>0</v>
      </c>
      <c r="F38" s="298">
        <f>+'ANALISIS OCI'!AA36</f>
        <v>3</v>
      </c>
      <c r="G38" s="299">
        <f t="shared" si="11"/>
        <v>3</v>
      </c>
      <c r="H38" s="206" t="str">
        <f t="shared" si="12"/>
        <v>Bajo</v>
      </c>
      <c r="I38" s="207">
        <f t="shared" si="13"/>
        <v>0.1</v>
      </c>
      <c r="J38" s="203" t="str">
        <f>'ANALISIS OCI'!AC36</f>
        <v>Bajo</v>
      </c>
      <c r="K38" s="204">
        <f t="shared" si="14"/>
        <v>0.1</v>
      </c>
      <c r="L38" s="205">
        <f t="shared" si="15"/>
        <v>0.1</v>
      </c>
      <c r="M38" s="219"/>
      <c r="N38" s="220">
        <f t="shared" si="16"/>
        <v>0</v>
      </c>
      <c r="O38" s="221"/>
      <c r="P38" s="222">
        <f t="shared" si="17"/>
        <v>0</v>
      </c>
      <c r="Q38" s="208">
        <v>44612</v>
      </c>
      <c r="R38" s="209">
        <f t="shared" si="18"/>
        <v>1045</v>
      </c>
      <c r="S38" s="223">
        <f t="shared" si="3"/>
        <v>0.2</v>
      </c>
      <c r="T38" s="167">
        <f t="shared" si="7"/>
        <v>0.30000000000000004</v>
      </c>
      <c r="U38" s="179" t="str">
        <f t="shared" si="8"/>
        <v>Incluir en ciclos posteriores de auditoría</v>
      </c>
    </row>
    <row r="39" spans="2:21" ht="43.5" customHeight="1" thickBot="1" x14ac:dyDescent="0.35">
      <c r="B39" s="296" t="s">
        <v>495</v>
      </c>
      <c r="C39" s="297">
        <f>+'ANALISIS OCI'!X37</f>
        <v>1</v>
      </c>
      <c r="D39" s="298">
        <f>+'ANALISIS OCI'!Y37</f>
        <v>1</v>
      </c>
      <c r="E39" s="298">
        <f>+'ANALISIS OCI'!Z37</f>
        <v>1</v>
      </c>
      <c r="F39" s="298">
        <f>+'ANALISIS OCI'!AA37</f>
        <v>3</v>
      </c>
      <c r="G39" s="299">
        <f t="shared" si="11"/>
        <v>6</v>
      </c>
      <c r="H39" s="206" t="str">
        <f t="shared" si="12"/>
        <v>Alto</v>
      </c>
      <c r="I39" s="207">
        <f t="shared" si="13"/>
        <v>0.4</v>
      </c>
      <c r="J39" s="203" t="str">
        <f>'ANALISIS OCI'!AC37</f>
        <v>Alto</v>
      </c>
      <c r="K39" s="204">
        <f t="shared" si="14"/>
        <v>0.4</v>
      </c>
      <c r="L39" s="205">
        <f t="shared" si="15"/>
        <v>0.4</v>
      </c>
      <c r="M39" s="219"/>
      <c r="N39" s="220">
        <f t="shared" si="16"/>
        <v>0</v>
      </c>
      <c r="O39" s="221"/>
      <c r="P39" s="222">
        <f t="shared" si="17"/>
        <v>0</v>
      </c>
      <c r="Q39" s="208">
        <v>44696</v>
      </c>
      <c r="R39" s="209">
        <f t="shared" si="18"/>
        <v>961</v>
      </c>
      <c r="S39" s="223">
        <f t="shared" si="3"/>
        <v>0.2</v>
      </c>
      <c r="T39" s="167">
        <f t="shared" si="7"/>
        <v>0.60000000000000009</v>
      </c>
      <c r="U39" s="179" t="str">
        <f t="shared" si="8"/>
        <v>Incluir en ciclos posteriores de auditoría</v>
      </c>
    </row>
    <row r="40" spans="2:21" ht="43.5" customHeight="1" thickBot="1" x14ac:dyDescent="0.35">
      <c r="B40" s="282" t="s">
        <v>496</v>
      </c>
      <c r="C40" s="216">
        <f>+'ANALISIS OCI'!X38</f>
        <v>1</v>
      </c>
      <c r="D40" s="217">
        <f>+'ANALISIS OCI'!Y38</f>
        <v>1</v>
      </c>
      <c r="E40" s="217">
        <f>+'ANALISIS OCI'!Z38</f>
        <v>1</v>
      </c>
      <c r="F40" s="217">
        <f>+'ANALISIS OCI'!AA38</f>
        <v>3</v>
      </c>
      <c r="G40" s="218">
        <f t="shared" si="11"/>
        <v>6</v>
      </c>
      <c r="H40" s="206" t="str">
        <f t="shared" si="12"/>
        <v>Alto</v>
      </c>
      <c r="I40" s="207">
        <f t="shared" si="13"/>
        <v>0.4</v>
      </c>
      <c r="J40" s="203" t="str">
        <f>'ANALISIS OCI'!AC38</f>
        <v>Alto</v>
      </c>
      <c r="K40" s="204">
        <f t="shared" si="14"/>
        <v>0.4</v>
      </c>
      <c r="L40" s="205">
        <f t="shared" si="15"/>
        <v>0.4</v>
      </c>
      <c r="M40" s="219"/>
      <c r="N40" s="220">
        <f t="shared" si="16"/>
        <v>0</v>
      </c>
      <c r="O40" s="221"/>
      <c r="P40" s="222">
        <f t="shared" si="17"/>
        <v>0</v>
      </c>
      <c r="Q40" s="208">
        <v>44764</v>
      </c>
      <c r="R40" s="209">
        <f t="shared" si="18"/>
        <v>893</v>
      </c>
      <c r="S40" s="223">
        <f t="shared" si="3"/>
        <v>0.2</v>
      </c>
      <c r="T40" s="167">
        <f t="shared" si="7"/>
        <v>0.60000000000000009</v>
      </c>
      <c r="U40" s="179" t="str">
        <f t="shared" si="8"/>
        <v>Incluir en ciclos posteriores de auditoría</v>
      </c>
    </row>
    <row r="41" spans="2:21" ht="43.5" customHeight="1" thickBot="1" x14ac:dyDescent="0.35">
      <c r="B41" s="282" t="s">
        <v>497</v>
      </c>
      <c r="C41" s="216">
        <f>+'ANALISIS OCI'!X39</f>
        <v>1</v>
      </c>
      <c r="D41" s="217">
        <f>+'ANALISIS OCI'!Y39</f>
        <v>1</v>
      </c>
      <c r="E41" s="217">
        <f>+'ANALISIS OCI'!Z39</f>
        <v>0</v>
      </c>
      <c r="F41" s="217">
        <f>+'ANALISIS OCI'!AA39</f>
        <v>4</v>
      </c>
      <c r="G41" s="218">
        <f t="shared" si="11"/>
        <v>6</v>
      </c>
      <c r="H41" s="206" t="str">
        <f t="shared" si="12"/>
        <v>Alto</v>
      </c>
      <c r="I41" s="207">
        <f t="shared" si="13"/>
        <v>0.4</v>
      </c>
      <c r="J41" s="203" t="str">
        <f>'ANALISIS OCI'!AC39</f>
        <v>Alto</v>
      </c>
      <c r="K41" s="204">
        <f t="shared" si="14"/>
        <v>0.4</v>
      </c>
      <c r="L41" s="205">
        <f t="shared" si="15"/>
        <v>0.4</v>
      </c>
      <c r="M41" s="219"/>
      <c r="N41" s="220">
        <f t="shared" si="16"/>
        <v>0</v>
      </c>
      <c r="O41" s="221"/>
      <c r="P41" s="222">
        <f t="shared" si="17"/>
        <v>0</v>
      </c>
      <c r="Q41" s="208">
        <v>44803</v>
      </c>
      <c r="R41" s="209">
        <f t="shared" si="18"/>
        <v>854</v>
      </c>
      <c r="S41" s="223">
        <f t="shared" si="3"/>
        <v>0.2</v>
      </c>
      <c r="T41" s="167">
        <f t="shared" si="7"/>
        <v>0.60000000000000009</v>
      </c>
      <c r="U41" s="179" t="str">
        <f t="shared" si="8"/>
        <v>Incluir en ciclos posteriores de auditoría</v>
      </c>
    </row>
    <row r="42" spans="2:21" ht="43.5" customHeight="1" thickBot="1" x14ac:dyDescent="0.35">
      <c r="B42" s="282" t="s">
        <v>498</v>
      </c>
      <c r="C42" s="216">
        <f>+'ANALISIS OCI'!X40</f>
        <v>1</v>
      </c>
      <c r="D42" s="217">
        <f>+'ANALISIS OCI'!Y40</f>
        <v>1</v>
      </c>
      <c r="E42" s="217">
        <f>+'ANALISIS OCI'!Z40</f>
        <v>2</v>
      </c>
      <c r="F42" s="217">
        <f>+'ANALISIS OCI'!AA40</f>
        <v>2</v>
      </c>
      <c r="G42" s="218">
        <f t="shared" si="11"/>
        <v>6</v>
      </c>
      <c r="H42" s="206" t="str">
        <f t="shared" si="12"/>
        <v>Alto</v>
      </c>
      <c r="I42" s="207">
        <f t="shared" si="13"/>
        <v>0.4</v>
      </c>
      <c r="J42" s="203" t="str">
        <f>'ANALISIS OCI'!AC40</f>
        <v>Alto</v>
      </c>
      <c r="K42" s="204">
        <f t="shared" si="14"/>
        <v>0.4</v>
      </c>
      <c r="L42" s="205">
        <f t="shared" si="15"/>
        <v>0.4</v>
      </c>
      <c r="M42" s="219"/>
      <c r="N42" s="220">
        <f t="shared" si="16"/>
        <v>0</v>
      </c>
      <c r="O42" s="221"/>
      <c r="P42" s="222">
        <f t="shared" si="17"/>
        <v>0</v>
      </c>
      <c r="Q42" s="208">
        <v>44895</v>
      </c>
      <c r="R42" s="209">
        <f t="shared" si="18"/>
        <v>762</v>
      </c>
      <c r="S42" s="223">
        <f t="shared" si="3"/>
        <v>0.2</v>
      </c>
      <c r="T42" s="167">
        <f t="shared" si="7"/>
        <v>0.60000000000000009</v>
      </c>
      <c r="U42" s="179" t="str">
        <f t="shared" si="8"/>
        <v>Incluir en ciclos posteriores de auditoría</v>
      </c>
    </row>
    <row r="43" spans="2:21" ht="43.5" customHeight="1" thickBot="1" x14ac:dyDescent="0.35">
      <c r="B43" s="282" t="s">
        <v>499</v>
      </c>
      <c r="C43" s="216">
        <f>+'ANALISIS OCI'!X41</f>
        <v>1</v>
      </c>
      <c r="D43" s="217">
        <f>+'ANALISIS OCI'!Y41</f>
        <v>1</v>
      </c>
      <c r="E43" s="217">
        <f>+'ANALISIS OCI'!Z41</f>
        <v>1</v>
      </c>
      <c r="F43" s="217">
        <f>+'ANALISIS OCI'!AA41</f>
        <v>3</v>
      </c>
      <c r="G43" s="218">
        <f t="shared" si="11"/>
        <v>6</v>
      </c>
      <c r="H43" s="206" t="str">
        <f t="shared" si="12"/>
        <v>Alto</v>
      </c>
      <c r="I43" s="207">
        <f t="shared" si="13"/>
        <v>0.4</v>
      </c>
      <c r="J43" s="203" t="str">
        <f>'ANALISIS OCI'!AC41</f>
        <v>Alto</v>
      </c>
      <c r="K43" s="204">
        <f t="shared" si="14"/>
        <v>0.4</v>
      </c>
      <c r="L43" s="205">
        <f t="shared" si="15"/>
        <v>0.4</v>
      </c>
      <c r="M43" s="219"/>
      <c r="N43" s="220">
        <f t="shared" si="16"/>
        <v>0</v>
      </c>
      <c r="O43" s="221"/>
      <c r="P43" s="222">
        <f t="shared" si="17"/>
        <v>0</v>
      </c>
      <c r="Q43" s="208">
        <v>44829</v>
      </c>
      <c r="R43" s="209">
        <f t="shared" si="18"/>
        <v>828</v>
      </c>
      <c r="S43" s="223">
        <f t="shared" si="3"/>
        <v>0.2</v>
      </c>
      <c r="T43" s="167">
        <f t="shared" si="7"/>
        <v>0.60000000000000009</v>
      </c>
      <c r="U43" s="179" t="str">
        <f t="shared" si="8"/>
        <v>Incluir en ciclos posteriores de auditoría</v>
      </c>
    </row>
    <row r="44" spans="2:21" ht="43.5" customHeight="1" thickBot="1" x14ac:dyDescent="0.35">
      <c r="B44" s="282" t="s">
        <v>500</v>
      </c>
      <c r="C44" s="216">
        <f>+'ANALISIS OCI'!X42</f>
        <v>0</v>
      </c>
      <c r="D44" s="217">
        <f>+'ANALISIS OCI'!Y42</f>
        <v>1</v>
      </c>
      <c r="E44" s="217">
        <f>+'ANALISIS OCI'!Z42</f>
        <v>2</v>
      </c>
      <c r="F44" s="217">
        <f>+'ANALISIS OCI'!AA42</f>
        <v>2</v>
      </c>
      <c r="G44" s="218">
        <f t="shared" si="11"/>
        <v>5</v>
      </c>
      <c r="H44" s="206" t="str">
        <f t="shared" si="12"/>
        <v>Moderado</v>
      </c>
      <c r="I44" s="207">
        <f t="shared" si="13"/>
        <v>0.15</v>
      </c>
      <c r="J44" s="203" t="str">
        <f>'ANALISIS OCI'!AC42</f>
        <v>Moderado</v>
      </c>
      <c r="K44" s="204">
        <f t="shared" si="14"/>
        <v>0.15</v>
      </c>
      <c r="L44" s="205">
        <f t="shared" si="15"/>
        <v>0.15</v>
      </c>
      <c r="M44" s="219"/>
      <c r="N44" s="220">
        <f t="shared" si="16"/>
        <v>0</v>
      </c>
      <c r="O44" s="221"/>
      <c r="P44" s="222">
        <f t="shared" si="17"/>
        <v>0</v>
      </c>
      <c r="Q44" s="208">
        <v>44895</v>
      </c>
      <c r="R44" s="209">
        <f t="shared" si="18"/>
        <v>762</v>
      </c>
      <c r="S44" s="223">
        <f t="shared" si="3"/>
        <v>0.2</v>
      </c>
      <c r="T44" s="167">
        <f t="shared" si="7"/>
        <v>0.35</v>
      </c>
      <c r="U44" s="179" t="str">
        <f t="shared" si="8"/>
        <v>Incluir en ciclos posteriores de auditoría</v>
      </c>
    </row>
    <row r="45" spans="2:21" ht="43.5" customHeight="1" thickBot="1" x14ac:dyDescent="0.35">
      <c r="B45" s="282" t="s">
        <v>501</v>
      </c>
      <c r="C45" s="216">
        <f>+'ANALISIS OCI'!X43</f>
        <v>0</v>
      </c>
      <c r="D45" s="217">
        <f>+'ANALISIS OCI'!Y43</f>
        <v>1</v>
      </c>
      <c r="E45" s="217">
        <f>+'ANALISIS OCI'!Z43</f>
        <v>1</v>
      </c>
      <c r="F45" s="217">
        <f>+'ANALISIS OCI'!AA43</f>
        <v>1</v>
      </c>
      <c r="G45" s="218">
        <f t="shared" si="11"/>
        <v>3</v>
      </c>
      <c r="H45" s="206" t="str">
        <f t="shared" si="12"/>
        <v>Alto</v>
      </c>
      <c r="I45" s="207">
        <f t="shared" si="13"/>
        <v>0.4</v>
      </c>
      <c r="J45" s="203" t="str">
        <f>'ANALISIS OCI'!AC43</f>
        <v>Alto</v>
      </c>
      <c r="K45" s="204">
        <f t="shared" si="14"/>
        <v>0.4</v>
      </c>
      <c r="L45" s="205">
        <f t="shared" si="15"/>
        <v>0.4</v>
      </c>
      <c r="M45" s="219"/>
      <c r="N45" s="220">
        <f t="shared" si="16"/>
        <v>0</v>
      </c>
      <c r="O45" s="221"/>
      <c r="P45" s="222">
        <f t="shared" si="17"/>
        <v>0</v>
      </c>
      <c r="Q45" s="208">
        <v>44895</v>
      </c>
      <c r="R45" s="209">
        <f t="shared" si="18"/>
        <v>762</v>
      </c>
      <c r="S45" s="223">
        <f t="shared" si="3"/>
        <v>0.2</v>
      </c>
      <c r="T45" s="167">
        <f t="shared" si="7"/>
        <v>0.60000000000000009</v>
      </c>
      <c r="U45" s="179" t="str">
        <f t="shared" si="8"/>
        <v>Incluir en ciclos posteriores de auditoría</v>
      </c>
    </row>
    <row r="46" spans="2:21" ht="43.5" customHeight="1" thickBot="1" x14ac:dyDescent="0.35">
      <c r="B46" s="282" t="s">
        <v>502</v>
      </c>
      <c r="C46" s="216">
        <f>+'ANALISIS OCI'!X44</f>
        <v>0</v>
      </c>
      <c r="D46" s="217">
        <f>+'ANALISIS OCI'!Y44</f>
        <v>2</v>
      </c>
      <c r="E46" s="217">
        <f>+'ANALISIS OCI'!Z44</f>
        <v>2</v>
      </c>
      <c r="F46" s="217">
        <f>+'ANALISIS OCI'!AA44</f>
        <v>2</v>
      </c>
      <c r="G46" s="218">
        <f t="shared" si="11"/>
        <v>6</v>
      </c>
      <c r="H46" s="206" t="str">
        <f t="shared" si="12"/>
        <v>Alto</v>
      </c>
      <c r="I46" s="207">
        <f t="shared" si="13"/>
        <v>0.4</v>
      </c>
      <c r="J46" s="203" t="str">
        <f>'ANALISIS OCI'!AC44</f>
        <v>Alto</v>
      </c>
      <c r="K46" s="204">
        <f t="shared" si="14"/>
        <v>0.4</v>
      </c>
      <c r="L46" s="205">
        <f t="shared" si="15"/>
        <v>0.4</v>
      </c>
      <c r="M46" s="219"/>
      <c r="N46" s="220">
        <f t="shared" si="16"/>
        <v>0</v>
      </c>
      <c r="O46" s="221"/>
      <c r="P46" s="222">
        <f t="shared" si="17"/>
        <v>0</v>
      </c>
      <c r="Q46" s="208">
        <v>44614</v>
      </c>
      <c r="R46" s="209">
        <f t="shared" si="18"/>
        <v>1043</v>
      </c>
      <c r="S46" s="223">
        <f t="shared" si="3"/>
        <v>0.2</v>
      </c>
      <c r="T46" s="167">
        <f t="shared" si="7"/>
        <v>0.60000000000000009</v>
      </c>
      <c r="U46" s="179" t="str">
        <f t="shared" si="8"/>
        <v>Incluir en ciclos posteriores de auditoría</v>
      </c>
    </row>
    <row r="47" spans="2:21" ht="43.5" customHeight="1" thickBot="1" x14ac:dyDescent="0.35">
      <c r="B47" s="282" t="s">
        <v>503</v>
      </c>
      <c r="C47" s="216">
        <f>+'ANALISIS OCI'!X45</f>
        <v>0</v>
      </c>
      <c r="D47" s="217">
        <f>+'ANALISIS OCI'!Y45</f>
        <v>1</v>
      </c>
      <c r="E47" s="217">
        <f>+'ANALISIS OCI'!Z45</f>
        <v>1</v>
      </c>
      <c r="F47" s="217">
        <f>+'ANALISIS OCI'!AA45</f>
        <v>3</v>
      </c>
      <c r="G47" s="218">
        <f t="shared" si="11"/>
        <v>5</v>
      </c>
      <c r="H47" s="206" t="str">
        <f t="shared" si="12"/>
        <v>Moderado</v>
      </c>
      <c r="I47" s="207">
        <f t="shared" si="13"/>
        <v>0.15</v>
      </c>
      <c r="J47" s="203" t="str">
        <f>'ANALISIS OCI'!AC45</f>
        <v>Moderado</v>
      </c>
      <c r="K47" s="204">
        <f t="shared" si="14"/>
        <v>0.15</v>
      </c>
      <c r="L47" s="205">
        <f t="shared" si="15"/>
        <v>0.15</v>
      </c>
      <c r="M47" s="219"/>
      <c r="N47" s="220">
        <f t="shared" si="16"/>
        <v>0</v>
      </c>
      <c r="O47" s="221"/>
      <c r="P47" s="222">
        <f t="shared" si="17"/>
        <v>0</v>
      </c>
      <c r="Q47" s="208">
        <v>44864</v>
      </c>
      <c r="R47" s="209">
        <f t="shared" si="18"/>
        <v>793</v>
      </c>
      <c r="S47" s="223">
        <f t="shared" si="3"/>
        <v>0.2</v>
      </c>
      <c r="T47" s="167">
        <f t="shared" si="7"/>
        <v>0.35</v>
      </c>
      <c r="U47" s="179" t="str">
        <f t="shared" si="8"/>
        <v>Incluir en ciclos posteriores de auditoría</v>
      </c>
    </row>
    <row r="48" spans="2:21" ht="63" customHeight="1" thickBot="1" x14ac:dyDescent="0.35">
      <c r="B48" s="282" t="s">
        <v>504</v>
      </c>
      <c r="C48" s="216">
        <f>+'ANALISIS OCI'!X46</f>
        <v>0</v>
      </c>
      <c r="D48" s="217">
        <f>+'ANALISIS OCI'!Y46</f>
        <v>1</v>
      </c>
      <c r="E48" s="217">
        <f>+'ANALISIS OCI'!Z46</f>
        <v>2</v>
      </c>
      <c r="F48" s="217">
        <f>+'ANALISIS OCI'!AA46</f>
        <v>2</v>
      </c>
      <c r="G48" s="218">
        <f t="shared" si="11"/>
        <v>5</v>
      </c>
      <c r="H48" s="206" t="str">
        <f t="shared" si="12"/>
        <v>Moderado</v>
      </c>
      <c r="I48" s="207">
        <f t="shared" si="13"/>
        <v>0.15</v>
      </c>
      <c r="J48" s="203" t="str">
        <f>'ANALISIS OCI'!AC46</f>
        <v>Moderado</v>
      </c>
      <c r="K48" s="204">
        <f t="shared" si="14"/>
        <v>0.15</v>
      </c>
      <c r="L48" s="205">
        <f t="shared" si="15"/>
        <v>0.15</v>
      </c>
      <c r="M48" s="219"/>
      <c r="N48" s="220">
        <f t="shared" si="16"/>
        <v>0</v>
      </c>
      <c r="O48" s="221"/>
      <c r="P48" s="222">
        <f t="shared" si="17"/>
        <v>0</v>
      </c>
      <c r="Q48" s="208">
        <v>44651</v>
      </c>
      <c r="R48" s="209">
        <f t="shared" si="18"/>
        <v>1006</v>
      </c>
      <c r="S48" s="223">
        <f t="shared" ref="S48:S92" si="19">IF(R48&gt;=1080,30%,IF(R48&gt;=720,20%,IF(R48&gt;=360,10%,IF(R48&lt;=359,0%,0))))</f>
        <v>0.2</v>
      </c>
      <c r="T48" s="167">
        <f t="shared" ref="T48:T92" si="20">IF(N48=100%,100%,(L48+P48+S48))</f>
        <v>0.35</v>
      </c>
      <c r="U48" s="179" t="str">
        <f t="shared" si="8"/>
        <v>Incluir en ciclos posteriores de auditoría</v>
      </c>
    </row>
    <row r="49" spans="2:21" ht="63" customHeight="1" thickBot="1" x14ac:dyDescent="0.35">
      <c r="B49" s="282" t="s">
        <v>505</v>
      </c>
      <c r="C49" s="216">
        <f>+'ANALISIS OCI'!X47</f>
        <v>0</v>
      </c>
      <c r="D49" s="217">
        <f>+'ANALISIS OCI'!Y47</f>
        <v>0</v>
      </c>
      <c r="E49" s="217">
        <f>+'ANALISIS OCI'!Z47</f>
        <v>2</v>
      </c>
      <c r="F49" s="217">
        <f>+'ANALISIS OCI'!AA47</f>
        <v>2</v>
      </c>
      <c r="G49" s="218">
        <f t="shared" si="11"/>
        <v>4</v>
      </c>
      <c r="H49" s="206" t="str">
        <f t="shared" si="12"/>
        <v>Moderado</v>
      </c>
      <c r="I49" s="207">
        <f t="shared" si="13"/>
        <v>0.15</v>
      </c>
      <c r="J49" s="203" t="str">
        <f>'ANALISIS OCI'!AC47</f>
        <v>Moderado</v>
      </c>
      <c r="K49" s="204">
        <f t="shared" si="14"/>
        <v>0.15</v>
      </c>
      <c r="L49" s="205">
        <f t="shared" si="15"/>
        <v>0.15</v>
      </c>
      <c r="M49" s="219"/>
      <c r="N49" s="220">
        <f t="shared" si="16"/>
        <v>0</v>
      </c>
      <c r="O49" s="221"/>
      <c r="P49" s="222">
        <f t="shared" si="17"/>
        <v>0</v>
      </c>
      <c r="Q49" s="208">
        <v>44428</v>
      </c>
      <c r="R49" s="209">
        <f t="shared" si="18"/>
        <v>1229</v>
      </c>
      <c r="S49" s="223">
        <f t="shared" si="19"/>
        <v>0.3</v>
      </c>
      <c r="T49" s="167">
        <f t="shared" si="20"/>
        <v>0.44999999999999996</v>
      </c>
      <c r="U49" s="179" t="str">
        <f t="shared" si="8"/>
        <v>Incluir en ciclos posteriores de auditoría</v>
      </c>
    </row>
    <row r="50" spans="2:21" ht="63" customHeight="1" thickBot="1" x14ac:dyDescent="0.35">
      <c r="B50" s="296" t="s">
        <v>506</v>
      </c>
      <c r="C50" s="297">
        <f>+'ANALISIS OCI'!X48</f>
        <v>0</v>
      </c>
      <c r="D50" s="298">
        <f>+'ANALISIS OCI'!Y48</f>
        <v>1</v>
      </c>
      <c r="E50" s="298">
        <f>+'ANALISIS OCI'!Z48</f>
        <v>1</v>
      </c>
      <c r="F50" s="298">
        <f>+'ANALISIS OCI'!AA48</f>
        <v>1</v>
      </c>
      <c r="G50" s="299">
        <f t="shared" si="11"/>
        <v>3</v>
      </c>
      <c r="H50" s="206" t="str">
        <f t="shared" si="12"/>
        <v>Alto</v>
      </c>
      <c r="I50" s="207">
        <f t="shared" si="13"/>
        <v>0.4</v>
      </c>
      <c r="J50" s="203" t="str">
        <f>'ANALISIS OCI'!AC48</f>
        <v>Alto</v>
      </c>
      <c r="K50" s="204">
        <f t="shared" si="14"/>
        <v>0.4</v>
      </c>
      <c r="L50" s="205">
        <f t="shared" si="15"/>
        <v>0.4</v>
      </c>
      <c r="M50" s="219"/>
      <c r="N50" s="220">
        <f t="shared" si="16"/>
        <v>0</v>
      </c>
      <c r="O50" s="221"/>
      <c r="P50" s="222">
        <f t="shared" si="17"/>
        <v>0</v>
      </c>
      <c r="Q50" s="208">
        <v>44502</v>
      </c>
      <c r="R50" s="209">
        <f t="shared" si="18"/>
        <v>1155</v>
      </c>
      <c r="S50" s="223">
        <f t="shared" si="19"/>
        <v>0.3</v>
      </c>
      <c r="T50" s="167">
        <f t="shared" si="20"/>
        <v>0.7</v>
      </c>
      <c r="U50" s="179" t="str">
        <f t="shared" si="8"/>
        <v xml:space="preserve">Incluir en el ciclo vigente de acuerdo a disponibilidad de recursos </v>
      </c>
    </row>
    <row r="51" spans="2:21" ht="63" customHeight="1" thickBot="1" x14ac:dyDescent="0.35">
      <c r="B51" s="296" t="s">
        <v>507</v>
      </c>
      <c r="C51" s="297">
        <f>+'ANALISIS OCI'!X49</f>
        <v>0</v>
      </c>
      <c r="D51" s="298">
        <f>+'ANALISIS OCI'!Y49</f>
        <v>2</v>
      </c>
      <c r="E51" s="298">
        <f>+'ANALISIS OCI'!Z49</f>
        <v>2</v>
      </c>
      <c r="F51" s="298">
        <f>+'ANALISIS OCI'!AA49</f>
        <v>2</v>
      </c>
      <c r="G51" s="299">
        <f t="shared" si="11"/>
        <v>6</v>
      </c>
      <c r="H51" s="206" t="str">
        <f t="shared" si="12"/>
        <v>Alto</v>
      </c>
      <c r="I51" s="207">
        <f t="shared" si="13"/>
        <v>0.4</v>
      </c>
      <c r="J51" s="203" t="str">
        <f>'ANALISIS OCI'!AC49</f>
        <v>Alto</v>
      </c>
      <c r="K51" s="204">
        <f t="shared" si="14"/>
        <v>0.4</v>
      </c>
      <c r="L51" s="205">
        <f t="shared" si="15"/>
        <v>0.4</v>
      </c>
      <c r="M51" s="219"/>
      <c r="N51" s="220">
        <f t="shared" si="16"/>
        <v>0</v>
      </c>
      <c r="O51" s="221"/>
      <c r="P51" s="222">
        <f t="shared" si="17"/>
        <v>0</v>
      </c>
      <c r="Q51" s="208">
        <v>44523</v>
      </c>
      <c r="R51" s="209">
        <f t="shared" si="18"/>
        <v>1134</v>
      </c>
      <c r="S51" s="223">
        <f t="shared" si="19"/>
        <v>0.3</v>
      </c>
      <c r="T51" s="167">
        <f t="shared" si="20"/>
        <v>0.7</v>
      </c>
      <c r="U51" s="179" t="str">
        <f t="shared" si="8"/>
        <v xml:space="preserve">Incluir en el ciclo vigente de acuerdo a disponibilidad de recursos </v>
      </c>
    </row>
    <row r="52" spans="2:21" ht="63" customHeight="1" thickBot="1" x14ac:dyDescent="0.35">
      <c r="B52" s="282" t="s">
        <v>508</v>
      </c>
      <c r="C52" s="216">
        <f>+'ANALISIS OCI'!X50</f>
        <v>0</v>
      </c>
      <c r="D52" s="217">
        <f>+'ANALISIS OCI'!Y50</f>
        <v>1</v>
      </c>
      <c r="E52" s="217">
        <f>+'ANALISIS OCI'!Z50</f>
        <v>1</v>
      </c>
      <c r="F52" s="217">
        <f>+'ANALISIS OCI'!AA50</f>
        <v>3</v>
      </c>
      <c r="G52" s="218">
        <f t="shared" si="11"/>
        <v>5</v>
      </c>
      <c r="H52" s="206" t="str">
        <f t="shared" si="12"/>
        <v>Moderado</v>
      </c>
      <c r="I52" s="207">
        <f t="shared" si="13"/>
        <v>0.15</v>
      </c>
      <c r="J52" s="203" t="str">
        <f>'ANALISIS OCI'!AC50</f>
        <v>Moderado</v>
      </c>
      <c r="K52" s="204">
        <f t="shared" si="14"/>
        <v>0.15</v>
      </c>
      <c r="L52" s="205">
        <f t="shared" si="15"/>
        <v>0.15</v>
      </c>
      <c r="M52" s="219"/>
      <c r="N52" s="220">
        <f t="shared" si="16"/>
        <v>0</v>
      </c>
      <c r="O52" s="221"/>
      <c r="P52" s="222">
        <f t="shared" si="17"/>
        <v>0</v>
      </c>
      <c r="Q52" s="208">
        <v>44553</v>
      </c>
      <c r="R52" s="209">
        <f t="shared" si="18"/>
        <v>1104</v>
      </c>
      <c r="S52" s="223">
        <f t="shared" si="19"/>
        <v>0.3</v>
      </c>
      <c r="T52" s="167">
        <f t="shared" si="20"/>
        <v>0.44999999999999996</v>
      </c>
      <c r="U52" s="179" t="str">
        <f t="shared" si="8"/>
        <v>Incluir en ciclos posteriores de auditoría</v>
      </c>
    </row>
    <row r="53" spans="2:21" ht="63" customHeight="1" thickBot="1" x14ac:dyDescent="0.35">
      <c r="B53" s="282" t="s">
        <v>509</v>
      </c>
      <c r="C53" s="216">
        <f>+'ANALISIS OCI'!X51</f>
        <v>0</v>
      </c>
      <c r="D53" s="217">
        <f>+'ANALISIS OCI'!Y51</f>
        <v>1</v>
      </c>
      <c r="E53" s="217">
        <f>+'ANALISIS OCI'!Z51</f>
        <v>2</v>
      </c>
      <c r="F53" s="217">
        <f>+'ANALISIS OCI'!AA51</f>
        <v>2</v>
      </c>
      <c r="G53" s="218">
        <f t="shared" ref="G53:G54" si="21">SUM(C53:F53)</f>
        <v>5</v>
      </c>
      <c r="H53" s="206" t="str">
        <f t="shared" si="12"/>
        <v>Moderado</v>
      </c>
      <c r="I53" s="207">
        <f t="shared" si="13"/>
        <v>0.15</v>
      </c>
      <c r="J53" s="203" t="str">
        <f>'ANALISIS OCI'!AC51</f>
        <v>Moderado</v>
      </c>
      <c r="K53" s="204">
        <f t="shared" si="14"/>
        <v>0.15</v>
      </c>
      <c r="L53" s="205">
        <f t="shared" si="15"/>
        <v>0.15</v>
      </c>
      <c r="M53" s="219"/>
      <c r="N53" s="220">
        <f t="shared" si="16"/>
        <v>0</v>
      </c>
      <c r="O53" s="221"/>
      <c r="P53" s="222">
        <f t="shared" si="17"/>
        <v>0</v>
      </c>
      <c r="Q53" s="208">
        <v>44553</v>
      </c>
      <c r="R53" s="209">
        <f t="shared" si="18"/>
        <v>1104</v>
      </c>
      <c r="S53" s="223">
        <f t="shared" si="19"/>
        <v>0.3</v>
      </c>
      <c r="T53" s="167">
        <f t="shared" si="20"/>
        <v>0.44999999999999996</v>
      </c>
      <c r="U53" s="179" t="str">
        <f t="shared" si="8"/>
        <v>Incluir en ciclos posteriores de auditoría</v>
      </c>
    </row>
    <row r="54" spans="2:21" ht="63" customHeight="1" thickBot="1" x14ac:dyDescent="0.35">
      <c r="B54" s="282" t="s">
        <v>510</v>
      </c>
      <c r="C54" s="216">
        <f>+'ANALISIS OCI'!X52</f>
        <v>0</v>
      </c>
      <c r="D54" s="217">
        <f>+'ANALISIS OCI'!Y52</f>
        <v>0</v>
      </c>
      <c r="E54" s="217">
        <f>+'ANALISIS OCI'!Z52</f>
        <v>2</v>
      </c>
      <c r="F54" s="217">
        <f>+'ANALISIS OCI'!AA52</f>
        <v>2</v>
      </c>
      <c r="G54" s="218">
        <f t="shared" si="21"/>
        <v>4</v>
      </c>
      <c r="H54" s="206" t="str">
        <f t="shared" si="12"/>
        <v>Moderado</v>
      </c>
      <c r="I54" s="207">
        <f t="shared" si="13"/>
        <v>0.15</v>
      </c>
      <c r="J54" s="203" t="str">
        <f>'ANALISIS OCI'!AC52</f>
        <v>Moderado</v>
      </c>
      <c r="K54" s="204">
        <f t="shared" si="14"/>
        <v>0.15</v>
      </c>
      <c r="L54" s="205">
        <f t="shared" si="15"/>
        <v>0.15</v>
      </c>
      <c r="M54" s="219"/>
      <c r="N54" s="220">
        <f t="shared" si="16"/>
        <v>0</v>
      </c>
      <c r="O54" s="221"/>
      <c r="P54" s="222">
        <f t="shared" si="17"/>
        <v>0</v>
      </c>
      <c r="Q54" s="208">
        <v>44484</v>
      </c>
      <c r="R54" s="209">
        <f t="shared" si="18"/>
        <v>1173</v>
      </c>
      <c r="S54" s="223">
        <f t="shared" si="19"/>
        <v>0.3</v>
      </c>
      <c r="T54" s="167">
        <f t="shared" si="20"/>
        <v>0.44999999999999996</v>
      </c>
      <c r="U54" s="179" t="str">
        <f t="shared" si="8"/>
        <v>Incluir en ciclos posteriores de auditoría</v>
      </c>
    </row>
    <row r="55" spans="2:21" ht="63" customHeight="1" thickBot="1" x14ac:dyDescent="0.35">
      <c r="B55" s="224" t="s">
        <v>291</v>
      </c>
      <c r="C55" s="216">
        <f>+'ANALISIS OCI'!X53</f>
        <v>0</v>
      </c>
      <c r="D55" s="217">
        <f>+'ANALISIS OCI'!Y53</f>
        <v>0</v>
      </c>
      <c r="E55" s="217">
        <f>+'ANALISIS OCI'!Z53</f>
        <v>0</v>
      </c>
      <c r="F55" s="217">
        <f>+'ANALISIS OCI'!AA53</f>
        <v>0</v>
      </c>
      <c r="G55" s="218">
        <f t="shared" ref="G55:G92" si="22">SUM(C55:F55)</f>
        <v>0</v>
      </c>
      <c r="H55" s="206">
        <f t="shared" ref="H55:H92" si="23">IF(G55=0,0,IF(($C55/$G55)&gt;=0.2,"Extremo",+IF((($C55/G55)+($D55/$G55))&gt;=0.3,"Alto",+IF((($C55/$G55)+($D55/$G55)+($E55/$G55))&gt;=0.4,"Moderado",+IF(($C55/$G55)+($D55/$G55)+($E55/$G55)+($F55/$G55)&gt;=0.5,"Bajo",IF(G55=0,0))))))</f>
        <v>0</v>
      </c>
      <c r="I55" s="207">
        <f t="shared" ref="I55:I92" si="24">(IF(H55="Extremo",50%,(IF(H55="Alto",40%,IF(H55="Moderado",15%,IF(H55="Bajo",10%,0))))))</f>
        <v>0</v>
      </c>
      <c r="J55" s="203" t="e">
        <f>'ANALISIS OCI'!AC53</f>
        <v>#DIV/0!</v>
      </c>
      <c r="K55" s="204" t="e">
        <f t="shared" si="9"/>
        <v>#DIV/0!</v>
      </c>
      <c r="L55" s="205" t="e">
        <f t="shared" si="6"/>
        <v>#DIV/0!</v>
      </c>
      <c r="M55" s="219"/>
      <c r="N55" s="220">
        <f t="shared" ref="N55:N92" si="25">IF(M55="Si",100%,IF(M55="No",0,0))</f>
        <v>0</v>
      </c>
      <c r="O55" s="221"/>
      <c r="P55" s="222">
        <f t="shared" ref="P55:P92" si="26">IF(O55="Si",20%,IF(O55="No",0,0))</f>
        <v>0</v>
      </c>
      <c r="Q55" s="208"/>
      <c r="R55" s="209">
        <f t="shared" ref="R55:R92" si="27">+$C$6-Q55</f>
        <v>45657</v>
      </c>
      <c r="S55" s="223">
        <f t="shared" si="19"/>
        <v>0.3</v>
      </c>
      <c r="T55" s="167" t="e">
        <f t="shared" si="20"/>
        <v>#DIV/0!</v>
      </c>
      <c r="U55" s="179" t="e">
        <f t="shared" si="8"/>
        <v>#DIV/0!</v>
      </c>
    </row>
    <row r="56" spans="2:21" ht="63" customHeight="1" thickBot="1" x14ac:dyDescent="0.35">
      <c r="B56" s="224" t="s">
        <v>292</v>
      </c>
      <c r="C56" s="216">
        <f>+'ANALISIS OCI'!X54</f>
        <v>0</v>
      </c>
      <c r="D56" s="217">
        <f>+'ANALISIS OCI'!Y54</f>
        <v>0</v>
      </c>
      <c r="E56" s="217">
        <f>+'ANALISIS OCI'!Z54</f>
        <v>0</v>
      </c>
      <c r="F56" s="217">
        <f>+'ANALISIS OCI'!AA54</f>
        <v>0</v>
      </c>
      <c r="G56" s="218">
        <f t="shared" si="22"/>
        <v>0</v>
      </c>
      <c r="H56" s="206">
        <f t="shared" si="23"/>
        <v>0</v>
      </c>
      <c r="I56" s="207">
        <f t="shared" si="24"/>
        <v>0</v>
      </c>
      <c r="J56" s="203" t="e">
        <f>'ANALISIS OCI'!AC54</f>
        <v>#DIV/0!</v>
      </c>
      <c r="K56" s="204" t="e">
        <f t="shared" si="9"/>
        <v>#DIV/0!</v>
      </c>
      <c r="L56" s="205" t="e">
        <f t="shared" si="6"/>
        <v>#DIV/0!</v>
      </c>
      <c r="M56" s="219"/>
      <c r="N56" s="220">
        <f t="shared" si="25"/>
        <v>0</v>
      </c>
      <c r="O56" s="221"/>
      <c r="P56" s="222">
        <f t="shared" si="26"/>
        <v>0</v>
      </c>
      <c r="Q56" s="208"/>
      <c r="R56" s="209">
        <f t="shared" si="27"/>
        <v>45657</v>
      </c>
      <c r="S56" s="223">
        <f t="shared" si="19"/>
        <v>0.3</v>
      </c>
      <c r="T56" s="167" t="e">
        <f t="shared" si="20"/>
        <v>#DIV/0!</v>
      </c>
      <c r="U56" s="179" t="e">
        <f t="shared" si="8"/>
        <v>#DIV/0!</v>
      </c>
    </row>
    <row r="57" spans="2:21" ht="63" customHeight="1" thickBot="1" x14ac:dyDescent="0.35">
      <c r="B57" s="224" t="s">
        <v>293</v>
      </c>
      <c r="C57" s="216">
        <f>+'ANALISIS OCI'!X55</f>
        <v>0</v>
      </c>
      <c r="D57" s="217">
        <f>+'ANALISIS OCI'!Y55</f>
        <v>0</v>
      </c>
      <c r="E57" s="217">
        <f>+'ANALISIS OCI'!Z55</f>
        <v>0</v>
      </c>
      <c r="F57" s="217">
        <f>+'ANALISIS OCI'!AA55</f>
        <v>0</v>
      </c>
      <c r="G57" s="218">
        <f t="shared" si="22"/>
        <v>0</v>
      </c>
      <c r="H57" s="206">
        <f t="shared" si="23"/>
        <v>0</v>
      </c>
      <c r="I57" s="207">
        <f t="shared" si="24"/>
        <v>0</v>
      </c>
      <c r="J57" s="203" t="e">
        <f>'ANALISIS OCI'!AC55</f>
        <v>#DIV/0!</v>
      </c>
      <c r="K57" s="204" t="e">
        <f t="shared" si="9"/>
        <v>#DIV/0!</v>
      </c>
      <c r="L57" s="205" t="e">
        <f t="shared" si="6"/>
        <v>#DIV/0!</v>
      </c>
      <c r="M57" s="219"/>
      <c r="N57" s="220">
        <f t="shared" si="25"/>
        <v>0</v>
      </c>
      <c r="O57" s="221"/>
      <c r="P57" s="222">
        <f t="shared" si="26"/>
        <v>0</v>
      </c>
      <c r="Q57" s="208"/>
      <c r="R57" s="209">
        <f t="shared" si="27"/>
        <v>45657</v>
      </c>
      <c r="S57" s="223">
        <f t="shared" si="19"/>
        <v>0.3</v>
      </c>
      <c r="T57" s="167" t="e">
        <f t="shared" si="20"/>
        <v>#DIV/0!</v>
      </c>
      <c r="U57" s="179" t="e">
        <f t="shared" si="8"/>
        <v>#DIV/0!</v>
      </c>
    </row>
    <row r="58" spans="2:21" ht="63" customHeight="1" thickBot="1" x14ac:dyDescent="0.35">
      <c r="B58" s="224" t="s">
        <v>294</v>
      </c>
      <c r="C58" s="216">
        <f>+'ANALISIS OCI'!X56</f>
        <v>0</v>
      </c>
      <c r="D58" s="217">
        <f>+'ANALISIS OCI'!Y56</f>
        <v>0</v>
      </c>
      <c r="E58" s="217">
        <f>+'ANALISIS OCI'!Z56</f>
        <v>0</v>
      </c>
      <c r="F58" s="217">
        <f>+'ANALISIS OCI'!AA56</f>
        <v>0</v>
      </c>
      <c r="G58" s="218">
        <f t="shared" si="22"/>
        <v>0</v>
      </c>
      <c r="H58" s="206">
        <f t="shared" si="23"/>
        <v>0</v>
      </c>
      <c r="I58" s="207">
        <f t="shared" si="24"/>
        <v>0</v>
      </c>
      <c r="J58" s="203" t="e">
        <f>'ANALISIS OCI'!AC56</f>
        <v>#DIV/0!</v>
      </c>
      <c r="K58" s="204" t="e">
        <f t="shared" si="9"/>
        <v>#DIV/0!</v>
      </c>
      <c r="L58" s="205" t="e">
        <f t="shared" si="6"/>
        <v>#DIV/0!</v>
      </c>
      <c r="M58" s="219"/>
      <c r="N58" s="220">
        <f t="shared" si="25"/>
        <v>0</v>
      </c>
      <c r="O58" s="221"/>
      <c r="P58" s="222">
        <f t="shared" si="26"/>
        <v>0</v>
      </c>
      <c r="Q58" s="208"/>
      <c r="R58" s="209">
        <f t="shared" si="27"/>
        <v>45657</v>
      </c>
      <c r="S58" s="223">
        <f t="shared" si="19"/>
        <v>0.3</v>
      </c>
      <c r="T58" s="167" t="e">
        <f t="shared" si="20"/>
        <v>#DIV/0!</v>
      </c>
      <c r="U58" s="179" t="e">
        <f t="shared" si="8"/>
        <v>#DIV/0!</v>
      </c>
    </row>
    <row r="59" spans="2:21" ht="63" customHeight="1" thickBot="1" x14ac:dyDescent="0.35">
      <c r="B59" s="224" t="s">
        <v>295</v>
      </c>
      <c r="C59" s="216">
        <f>+'ANALISIS OCI'!X57</f>
        <v>0</v>
      </c>
      <c r="D59" s="217">
        <f>+'ANALISIS OCI'!Y57</f>
        <v>0</v>
      </c>
      <c r="E59" s="217">
        <f>+'ANALISIS OCI'!Z57</f>
        <v>0</v>
      </c>
      <c r="F59" s="217">
        <f>+'ANALISIS OCI'!AA57</f>
        <v>0</v>
      </c>
      <c r="G59" s="218">
        <f t="shared" si="22"/>
        <v>0</v>
      </c>
      <c r="H59" s="206">
        <f t="shared" si="23"/>
        <v>0</v>
      </c>
      <c r="I59" s="207">
        <f t="shared" si="24"/>
        <v>0</v>
      </c>
      <c r="J59" s="203" t="e">
        <f>'ANALISIS OCI'!AC57</f>
        <v>#DIV/0!</v>
      </c>
      <c r="K59" s="204" t="e">
        <f t="shared" si="9"/>
        <v>#DIV/0!</v>
      </c>
      <c r="L59" s="205" t="e">
        <f t="shared" si="6"/>
        <v>#DIV/0!</v>
      </c>
      <c r="M59" s="219"/>
      <c r="N59" s="220">
        <f t="shared" si="25"/>
        <v>0</v>
      </c>
      <c r="O59" s="221"/>
      <c r="P59" s="222">
        <f t="shared" si="26"/>
        <v>0</v>
      </c>
      <c r="Q59" s="208"/>
      <c r="R59" s="209">
        <f t="shared" si="27"/>
        <v>45657</v>
      </c>
      <c r="S59" s="223">
        <f t="shared" si="19"/>
        <v>0.3</v>
      </c>
      <c r="T59" s="167" t="e">
        <f t="shared" si="20"/>
        <v>#DIV/0!</v>
      </c>
      <c r="U59" s="179" t="e">
        <f t="shared" si="8"/>
        <v>#DIV/0!</v>
      </c>
    </row>
    <row r="60" spans="2:21" ht="63" customHeight="1" thickBot="1" x14ac:dyDescent="0.35">
      <c r="B60" s="224" t="s">
        <v>296</v>
      </c>
      <c r="C60" s="216">
        <f>+'ANALISIS OCI'!X58</f>
        <v>0</v>
      </c>
      <c r="D60" s="217">
        <f>+'ANALISIS OCI'!Y58</f>
        <v>0</v>
      </c>
      <c r="E60" s="217">
        <f>+'ANALISIS OCI'!Z58</f>
        <v>0</v>
      </c>
      <c r="F60" s="217">
        <f>+'ANALISIS OCI'!AA58</f>
        <v>0</v>
      </c>
      <c r="G60" s="218">
        <f t="shared" si="22"/>
        <v>0</v>
      </c>
      <c r="H60" s="206">
        <f t="shared" si="23"/>
        <v>0</v>
      </c>
      <c r="I60" s="207">
        <f t="shared" si="24"/>
        <v>0</v>
      </c>
      <c r="J60" s="203" t="e">
        <f>'ANALISIS OCI'!AC58</f>
        <v>#DIV/0!</v>
      </c>
      <c r="K60" s="204" t="e">
        <f t="shared" si="9"/>
        <v>#DIV/0!</v>
      </c>
      <c r="L60" s="205" t="e">
        <f t="shared" si="6"/>
        <v>#DIV/0!</v>
      </c>
      <c r="M60" s="219"/>
      <c r="N60" s="220">
        <f t="shared" si="25"/>
        <v>0</v>
      </c>
      <c r="O60" s="221"/>
      <c r="P60" s="222">
        <f t="shared" si="26"/>
        <v>0</v>
      </c>
      <c r="Q60" s="208"/>
      <c r="R60" s="209">
        <f t="shared" si="27"/>
        <v>45657</v>
      </c>
      <c r="S60" s="223">
        <f t="shared" si="19"/>
        <v>0.3</v>
      </c>
      <c r="T60" s="167" t="e">
        <f t="shared" si="20"/>
        <v>#DIV/0!</v>
      </c>
      <c r="U60" s="179" t="e">
        <f t="shared" si="8"/>
        <v>#DIV/0!</v>
      </c>
    </row>
    <row r="61" spans="2:21" ht="63" customHeight="1" thickBot="1" x14ac:dyDescent="0.35">
      <c r="B61" s="224" t="s">
        <v>297</v>
      </c>
      <c r="C61" s="216">
        <f>+'ANALISIS OCI'!X59</f>
        <v>0</v>
      </c>
      <c r="D61" s="217">
        <f>+'ANALISIS OCI'!Y59</f>
        <v>0</v>
      </c>
      <c r="E61" s="217">
        <f>+'ANALISIS OCI'!Z59</f>
        <v>0</v>
      </c>
      <c r="F61" s="217">
        <f>+'ANALISIS OCI'!AA59</f>
        <v>0</v>
      </c>
      <c r="G61" s="218">
        <f t="shared" si="22"/>
        <v>0</v>
      </c>
      <c r="H61" s="206">
        <f t="shared" si="23"/>
        <v>0</v>
      </c>
      <c r="I61" s="207">
        <f t="shared" si="24"/>
        <v>0</v>
      </c>
      <c r="J61" s="203" t="e">
        <f>'ANALISIS OCI'!AC59</f>
        <v>#DIV/0!</v>
      </c>
      <c r="K61" s="204" t="e">
        <f t="shared" si="9"/>
        <v>#DIV/0!</v>
      </c>
      <c r="L61" s="205" t="e">
        <f t="shared" si="6"/>
        <v>#DIV/0!</v>
      </c>
      <c r="M61" s="219"/>
      <c r="N61" s="220">
        <f t="shared" si="25"/>
        <v>0</v>
      </c>
      <c r="O61" s="221"/>
      <c r="P61" s="222">
        <f t="shared" si="26"/>
        <v>0</v>
      </c>
      <c r="Q61" s="208"/>
      <c r="R61" s="209">
        <f t="shared" si="27"/>
        <v>45657</v>
      </c>
      <c r="S61" s="223">
        <f t="shared" si="19"/>
        <v>0.3</v>
      </c>
      <c r="T61" s="167" t="e">
        <f t="shared" si="20"/>
        <v>#DIV/0!</v>
      </c>
      <c r="U61" s="179" t="e">
        <f t="shared" si="8"/>
        <v>#DIV/0!</v>
      </c>
    </row>
    <row r="62" spans="2:21" ht="63" customHeight="1" thickBot="1" x14ac:dyDescent="0.35">
      <c r="B62" s="224" t="s">
        <v>298</v>
      </c>
      <c r="C62" s="216">
        <f>+'ANALISIS OCI'!X60</f>
        <v>0</v>
      </c>
      <c r="D62" s="217">
        <f>+'ANALISIS OCI'!Y60</f>
        <v>0</v>
      </c>
      <c r="E62" s="217">
        <f>+'ANALISIS OCI'!Z60</f>
        <v>0</v>
      </c>
      <c r="F62" s="217">
        <f>+'ANALISIS OCI'!AA60</f>
        <v>0</v>
      </c>
      <c r="G62" s="218">
        <f t="shared" si="22"/>
        <v>0</v>
      </c>
      <c r="H62" s="206">
        <f t="shared" si="23"/>
        <v>0</v>
      </c>
      <c r="I62" s="207">
        <f t="shared" si="24"/>
        <v>0</v>
      </c>
      <c r="J62" s="203" t="e">
        <f>'ANALISIS OCI'!AC60</f>
        <v>#DIV/0!</v>
      </c>
      <c r="K62" s="204" t="e">
        <f t="shared" si="9"/>
        <v>#DIV/0!</v>
      </c>
      <c r="L62" s="205" t="e">
        <f t="shared" si="6"/>
        <v>#DIV/0!</v>
      </c>
      <c r="M62" s="219"/>
      <c r="N62" s="220">
        <f t="shared" si="25"/>
        <v>0</v>
      </c>
      <c r="O62" s="221"/>
      <c r="P62" s="222">
        <f t="shared" si="26"/>
        <v>0</v>
      </c>
      <c r="Q62" s="208"/>
      <c r="R62" s="209">
        <f t="shared" si="27"/>
        <v>45657</v>
      </c>
      <c r="S62" s="223">
        <f t="shared" si="19"/>
        <v>0.3</v>
      </c>
      <c r="T62" s="167" t="e">
        <f t="shared" si="20"/>
        <v>#DIV/0!</v>
      </c>
      <c r="U62" s="179" t="e">
        <f t="shared" si="8"/>
        <v>#DIV/0!</v>
      </c>
    </row>
    <row r="63" spans="2:21" ht="63" customHeight="1" thickBot="1" x14ac:dyDescent="0.35">
      <c r="B63" s="224" t="s">
        <v>299</v>
      </c>
      <c r="C63" s="216">
        <f>+'ANALISIS OCI'!X61</f>
        <v>0</v>
      </c>
      <c r="D63" s="217">
        <f>+'ANALISIS OCI'!Y61</f>
        <v>0</v>
      </c>
      <c r="E63" s="217">
        <f>+'ANALISIS OCI'!Z61</f>
        <v>0</v>
      </c>
      <c r="F63" s="217">
        <f>+'ANALISIS OCI'!AA61</f>
        <v>0</v>
      </c>
      <c r="G63" s="218">
        <f t="shared" si="22"/>
        <v>0</v>
      </c>
      <c r="H63" s="206">
        <f t="shared" si="23"/>
        <v>0</v>
      </c>
      <c r="I63" s="207">
        <f t="shared" si="24"/>
        <v>0</v>
      </c>
      <c r="J63" s="203" t="e">
        <f>'ANALISIS OCI'!AC61</f>
        <v>#DIV/0!</v>
      </c>
      <c r="K63" s="204" t="e">
        <f t="shared" si="9"/>
        <v>#DIV/0!</v>
      </c>
      <c r="L63" s="205" t="e">
        <f t="shared" si="6"/>
        <v>#DIV/0!</v>
      </c>
      <c r="M63" s="219"/>
      <c r="N63" s="220">
        <f t="shared" si="25"/>
        <v>0</v>
      </c>
      <c r="O63" s="221"/>
      <c r="P63" s="222">
        <f t="shared" si="26"/>
        <v>0</v>
      </c>
      <c r="Q63" s="208"/>
      <c r="R63" s="209">
        <f t="shared" si="27"/>
        <v>45657</v>
      </c>
      <c r="S63" s="223">
        <f t="shared" si="19"/>
        <v>0.3</v>
      </c>
      <c r="T63" s="167" t="e">
        <f t="shared" si="20"/>
        <v>#DIV/0!</v>
      </c>
      <c r="U63" s="179" t="e">
        <f t="shared" si="8"/>
        <v>#DIV/0!</v>
      </c>
    </row>
    <row r="64" spans="2:21" ht="63" customHeight="1" thickBot="1" x14ac:dyDescent="0.35">
      <c r="B64" s="224" t="s">
        <v>300</v>
      </c>
      <c r="C64" s="216">
        <f>+'ANALISIS OCI'!X62</f>
        <v>0</v>
      </c>
      <c r="D64" s="217">
        <f>+'ANALISIS OCI'!Y62</f>
        <v>0</v>
      </c>
      <c r="E64" s="217">
        <f>+'ANALISIS OCI'!Z62</f>
        <v>0</v>
      </c>
      <c r="F64" s="217">
        <f>+'ANALISIS OCI'!AA62</f>
        <v>0</v>
      </c>
      <c r="G64" s="218">
        <f t="shared" si="22"/>
        <v>0</v>
      </c>
      <c r="H64" s="206">
        <f t="shared" si="23"/>
        <v>0</v>
      </c>
      <c r="I64" s="207">
        <f t="shared" si="24"/>
        <v>0</v>
      </c>
      <c r="J64" s="203" t="e">
        <f>'ANALISIS OCI'!AC62</f>
        <v>#DIV/0!</v>
      </c>
      <c r="K64" s="204" t="e">
        <f t="shared" si="9"/>
        <v>#DIV/0!</v>
      </c>
      <c r="L64" s="205" t="e">
        <f t="shared" si="6"/>
        <v>#DIV/0!</v>
      </c>
      <c r="M64" s="219"/>
      <c r="N64" s="220">
        <f t="shared" si="25"/>
        <v>0</v>
      </c>
      <c r="O64" s="221"/>
      <c r="P64" s="222">
        <f t="shared" si="26"/>
        <v>0</v>
      </c>
      <c r="Q64" s="208"/>
      <c r="R64" s="209">
        <f t="shared" si="27"/>
        <v>45657</v>
      </c>
      <c r="S64" s="223">
        <f t="shared" si="19"/>
        <v>0.3</v>
      </c>
      <c r="T64" s="167" t="e">
        <f t="shared" si="20"/>
        <v>#DIV/0!</v>
      </c>
      <c r="U64" s="179" t="e">
        <f t="shared" si="8"/>
        <v>#DIV/0!</v>
      </c>
    </row>
    <row r="65" spans="2:21" ht="63" customHeight="1" thickBot="1" x14ac:dyDescent="0.35">
      <c r="B65" s="224" t="s">
        <v>301</v>
      </c>
      <c r="C65" s="216">
        <f>+'ANALISIS OCI'!X63</f>
        <v>0</v>
      </c>
      <c r="D65" s="217">
        <f>+'ANALISIS OCI'!Y63</f>
        <v>0</v>
      </c>
      <c r="E65" s="217">
        <f>+'ANALISIS OCI'!Z63</f>
        <v>0</v>
      </c>
      <c r="F65" s="217">
        <f>+'ANALISIS OCI'!AA63</f>
        <v>0</v>
      </c>
      <c r="G65" s="218">
        <f t="shared" si="22"/>
        <v>0</v>
      </c>
      <c r="H65" s="206">
        <f t="shared" si="23"/>
        <v>0</v>
      </c>
      <c r="I65" s="207">
        <f t="shared" si="24"/>
        <v>0</v>
      </c>
      <c r="J65" s="203" t="e">
        <f>'ANALISIS OCI'!AC63</f>
        <v>#DIV/0!</v>
      </c>
      <c r="K65" s="204" t="e">
        <f t="shared" si="9"/>
        <v>#DIV/0!</v>
      </c>
      <c r="L65" s="205" t="e">
        <f t="shared" si="6"/>
        <v>#DIV/0!</v>
      </c>
      <c r="M65" s="219"/>
      <c r="N65" s="220">
        <f t="shared" si="25"/>
        <v>0</v>
      </c>
      <c r="O65" s="221"/>
      <c r="P65" s="222">
        <f t="shared" si="26"/>
        <v>0</v>
      </c>
      <c r="Q65" s="208"/>
      <c r="R65" s="209">
        <f t="shared" si="27"/>
        <v>45657</v>
      </c>
      <c r="S65" s="223">
        <f t="shared" si="19"/>
        <v>0.3</v>
      </c>
      <c r="T65" s="167" t="e">
        <f t="shared" si="20"/>
        <v>#DIV/0!</v>
      </c>
      <c r="U65" s="179" t="e">
        <f t="shared" si="8"/>
        <v>#DIV/0!</v>
      </c>
    </row>
    <row r="66" spans="2:21" ht="63" customHeight="1" thickBot="1" x14ac:dyDescent="0.35">
      <c r="B66" s="224" t="s">
        <v>302</v>
      </c>
      <c r="C66" s="216">
        <f>+'ANALISIS OCI'!X64</f>
        <v>0</v>
      </c>
      <c r="D66" s="217">
        <f>+'ANALISIS OCI'!Y64</f>
        <v>0</v>
      </c>
      <c r="E66" s="217">
        <f>+'ANALISIS OCI'!Z64</f>
        <v>0</v>
      </c>
      <c r="F66" s="217">
        <f>+'ANALISIS OCI'!AA64</f>
        <v>0</v>
      </c>
      <c r="G66" s="218">
        <f t="shared" si="22"/>
        <v>0</v>
      </c>
      <c r="H66" s="206">
        <f t="shared" si="23"/>
        <v>0</v>
      </c>
      <c r="I66" s="207">
        <f t="shared" si="24"/>
        <v>0</v>
      </c>
      <c r="J66" s="203" t="e">
        <f>'ANALISIS OCI'!AC64</f>
        <v>#DIV/0!</v>
      </c>
      <c r="K66" s="204" t="e">
        <f t="shared" si="9"/>
        <v>#DIV/0!</v>
      </c>
      <c r="L66" s="205" t="e">
        <f t="shared" si="6"/>
        <v>#DIV/0!</v>
      </c>
      <c r="M66" s="219"/>
      <c r="N66" s="220">
        <f t="shared" si="25"/>
        <v>0</v>
      </c>
      <c r="O66" s="221"/>
      <c r="P66" s="222">
        <f t="shared" si="26"/>
        <v>0</v>
      </c>
      <c r="Q66" s="208"/>
      <c r="R66" s="209">
        <f t="shared" si="27"/>
        <v>45657</v>
      </c>
      <c r="S66" s="223">
        <f t="shared" si="19"/>
        <v>0.3</v>
      </c>
      <c r="T66" s="167" t="e">
        <f t="shared" si="20"/>
        <v>#DIV/0!</v>
      </c>
      <c r="U66" s="179" t="e">
        <f t="shared" si="8"/>
        <v>#DIV/0!</v>
      </c>
    </row>
    <row r="67" spans="2:21" ht="63" customHeight="1" thickBot="1" x14ac:dyDescent="0.35">
      <c r="B67" s="224" t="s">
        <v>303</v>
      </c>
      <c r="C67" s="216">
        <f>+'ANALISIS OCI'!X65</f>
        <v>0</v>
      </c>
      <c r="D67" s="217">
        <f>+'ANALISIS OCI'!Y65</f>
        <v>0</v>
      </c>
      <c r="E67" s="217">
        <f>+'ANALISIS OCI'!Z65</f>
        <v>0</v>
      </c>
      <c r="F67" s="217">
        <f>+'ANALISIS OCI'!AA65</f>
        <v>0</v>
      </c>
      <c r="G67" s="218">
        <f t="shared" si="22"/>
        <v>0</v>
      </c>
      <c r="H67" s="206">
        <f t="shared" si="23"/>
        <v>0</v>
      </c>
      <c r="I67" s="207">
        <f t="shared" si="24"/>
        <v>0</v>
      </c>
      <c r="J67" s="203" t="e">
        <f>'ANALISIS OCI'!AC65</f>
        <v>#DIV/0!</v>
      </c>
      <c r="K67" s="204" t="e">
        <f t="shared" si="9"/>
        <v>#DIV/0!</v>
      </c>
      <c r="L67" s="205" t="e">
        <f t="shared" si="6"/>
        <v>#DIV/0!</v>
      </c>
      <c r="M67" s="219"/>
      <c r="N67" s="220">
        <f t="shared" si="25"/>
        <v>0</v>
      </c>
      <c r="O67" s="221"/>
      <c r="P67" s="222">
        <f t="shared" si="26"/>
        <v>0</v>
      </c>
      <c r="Q67" s="208"/>
      <c r="R67" s="209">
        <f t="shared" si="27"/>
        <v>45657</v>
      </c>
      <c r="S67" s="223">
        <f t="shared" si="19"/>
        <v>0.3</v>
      </c>
      <c r="T67" s="167" t="e">
        <f t="shared" si="20"/>
        <v>#DIV/0!</v>
      </c>
      <c r="U67" s="179" t="e">
        <f t="shared" si="8"/>
        <v>#DIV/0!</v>
      </c>
    </row>
    <row r="68" spans="2:21" ht="63" customHeight="1" thickBot="1" x14ac:dyDescent="0.35">
      <c r="B68" s="224" t="s">
        <v>304</v>
      </c>
      <c r="C68" s="216">
        <f>+'ANALISIS OCI'!X66</f>
        <v>0</v>
      </c>
      <c r="D68" s="217">
        <f>+'ANALISIS OCI'!Y66</f>
        <v>0</v>
      </c>
      <c r="E68" s="217">
        <f>+'ANALISIS OCI'!Z66</f>
        <v>0</v>
      </c>
      <c r="F68" s="217">
        <f>+'ANALISIS OCI'!AA66</f>
        <v>0</v>
      </c>
      <c r="G68" s="218">
        <f t="shared" si="22"/>
        <v>0</v>
      </c>
      <c r="H68" s="206">
        <f t="shared" si="23"/>
        <v>0</v>
      </c>
      <c r="I68" s="207">
        <f t="shared" si="24"/>
        <v>0</v>
      </c>
      <c r="J68" s="203" t="e">
        <f>'ANALISIS OCI'!AC66</f>
        <v>#DIV/0!</v>
      </c>
      <c r="K68" s="204" t="e">
        <f t="shared" si="9"/>
        <v>#DIV/0!</v>
      </c>
      <c r="L68" s="205" t="e">
        <f t="shared" si="6"/>
        <v>#DIV/0!</v>
      </c>
      <c r="M68" s="219"/>
      <c r="N68" s="220">
        <f t="shared" si="25"/>
        <v>0</v>
      </c>
      <c r="O68" s="221"/>
      <c r="P68" s="222">
        <f t="shared" si="26"/>
        <v>0</v>
      </c>
      <c r="Q68" s="208"/>
      <c r="R68" s="209">
        <f t="shared" si="27"/>
        <v>45657</v>
      </c>
      <c r="S68" s="223">
        <f t="shared" si="19"/>
        <v>0.3</v>
      </c>
      <c r="T68" s="167" t="e">
        <f t="shared" si="20"/>
        <v>#DIV/0!</v>
      </c>
      <c r="U68" s="179" t="e">
        <f t="shared" si="8"/>
        <v>#DIV/0!</v>
      </c>
    </row>
    <row r="69" spans="2:21" ht="63" customHeight="1" thickBot="1" x14ac:dyDescent="0.35">
      <c r="B69" s="224" t="s">
        <v>305</v>
      </c>
      <c r="C69" s="216">
        <f>+'ANALISIS OCI'!X67</f>
        <v>0</v>
      </c>
      <c r="D69" s="217">
        <f>+'ANALISIS OCI'!Y67</f>
        <v>0</v>
      </c>
      <c r="E69" s="217">
        <f>+'ANALISIS OCI'!Z67</f>
        <v>0</v>
      </c>
      <c r="F69" s="217">
        <f>+'ANALISIS OCI'!AA67</f>
        <v>0</v>
      </c>
      <c r="G69" s="218">
        <f t="shared" si="22"/>
        <v>0</v>
      </c>
      <c r="H69" s="206">
        <f t="shared" si="23"/>
        <v>0</v>
      </c>
      <c r="I69" s="207">
        <f t="shared" si="24"/>
        <v>0</v>
      </c>
      <c r="J69" s="203" t="e">
        <f>'ANALISIS OCI'!AC67</f>
        <v>#DIV/0!</v>
      </c>
      <c r="K69" s="204" t="e">
        <f t="shared" si="9"/>
        <v>#DIV/0!</v>
      </c>
      <c r="L69" s="205" t="e">
        <f t="shared" si="6"/>
        <v>#DIV/0!</v>
      </c>
      <c r="M69" s="219"/>
      <c r="N69" s="220">
        <f t="shared" si="25"/>
        <v>0</v>
      </c>
      <c r="O69" s="221"/>
      <c r="P69" s="222">
        <f t="shared" si="26"/>
        <v>0</v>
      </c>
      <c r="Q69" s="208"/>
      <c r="R69" s="209">
        <f t="shared" si="27"/>
        <v>45657</v>
      </c>
      <c r="S69" s="223">
        <f t="shared" si="19"/>
        <v>0.3</v>
      </c>
      <c r="T69" s="167" t="e">
        <f t="shared" si="20"/>
        <v>#DIV/0!</v>
      </c>
      <c r="U69" s="179" t="e">
        <f t="shared" si="8"/>
        <v>#DIV/0!</v>
      </c>
    </row>
    <row r="70" spans="2:21" ht="63" customHeight="1" thickBot="1" x14ac:dyDescent="0.35">
      <c r="B70" s="224" t="s">
        <v>306</v>
      </c>
      <c r="C70" s="216">
        <f>+'ANALISIS OCI'!X68</f>
        <v>0</v>
      </c>
      <c r="D70" s="217">
        <f>+'ANALISIS OCI'!Y68</f>
        <v>0</v>
      </c>
      <c r="E70" s="217">
        <f>+'ANALISIS OCI'!Z68</f>
        <v>0</v>
      </c>
      <c r="F70" s="217">
        <f>+'ANALISIS OCI'!AA68</f>
        <v>0</v>
      </c>
      <c r="G70" s="218">
        <f t="shared" si="22"/>
        <v>0</v>
      </c>
      <c r="H70" s="206">
        <f t="shared" si="23"/>
        <v>0</v>
      </c>
      <c r="I70" s="207">
        <f t="shared" si="24"/>
        <v>0</v>
      </c>
      <c r="J70" s="203" t="e">
        <f>'ANALISIS OCI'!AC68</f>
        <v>#DIV/0!</v>
      </c>
      <c r="K70" s="204" t="e">
        <f t="shared" si="9"/>
        <v>#DIV/0!</v>
      </c>
      <c r="L70" s="205" t="e">
        <f t="shared" si="6"/>
        <v>#DIV/0!</v>
      </c>
      <c r="M70" s="219"/>
      <c r="N70" s="220">
        <f t="shared" si="25"/>
        <v>0</v>
      </c>
      <c r="O70" s="221"/>
      <c r="P70" s="222">
        <f t="shared" si="26"/>
        <v>0</v>
      </c>
      <c r="Q70" s="208"/>
      <c r="R70" s="209">
        <f t="shared" si="27"/>
        <v>45657</v>
      </c>
      <c r="S70" s="223">
        <f t="shared" si="19"/>
        <v>0.3</v>
      </c>
      <c r="T70" s="167" t="e">
        <f t="shared" si="20"/>
        <v>#DIV/0!</v>
      </c>
      <c r="U70" s="179" t="e">
        <f t="shared" si="8"/>
        <v>#DIV/0!</v>
      </c>
    </row>
    <row r="71" spans="2:21" ht="63" customHeight="1" thickBot="1" x14ac:dyDescent="0.35">
      <c r="B71" s="224" t="s">
        <v>307</v>
      </c>
      <c r="C71" s="216">
        <f>+'ANALISIS OCI'!X69</f>
        <v>0</v>
      </c>
      <c r="D71" s="217">
        <f>+'ANALISIS OCI'!Y69</f>
        <v>0</v>
      </c>
      <c r="E71" s="217">
        <f>+'ANALISIS OCI'!Z69</f>
        <v>0</v>
      </c>
      <c r="F71" s="217">
        <f>+'ANALISIS OCI'!AA69</f>
        <v>0</v>
      </c>
      <c r="G71" s="218">
        <f t="shared" si="22"/>
        <v>0</v>
      </c>
      <c r="H71" s="206">
        <f t="shared" si="23"/>
        <v>0</v>
      </c>
      <c r="I71" s="207">
        <f t="shared" si="24"/>
        <v>0</v>
      </c>
      <c r="J71" s="203" t="e">
        <f>'ANALISIS OCI'!AC69</f>
        <v>#DIV/0!</v>
      </c>
      <c r="K71" s="204" t="e">
        <f t="shared" si="9"/>
        <v>#DIV/0!</v>
      </c>
      <c r="L71" s="205" t="e">
        <f t="shared" si="6"/>
        <v>#DIV/0!</v>
      </c>
      <c r="M71" s="219"/>
      <c r="N71" s="220">
        <f t="shared" si="25"/>
        <v>0</v>
      </c>
      <c r="O71" s="221"/>
      <c r="P71" s="222">
        <f t="shared" si="26"/>
        <v>0</v>
      </c>
      <c r="Q71" s="208"/>
      <c r="R71" s="209">
        <f t="shared" si="27"/>
        <v>45657</v>
      </c>
      <c r="S71" s="223">
        <f t="shared" si="19"/>
        <v>0.3</v>
      </c>
      <c r="T71" s="167" t="e">
        <f t="shared" si="20"/>
        <v>#DIV/0!</v>
      </c>
      <c r="U71" s="179" t="e">
        <f t="shared" si="8"/>
        <v>#DIV/0!</v>
      </c>
    </row>
    <row r="72" spans="2:21" ht="63" customHeight="1" thickBot="1" x14ac:dyDescent="0.35">
      <c r="B72" s="224" t="s">
        <v>308</v>
      </c>
      <c r="C72" s="216">
        <f>+'ANALISIS OCI'!X70</f>
        <v>0</v>
      </c>
      <c r="D72" s="217">
        <f>+'ANALISIS OCI'!Y70</f>
        <v>0</v>
      </c>
      <c r="E72" s="217">
        <f>+'ANALISIS OCI'!Z70</f>
        <v>0</v>
      </c>
      <c r="F72" s="217">
        <f>+'ANALISIS OCI'!AA70</f>
        <v>0</v>
      </c>
      <c r="G72" s="218">
        <f t="shared" si="22"/>
        <v>0</v>
      </c>
      <c r="H72" s="206">
        <f t="shared" si="23"/>
        <v>0</v>
      </c>
      <c r="I72" s="207">
        <f t="shared" si="24"/>
        <v>0</v>
      </c>
      <c r="J72" s="203" t="e">
        <f>'ANALISIS OCI'!AC70</f>
        <v>#DIV/0!</v>
      </c>
      <c r="K72" s="204" t="e">
        <f t="shared" si="9"/>
        <v>#DIV/0!</v>
      </c>
      <c r="L72" s="205" t="e">
        <f t="shared" si="6"/>
        <v>#DIV/0!</v>
      </c>
      <c r="M72" s="219"/>
      <c r="N72" s="220">
        <f t="shared" si="25"/>
        <v>0</v>
      </c>
      <c r="O72" s="221"/>
      <c r="P72" s="222">
        <f t="shared" si="26"/>
        <v>0</v>
      </c>
      <c r="Q72" s="208"/>
      <c r="R72" s="209">
        <f t="shared" si="27"/>
        <v>45657</v>
      </c>
      <c r="S72" s="223">
        <f t="shared" si="19"/>
        <v>0.3</v>
      </c>
      <c r="T72" s="167" t="e">
        <f t="shared" si="20"/>
        <v>#DIV/0!</v>
      </c>
      <c r="U72" s="179" t="e">
        <f t="shared" si="8"/>
        <v>#DIV/0!</v>
      </c>
    </row>
    <row r="73" spans="2:21" ht="63" customHeight="1" thickBot="1" x14ac:dyDescent="0.35">
      <c r="B73" s="224" t="s">
        <v>309</v>
      </c>
      <c r="C73" s="216">
        <f>+'ANALISIS OCI'!X71</f>
        <v>0</v>
      </c>
      <c r="D73" s="217">
        <f>+'ANALISIS OCI'!Y71</f>
        <v>0</v>
      </c>
      <c r="E73" s="217">
        <f>+'ANALISIS OCI'!Z71</f>
        <v>0</v>
      </c>
      <c r="F73" s="217">
        <f>+'ANALISIS OCI'!AA71</f>
        <v>0</v>
      </c>
      <c r="G73" s="218">
        <f t="shared" si="22"/>
        <v>0</v>
      </c>
      <c r="H73" s="206">
        <f t="shared" si="23"/>
        <v>0</v>
      </c>
      <c r="I73" s="207">
        <f t="shared" si="24"/>
        <v>0</v>
      </c>
      <c r="J73" s="203" t="e">
        <f>'ANALISIS OCI'!AC71</f>
        <v>#DIV/0!</v>
      </c>
      <c r="K73" s="204" t="e">
        <f t="shared" si="9"/>
        <v>#DIV/0!</v>
      </c>
      <c r="L73" s="205" t="e">
        <f t="shared" si="6"/>
        <v>#DIV/0!</v>
      </c>
      <c r="M73" s="219"/>
      <c r="N73" s="220">
        <f t="shared" si="25"/>
        <v>0</v>
      </c>
      <c r="O73" s="221"/>
      <c r="P73" s="222">
        <f t="shared" si="26"/>
        <v>0</v>
      </c>
      <c r="Q73" s="208"/>
      <c r="R73" s="209">
        <f t="shared" si="27"/>
        <v>45657</v>
      </c>
      <c r="S73" s="223">
        <f t="shared" si="19"/>
        <v>0.3</v>
      </c>
      <c r="T73" s="167" t="e">
        <f t="shared" si="20"/>
        <v>#DIV/0!</v>
      </c>
      <c r="U73" s="179" t="e">
        <f t="shared" si="8"/>
        <v>#DIV/0!</v>
      </c>
    </row>
    <row r="74" spans="2:21" ht="63" customHeight="1" thickBot="1" x14ac:dyDescent="0.35">
      <c r="B74" s="224" t="s">
        <v>310</v>
      </c>
      <c r="C74" s="216">
        <f>+'ANALISIS OCI'!X72</f>
        <v>0</v>
      </c>
      <c r="D74" s="217">
        <f>+'ANALISIS OCI'!Y72</f>
        <v>0</v>
      </c>
      <c r="E74" s="217">
        <f>+'ANALISIS OCI'!Z72</f>
        <v>0</v>
      </c>
      <c r="F74" s="217">
        <f>+'ANALISIS OCI'!AA72</f>
        <v>0</v>
      </c>
      <c r="G74" s="218">
        <f t="shared" si="22"/>
        <v>0</v>
      </c>
      <c r="H74" s="206">
        <f t="shared" si="23"/>
        <v>0</v>
      </c>
      <c r="I74" s="207">
        <f t="shared" si="24"/>
        <v>0</v>
      </c>
      <c r="J74" s="203" t="e">
        <f>'ANALISIS OCI'!AC72</f>
        <v>#DIV/0!</v>
      </c>
      <c r="K74" s="204" t="e">
        <f t="shared" si="9"/>
        <v>#DIV/0!</v>
      </c>
      <c r="L74" s="205" t="e">
        <f t="shared" si="6"/>
        <v>#DIV/0!</v>
      </c>
      <c r="M74" s="219"/>
      <c r="N74" s="220">
        <f t="shared" si="25"/>
        <v>0</v>
      </c>
      <c r="O74" s="221"/>
      <c r="P74" s="222">
        <f t="shared" si="26"/>
        <v>0</v>
      </c>
      <c r="Q74" s="208"/>
      <c r="R74" s="209">
        <f t="shared" si="27"/>
        <v>45657</v>
      </c>
      <c r="S74" s="223">
        <f t="shared" si="19"/>
        <v>0.3</v>
      </c>
      <c r="T74" s="167" t="e">
        <f t="shared" si="20"/>
        <v>#DIV/0!</v>
      </c>
      <c r="U74" s="179" t="e">
        <f t="shared" si="8"/>
        <v>#DIV/0!</v>
      </c>
    </row>
    <row r="75" spans="2:21" ht="63" customHeight="1" thickBot="1" x14ac:dyDescent="0.35">
      <c r="B75" s="224" t="s">
        <v>311</v>
      </c>
      <c r="C75" s="216">
        <f>+'ANALISIS OCI'!X73</f>
        <v>0</v>
      </c>
      <c r="D75" s="217">
        <f>+'ANALISIS OCI'!Y73</f>
        <v>0</v>
      </c>
      <c r="E75" s="217">
        <f>+'ANALISIS OCI'!Z73</f>
        <v>0</v>
      </c>
      <c r="F75" s="217">
        <f>+'ANALISIS OCI'!AA73</f>
        <v>0</v>
      </c>
      <c r="G75" s="218">
        <f t="shared" si="22"/>
        <v>0</v>
      </c>
      <c r="H75" s="206">
        <f t="shared" si="23"/>
        <v>0</v>
      </c>
      <c r="I75" s="207">
        <f t="shared" si="24"/>
        <v>0</v>
      </c>
      <c r="J75" s="203" t="e">
        <f>'ANALISIS OCI'!AC73</f>
        <v>#DIV/0!</v>
      </c>
      <c r="K75" s="204" t="e">
        <f t="shared" si="9"/>
        <v>#DIV/0!</v>
      </c>
      <c r="L75" s="205" t="e">
        <f t="shared" si="6"/>
        <v>#DIV/0!</v>
      </c>
      <c r="M75" s="219"/>
      <c r="N75" s="220">
        <f t="shared" si="25"/>
        <v>0</v>
      </c>
      <c r="O75" s="221"/>
      <c r="P75" s="222">
        <f t="shared" si="26"/>
        <v>0</v>
      </c>
      <c r="Q75" s="208"/>
      <c r="R75" s="209">
        <f t="shared" si="27"/>
        <v>45657</v>
      </c>
      <c r="S75" s="223">
        <f t="shared" si="19"/>
        <v>0.3</v>
      </c>
      <c r="T75" s="167" t="e">
        <f t="shared" si="20"/>
        <v>#DIV/0!</v>
      </c>
      <c r="U75" s="179" t="e">
        <f t="shared" si="8"/>
        <v>#DIV/0!</v>
      </c>
    </row>
    <row r="76" spans="2:21" ht="63" customHeight="1" thickBot="1" x14ac:dyDescent="0.35">
      <c r="B76" s="224" t="s">
        <v>312</v>
      </c>
      <c r="C76" s="216">
        <f>+'ANALISIS OCI'!X74</f>
        <v>0</v>
      </c>
      <c r="D76" s="217">
        <f>+'ANALISIS OCI'!Y74</f>
        <v>0</v>
      </c>
      <c r="E76" s="217">
        <f>+'ANALISIS OCI'!Z74</f>
        <v>0</v>
      </c>
      <c r="F76" s="217">
        <f>+'ANALISIS OCI'!AA74</f>
        <v>0</v>
      </c>
      <c r="G76" s="218">
        <f t="shared" si="22"/>
        <v>0</v>
      </c>
      <c r="H76" s="206">
        <f t="shared" si="23"/>
        <v>0</v>
      </c>
      <c r="I76" s="207">
        <f t="shared" si="24"/>
        <v>0</v>
      </c>
      <c r="J76" s="203" t="e">
        <f>'ANALISIS OCI'!AC74</f>
        <v>#DIV/0!</v>
      </c>
      <c r="K76" s="204" t="e">
        <f t="shared" si="9"/>
        <v>#DIV/0!</v>
      </c>
      <c r="L76" s="205" t="e">
        <f t="shared" si="6"/>
        <v>#DIV/0!</v>
      </c>
      <c r="M76" s="219"/>
      <c r="N76" s="220">
        <f t="shared" si="25"/>
        <v>0</v>
      </c>
      <c r="O76" s="221"/>
      <c r="P76" s="222">
        <f t="shared" si="26"/>
        <v>0</v>
      </c>
      <c r="Q76" s="208"/>
      <c r="R76" s="209">
        <f t="shared" si="27"/>
        <v>45657</v>
      </c>
      <c r="S76" s="223">
        <f t="shared" si="19"/>
        <v>0.3</v>
      </c>
      <c r="T76" s="167" t="e">
        <f t="shared" si="20"/>
        <v>#DIV/0!</v>
      </c>
      <c r="U76" s="179" t="e">
        <f t="shared" si="8"/>
        <v>#DIV/0!</v>
      </c>
    </row>
    <row r="77" spans="2:21" ht="63" customHeight="1" thickBot="1" x14ac:dyDescent="0.35">
      <c r="B77" s="224" t="s">
        <v>313</v>
      </c>
      <c r="C77" s="216">
        <f>+'ANALISIS OCI'!X75</f>
        <v>0</v>
      </c>
      <c r="D77" s="217">
        <f>+'ANALISIS OCI'!Y75</f>
        <v>0</v>
      </c>
      <c r="E77" s="217">
        <f>+'ANALISIS OCI'!Z75</f>
        <v>0</v>
      </c>
      <c r="F77" s="217">
        <f>+'ANALISIS OCI'!AA75</f>
        <v>0</v>
      </c>
      <c r="G77" s="218">
        <f t="shared" si="22"/>
        <v>0</v>
      </c>
      <c r="H77" s="206">
        <f t="shared" si="23"/>
        <v>0</v>
      </c>
      <c r="I77" s="207">
        <f t="shared" si="24"/>
        <v>0</v>
      </c>
      <c r="J77" s="203" t="e">
        <f>'ANALISIS OCI'!AC75</f>
        <v>#DIV/0!</v>
      </c>
      <c r="K77" s="204" t="e">
        <f t="shared" si="9"/>
        <v>#DIV/0!</v>
      </c>
      <c r="L77" s="205" t="e">
        <f t="shared" si="6"/>
        <v>#DIV/0!</v>
      </c>
      <c r="M77" s="219"/>
      <c r="N77" s="220">
        <f t="shared" si="25"/>
        <v>0</v>
      </c>
      <c r="O77" s="221"/>
      <c r="P77" s="222">
        <f t="shared" si="26"/>
        <v>0</v>
      </c>
      <c r="Q77" s="208"/>
      <c r="R77" s="209">
        <f t="shared" si="27"/>
        <v>45657</v>
      </c>
      <c r="S77" s="223">
        <f t="shared" si="19"/>
        <v>0.3</v>
      </c>
      <c r="T77" s="167" t="e">
        <f t="shared" si="20"/>
        <v>#DIV/0!</v>
      </c>
      <c r="U77" s="179" t="e">
        <f t="shared" si="8"/>
        <v>#DIV/0!</v>
      </c>
    </row>
    <row r="78" spans="2:21" ht="63" customHeight="1" thickBot="1" x14ac:dyDescent="0.35">
      <c r="B78" s="224" t="s">
        <v>314</v>
      </c>
      <c r="C78" s="216">
        <f>+'ANALISIS OCI'!X76</f>
        <v>0</v>
      </c>
      <c r="D78" s="217">
        <f>+'ANALISIS OCI'!Y76</f>
        <v>0</v>
      </c>
      <c r="E78" s="217">
        <f>+'ANALISIS OCI'!Z76</f>
        <v>0</v>
      </c>
      <c r="F78" s="217">
        <f>+'ANALISIS OCI'!AA76</f>
        <v>0</v>
      </c>
      <c r="G78" s="218">
        <f t="shared" si="22"/>
        <v>0</v>
      </c>
      <c r="H78" s="206">
        <f t="shared" si="23"/>
        <v>0</v>
      </c>
      <c r="I78" s="207">
        <f t="shared" si="24"/>
        <v>0</v>
      </c>
      <c r="J78" s="203" t="e">
        <f>'ANALISIS OCI'!AC76</f>
        <v>#DIV/0!</v>
      </c>
      <c r="K78" s="204" t="e">
        <f t="shared" si="9"/>
        <v>#DIV/0!</v>
      </c>
      <c r="L78" s="205" t="e">
        <f t="shared" ref="L78:L90" si="28">IF(I78=0,K78,I78)</f>
        <v>#DIV/0!</v>
      </c>
      <c r="M78" s="219"/>
      <c r="N78" s="220">
        <f t="shared" si="25"/>
        <v>0</v>
      </c>
      <c r="O78" s="221"/>
      <c r="P78" s="222">
        <f t="shared" si="26"/>
        <v>0</v>
      </c>
      <c r="Q78" s="208"/>
      <c r="R78" s="209">
        <f t="shared" si="27"/>
        <v>45657</v>
      </c>
      <c r="S78" s="223">
        <f t="shared" si="19"/>
        <v>0.3</v>
      </c>
      <c r="T78" s="167" t="e">
        <f t="shared" si="20"/>
        <v>#DIV/0!</v>
      </c>
      <c r="U78" s="179" t="e">
        <f t="shared" ref="U78:U92" si="29">+IF(T78&gt;=85%,$AB$12,IF(AND( T78&gt;65%,T78&lt;85%),$AB$13,$AB$14))</f>
        <v>#DIV/0!</v>
      </c>
    </row>
    <row r="79" spans="2:21" ht="63" customHeight="1" thickBot="1" x14ac:dyDescent="0.35">
      <c r="B79" s="224" t="s">
        <v>315</v>
      </c>
      <c r="C79" s="216">
        <f>+'ANALISIS OCI'!X77</f>
        <v>0</v>
      </c>
      <c r="D79" s="217">
        <f>+'ANALISIS OCI'!Y77</f>
        <v>0</v>
      </c>
      <c r="E79" s="217">
        <f>+'ANALISIS OCI'!Z77</f>
        <v>0</v>
      </c>
      <c r="F79" s="217">
        <f>+'ANALISIS OCI'!AA77</f>
        <v>0</v>
      </c>
      <c r="G79" s="218">
        <f t="shared" si="22"/>
        <v>0</v>
      </c>
      <c r="H79" s="206">
        <f t="shared" si="23"/>
        <v>0</v>
      </c>
      <c r="I79" s="207">
        <f t="shared" si="24"/>
        <v>0</v>
      </c>
      <c r="J79" s="203" t="e">
        <f>'ANALISIS OCI'!AC77</f>
        <v>#DIV/0!</v>
      </c>
      <c r="K79" s="204" t="e">
        <f t="shared" ref="K79:K90" si="30">(IF(J79="Extremo",50%,(IF(J79="Alto",40%,IF(J79="Moderado",15%,IF(J79="Bajo",10%,0))))))</f>
        <v>#DIV/0!</v>
      </c>
      <c r="L79" s="205" t="e">
        <f t="shared" si="28"/>
        <v>#DIV/0!</v>
      </c>
      <c r="M79" s="219"/>
      <c r="N79" s="220">
        <f t="shared" si="25"/>
        <v>0</v>
      </c>
      <c r="O79" s="221"/>
      <c r="P79" s="222">
        <f t="shared" si="26"/>
        <v>0</v>
      </c>
      <c r="Q79" s="208"/>
      <c r="R79" s="209">
        <f t="shared" si="27"/>
        <v>45657</v>
      </c>
      <c r="S79" s="223">
        <f t="shared" si="19"/>
        <v>0.3</v>
      </c>
      <c r="T79" s="167" t="e">
        <f t="shared" si="20"/>
        <v>#DIV/0!</v>
      </c>
      <c r="U79" s="179" t="e">
        <f t="shared" si="29"/>
        <v>#DIV/0!</v>
      </c>
    </row>
    <row r="80" spans="2:21" ht="63" customHeight="1" thickBot="1" x14ac:dyDescent="0.35">
      <c r="B80" s="224" t="s">
        <v>316</v>
      </c>
      <c r="C80" s="216">
        <f>+'ANALISIS OCI'!X78</f>
        <v>0</v>
      </c>
      <c r="D80" s="217">
        <f>+'ANALISIS OCI'!Y78</f>
        <v>0</v>
      </c>
      <c r="E80" s="217">
        <f>+'ANALISIS OCI'!Z78</f>
        <v>0</v>
      </c>
      <c r="F80" s="217">
        <f>+'ANALISIS OCI'!AA78</f>
        <v>0</v>
      </c>
      <c r="G80" s="218">
        <f t="shared" si="22"/>
        <v>0</v>
      </c>
      <c r="H80" s="206">
        <f t="shared" si="23"/>
        <v>0</v>
      </c>
      <c r="I80" s="207">
        <f t="shared" si="24"/>
        <v>0</v>
      </c>
      <c r="J80" s="203" t="e">
        <f>'ANALISIS OCI'!AC78</f>
        <v>#DIV/0!</v>
      </c>
      <c r="K80" s="204" t="e">
        <f t="shared" si="30"/>
        <v>#DIV/0!</v>
      </c>
      <c r="L80" s="205" t="e">
        <f t="shared" si="28"/>
        <v>#DIV/0!</v>
      </c>
      <c r="M80" s="219"/>
      <c r="N80" s="220">
        <f t="shared" si="25"/>
        <v>0</v>
      </c>
      <c r="O80" s="221"/>
      <c r="P80" s="222">
        <f t="shared" si="26"/>
        <v>0</v>
      </c>
      <c r="Q80" s="208"/>
      <c r="R80" s="209">
        <f t="shared" si="27"/>
        <v>45657</v>
      </c>
      <c r="S80" s="223">
        <f t="shared" si="19"/>
        <v>0.3</v>
      </c>
      <c r="T80" s="167" t="e">
        <f t="shared" si="20"/>
        <v>#DIV/0!</v>
      </c>
      <c r="U80" s="179" t="e">
        <f t="shared" si="29"/>
        <v>#DIV/0!</v>
      </c>
    </row>
    <row r="81" spans="2:21" ht="63" customHeight="1" thickBot="1" x14ac:dyDescent="0.35">
      <c r="B81" s="224" t="s">
        <v>317</v>
      </c>
      <c r="C81" s="216">
        <f>+'ANALISIS OCI'!X79</f>
        <v>0</v>
      </c>
      <c r="D81" s="217">
        <f>+'ANALISIS OCI'!Y79</f>
        <v>0</v>
      </c>
      <c r="E81" s="217">
        <f>+'ANALISIS OCI'!Z79</f>
        <v>0</v>
      </c>
      <c r="F81" s="217">
        <f>+'ANALISIS OCI'!AA79</f>
        <v>0</v>
      </c>
      <c r="G81" s="218">
        <f t="shared" si="22"/>
        <v>0</v>
      </c>
      <c r="H81" s="206">
        <f t="shared" si="23"/>
        <v>0</v>
      </c>
      <c r="I81" s="207">
        <f t="shared" si="24"/>
        <v>0</v>
      </c>
      <c r="J81" s="203" t="e">
        <f>'ANALISIS OCI'!AC79</f>
        <v>#DIV/0!</v>
      </c>
      <c r="K81" s="204" t="e">
        <f t="shared" si="30"/>
        <v>#DIV/0!</v>
      </c>
      <c r="L81" s="205" t="e">
        <f t="shared" si="28"/>
        <v>#DIV/0!</v>
      </c>
      <c r="M81" s="219"/>
      <c r="N81" s="220">
        <f t="shared" si="25"/>
        <v>0</v>
      </c>
      <c r="O81" s="221"/>
      <c r="P81" s="222">
        <f t="shared" si="26"/>
        <v>0</v>
      </c>
      <c r="Q81" s="208"/>
      <c r="R81" s="209">
        <f t="shared" si="27"/>
        <v>45657</v>
      </c>
      <c r="S81" s="223">
        <f t="shared" si="19"/>
        <v>0.3</v>
      </c>
      <c r="T81" s="167" t="e">
        <f t="shared" si="20"/>
        <v>#DIV/0!</v>
      </c>
      <c r="U81" s="179" t="e">
        <f t="shared" si="29"/>
        <v>#DIV/0!</v>
      </c>
    </row>
    <row r="82" spans="2:21" ht="63" customHeight="1" thickBot="1" x14ac:dyDescent="0.35">
      <c r="B82" s="224" t="s">
        <v>318</v>
      </c>
      <c r="C82" s="216">
        <f>+'ANALISIS OCI'!X80</f>
        <v>0</v>
      </c>
      <c r="D82" s="217">
        <f>+'ANALISIS OCI'!Y80</f>
        <v>0</v>
      </c>
      <c r="E82" s="217">
        <f>+'ANALISIS OCI'!Z80</f>
        <v>0</v>
      </c>
      <c r="F82" s="217">
        <f>+'ANALISIS OCI'!AA80</f>
        <v>0</v>
      </c>
      <c r="G82" s="218">
        <f t="shared" si="22"/>
        <v>0</v>
      </c>
      <c r="H82" s="206">
        <f t="shared" si="23"/>
        <v>0</v>
      </c>
      <c r="I82" s="207">
        <f t="shared" si="24"/>
        <v>0</v>
      </c>
      <c r="J82" s="203" t="e">
        <f>'ANALISIS OCI'!AC80</f>
        <v>#DIV/0!</v>
      </c>
      <c r="K82" s="204" t="e">
        <f t="shared" si="30"/>
        <v>#DIV/0!</v>
      </c>
      <c r="L82" s="205" t="e">
        <f t="shared" si="28"/>
        <v>#DIV/0!</v>
      </c>
      <c r="M82" s="219"/>
      <c r="N82" s="220">
        <f t="shared" si="25"/>
        <v>0</v>
      </c>
      <c r="O82" s="221"/>
      <c r="P82" s="222">
        <f t="shared" si="26"/>
        <v>0</v>
      </c>
      <c r="Q82" s="208"/>
      <c r="R82" s="209">
        <f t="shared" si="27"/>
        <v>45657</v>
      </c>
      <c r="S82" s="223">
        <f t="shared" si="19"/>
        <v>0.3</v>
      </c>
      <c r="T82" s="167" t="e">
        <f t="shared" si="20"/>
        <v>#DIV/0!</v>
      </c>
      <c r="U82" s="179" t="e">
        <f t="shared" si="29"/>
        <v>#DIV/0!</v>
      </c>
    </row>
    <row r="83" spans="2:21" ht="63" customHeight="1" thickBot="1" x14ac:dyDescent="0.35">
      <c r="B83" s="224" t="s">
        <v>319</v>
      </c>
      <c r="C83" s="216">
        <f>+'ANALISIS OCI'!X81</f>
        <v>0</v>
      </c>
      <c r="D83" s="217">
        <f>+'ANALISIS OCI'!Y81</f>
        <v>0</v>
      </c>
      <c r="E83" s="217">
        <f>+'ANALISIS OCI'!Z81</f>
        <v>0</v>
      </c>
      <c r="F83" s="217">
        <f>+'ANALISIS OCI'!AA81</f>
        <v>0</v>
      </c>
      <c r="G83" s="218">
        <f t="shared" si="22"/>
        <v>0</v>
      </c>
      <c r="H83" s="206">
        <f t="shared" si="23"/>
        <v>0</v>
      </c>
      <c r="I83" s="207">
        <f t="shared" si="24"/>
        <v>0</v>
      </c>
      <c r="J83" s="203" t="e">
        <f>'ANALISIS OCI'!AC81</f>
        <v>#DIV/0!</v>
      </c>
      <c r="K83" s="204" t="e">
        <f t="shared" si="30"/>
        <v>#DIV/0!</v>
      </c>
      <c r="L83" s="205" t="e">
        <f t="shared" si="28"/>
        <v>#DIV/0!</v>
      </c>
      <c r="M83" s="219"/>
      <c r="N83" s="220">
        <f t="shared" si="25"/>
        <v>0</v>
      </c>
      <c r="O83" s="221"/>
      <c r="P83" s="222">
        <f t="shared" si="26"/>
        <v>0</v>
      </c>
      <c r="Q83" s="208"/>
      <c r="R83" s="209">
        <f t="shared" si="27"/>
        <v>45657</v>
      </c>
      <c r="S83" s="223">
        <f t="shared" si="19"/>
        <v>0.3</v>
      </c>
      <c r="T83" s="167" t="e">
        <f t="shared" si="20"/>
        <v>#DIV/0!</v>
      </c>
      <c r="U83" s="179" t="e">
        <f t="shared" si="29"/>
        <v>#DIV/0!</v>
      </c>
    </row>
    <row r="84" spans="2:21" ht="63" customHeight="1" thickBot="1" x14ac:dyDescent="0.35">
      <c r="B84" s="224" t="s">
        <v>320</v>
      </c>
      <c r="C84" s="216">
        <f>+'ANALISIS OCI'!X82</f>
        <v>0</v>
      </c>
      <c r="D84" s="217">
        <f>+'ANALISIS OCI'!Y82</f>
        <v>0</v>
      </c>
      <c r="E84" s="217">
        <f>+'ANALISIS OCI'!Z82</f>
        <v>0</v>
      </c>
      <c r="F84" s="217">
        <f>+'ANALISIS OCI'!AA82</f>
        <v>0</v>
      </c>
      <c r="G84" s="218">
        <f t="shared" si="22"/>
        <v>0</v>
      </c>
      <c r="H84" s="206">
        <f t="shared" si="23"/>
        <v>0</v>
      </c>
      <c r="I84" s="207">
        <f t="shared" si="24"/>
        <v>0</v>
      </c>
      <c r="J84" s="203" t="e">
        <f>'ANALISIS OCI'!AC82</f>
        <v>#DIV/0!</v>
      </c>
      <c r="K84" s="204" t="e">
        <f t="shared" si="30"/>
        <v>#DIV/0!</v>
      </c>
      <c r="L84" s="205" t="e">
        <f t="shared" si="28"/>
        <v>#DIV/0!</v>
      </c>
      <c r="M84" s="219"/>
      <c r="N84" s="220">
        <f t="shared" si="25"/>
        <v>0</v>
      </c>
      <c r="O84" s="221"/>
      <c r="P84" s="222">
        <f t="shared" si="26"/>
        <v>0</v>
      </c>
      <c r="Q84" s="208"/>
      <c r="R84" s="209">
        <f t="shared" si="27"/>
        <v>45657</v>
      </c>
      <c r="S84" s="223">
        <f t="shared" si="19"/>
        <v>0.3</v>
      </c>
      <c r="T84" s="167" t="e">
        <f t="shared" si="20"/>
        <v>#DIV/0!</v>
      </c>
      <c r="U84" s="179" t="e">
        <f t="shared" si="29"/>
        <v>#DIV/0!</v>
      </c>
    </row>
    <row r="85" spans="2:21" ht="63" customHeight="1" thickBot="1" x14ac:dyDescent="0.35">
      <c r="B85" s="224" t="s">
        <v>321</v>
      </c>
      <c r="C85" s="216">
        <f>+'ANALISIS OCI'!X83</f>
        <v>0</v>
      </c>
      <c r="D85" s="217">
        <f>+'ANALISIS OCI'!Y83</f>
        <v>0</v>
      </c>
      <c r="E85" s="217">
        <f>+'ANALISIS OCI'!Z83</f>
        <v>0</v>
      </c>
      <c r="F85" s="217">
        <f>+'ANALISIS OCI'!AA83</f>
        <v>0</v>
      </c>
      <c r="G85" s="218">
        <f t="shared" si="22"/>
        <v>0</v>
      </c>
      <c r="H85" s="206">
        <f t="shared" si="23"/>
        <v>0</v>
      </c>
      <c r="I85" s="207">
        <f t="shared" si="24"/>
        <v>0</v>
      </c>
      <c r="J85" s="203" t="e">
        <f>'ANALISIS OCI'!AC83</f>
        <v>#DIV/0!</v>
      </c>
      <c r="K85" s="204" t="e">
        <f t="shared" si="30"/>
        <v>#DIV/0!</v>
      </c>
      <c r="L85" s="205" t="e">
        <f t="shared" si="28"/>
        <v>#DIV/0!</v>
      </c>
      <c r="M85" s="219"/>
      <c r="N85" s="220">
        <f t="shared" si="25"/>
        <v>0</v>
      </c>
      <c r="O85" s="221"/>
      <c r="P85" s="222">
        <f t="shared" si="26"/>
        <v>0</v>
      </c>
      <c r="Q85" s="208"/>
      <c r="R85" s="209">
        <f t="shared" si="27"/>
        <v>45657</v>
      </c>
      <c r="S85" s="223">
        <f t="shared" si="19"/>
        <v>0.3</v>
      </c>
      <c r="T85" s="167" t="e">
        <f t="shared" si="20"/>
        <v>#DIV/0!</v>
      </c>
      <c r="U85" s="179" t="e">
        <f t="shared" si="29"/>
        <v>#DIV/0!</v>
      </c>
    </row>
    <row r="86" spans="2:21" ht="63" customHeight="1" thickBot="1" x14ac:dyDescent="0.35">
      <c r="B86" s="224" t="s">
        <v>322</v>
      </c>
      <c r="C86" s="216">
        <f>+'ANALISIS OCI'!X84</f>
        <v>0</v>
      </c>
      <c r="D86" s="217">
        <f>+'ANALISIS OCI'!Y84</f>
        <v>0</v>
      </c>
      <c r="E86" s="217">
        <f>+'ANALISIS OCI'!Z84</f>
        <v>0</v>
      </c>
      <c r="F86" s="217">
        <f>+'ANALISIS OCI'!AA84</f>
        <v>0</v>
      </c>
      <c r="G86" s="218">
        <f t="shared" si="22"/>
        <v>0</v>
      </c>
      <c r="H86" s="206">
        <f t="shared" si="23"/>
        <v>0</v>
      </c>
      <c r="I86" s="207">
        <f t="shared" si="24"/>
        <v>0</v>
      </c>
      <c r="J86" s="203" t="e">
        <f>'ANALISIS OCI'!AC84</f>
        <v>#DIV/0!</v>
      </c>
      <c r="K86" s="204" t="e">
        <f t="shared" si="30"/>
        <v>#DIV/0!</v>
      </c>
      <c r="L86" s="205" t="e">
        <f t="shared" si="28"/>
        <v>#DIV/0!</v>
      </c>
      <c r="M86" s="219"/>
      <c r="N86" s="220">
        <f t="shared" si="25"/>
        <v>0</v>
      </c>
      <c r="O86" s="221"/>
      <c r="P86" s="222">
        <f t="shared" si="26"/>
        <v>0</v>
      </c>
      <c r="Q86" s="208"/>
      <c r="R86" s="209">
        <f t="shared" si="27"/>
        <v>45657</v>
      </c>
      <c r="S86" s="223">
        <f t="shared" si="19"/>
        <v>0.3</v>
      </c>
      <c r="T86" s="167" t="e">
        <f t="shared" si="20"/>
        <v>#DIV/0!</v>
      </c>
      <c r="U86" s="179" t="e">
        <f t="shared" si="29"/>
        <v>#DIV/0!</v>
      </c>
    </row>
    <row r="87" spans="2:21" ht="63" customHeight="1" thickBot="1" x14ac:dyDescent="0.35">
      <c r="B87" s="224" t="s">
        <v>323</v>
      </c>
      <c r="C87" s="216">
        <f>+'ANALISIS OCI'!X85</f>
        <v>0</v>
      </c>
      <c r="D87" s="217">
        <f>+'ANALISIS OCI'!Y85</f>
        <v>0</v>
      </c>
      <c r="E87" s="217">
        <f>+'ANALISIS OCI'!Z85</f>
        <v>0</v>
      </c>
      <c r="F87" s="217">
        <f>+'ANALISIS OCI'!AA85</f>
        <v>0</v>
      </c>
      <c r="G87" s="218">
        <f t="shared" si="22"/>
        <v>0</v>
      </c>
      <c r="H87" s="206">
        <f t="shared" si="23"/>
        <v>0</v>
      </c>
      <c r="I87" s="207">
        <f t="shared" si="24"/>
        <v>0</v>
      </c>
      <c r="J87" s="203" t="e">
        <f>'ANALISIS OCI'!AC85</f>
        <v>#DIV/0!</v>
      </c>
      <c r="K87" s="204" t="e">
        <f t="shared" si="30"/>
        <v>#DIV/0!</v>
      </c>
      <c r="L87" s="205" t="e">
        <f t="shared" si="28"/>
        <v>#DIV/0!</v>
      </c>
      <c r="M87" s="219"/>
      <c r="N87" s="220">
        <f t="shared" si="25"/>
        <v>0</v>
      </c>
      <c r="O87" s="221"/>
      <c r="P87" s="222">
        <f t="shared" si="26"/>
        <v>0</v>
      </c>
      <c r="Q87" s="208"/>
      <c r="R87" s="209">
        <f t="shared" si="27"/>
        <v>45657</v>
      </c>
      <c r="S87" s="223">
        <f t="shared" si="19"/>
        <v>0.3</v>
      </c>
      <c r="T87" s="167" t="e">
        <f t="shared" si="20"/>
        <v>#DIV/0!</v>
      </c>
      <c r="U87" s="179" t="e">
        <f t="shared" si="29"/>
        <v>#DIV/0!</v>
      </c>
    </row>
    <row r="88" spans="2:21" ht="63" customHeight="1" thickBot="1" x14ac:dyDescent="0.35">
      <c r="B88" s="224" t="s">
        <v>324</v>
      </c>
      <c r="C88" s="216">
        <f>+'ANALISIS OCI'!X86</f>
        <v>0</v>
      </c>
      <c r="D88" s="217">
        <f>+'ANALISIS OCI'!Y86</f>
        <v>0</v>
      </c>
      <c r="E88" s="217">
        <f>+'ANALISIS OCI'!Z86</f>
        <v>0</v>
      </c>
      <c r="F88" s="217">
        <f>+'ANALISIS OCI'!AA86</f>
        <v>0</v>
      </c>
      <c r="G88" s="218">
        <f t="shared" si="22"/>
        <v>0</v>
      </c>
      <c r="H88" s="206">
        <f t="shared" si="23"/>
        <v>0</v>
      </c>
      <c r="I88" s="207">
        <f t="shared" si="24"/>
        <v>0</v>
      </c>
      <c r="J88" s="203" t="e">
        <f>'ANALISIS OCI'!AC86</f>
        <v>#DIV/0!</v>
      </c>
      <c r="K88" s="204" t="e">
        <f t="shared" si="30"/>
        <v>#DIV/0!</v>
      </c>
      <c r="L88" s="205" t="e">
        <f t="shared" si="28"/>
        <v>#DIV/0!</v>
      </c>
      <c r="M88" s="219"/>
      <c r="N88" s="220">
        <f t="shared" si="25"/>
        <v>0</v>
      </c>
      <c r="O88" s="221"/>
      <c r="P88" s="222">
        <f t="shared" si="26"/>
        <v>0</v>
      </c>
      <c r="Q88" s="208"/>
      <c r="R88" s="209">
        <f t="shared" si="27"/>
        <v>45657</v>
      </c>
      <c r="S88" s="223">
        <f t="shared" si="19"/>
        <v>0.3</v>
      </c>
      <c r="T88" s="167" t="e">
        <f t="shared" si="20"/>
        <v>#DIV/0!</v>
      </c>
      <c r="U88" s="179" t="e">
        <f t="shared" si="29"/>
        <v>#DIV/0!</v>
      </c>
    </row>
    <row r="89" spans="2:21" ht="63" customHeight="1" thickBot="1" x14ac:dyDescent="0.35">
      <c r="B89" s="224" t="s">
        <v>325</v>
      </c>
      <c r="C89" s="216">
        <f>+'ANALISIS OCI'!X87</f>
        <v>0</v>
      </c>
      <c r="D89" s="217">
        <f>+'ANALISIS OCI'!Y87</f>
        <v>0</v>
      </c>
      <c r="E89" s="217">
        <f>+'ANALISIS OCI'!Z87</f>
        <v>0</v>
      </c>
      <c r="F89" s="217">
        <f>+'ANALISIS OCI'!AA87</f>
        <v>0</v>
      </c>
      <c r="G89" s="218">
        <f t="shared" si="22"/>
        <v>0</v>
      </c>
      <c r="H89" s="206">
        <f t="shared" si="23"/>
        <v>0</v>
      </c>
      <c r="I89" s="207">
        <f t="shared" si="24"/>
        <v>0</v>
      </c>
      <c r="J89" s="203" t="e">
        <f>'ANALISIS OCI'!AC87</f>
        <v>#DIV/0!</v>
      </c>
      <c r="K89" s="204" t="e">
        <f t="shared" si="30"/>
        <v>#DIV/0!</v>
      </c>
      <c r="L89" s="205" t="e">
        <f t="shared" si="28"/>
        <v>#DIV/0!</v>
      </c>
      <c r="M89" s="219"/>
      <c r="N89" s="220">
        <f t="shared" si="25"/>
        <v>0</v>
      </c>
      <c r="O89" s="221"/>
      <c r="P89" s="222">
        <f t="shared" si="26"/>
        <v>0</v>
      </c>
      <c r="Q89" s="208"/>
      <c r="R89" s="209">
        <f t="shared" si="27"/>
        <v>45657</v>
      </c>
      <c r="S89" s="223">
        <f t="shared" si="19"/>
        <v>0.3</v>
      </c>
      <c r="T89" s="167" t="e">
        <f t="shared" si="20"/>
        <v>#DIV/0!</v>
      </c>
      <c r="U89" s="179" t="e">
        <f t="shared" si="29"/>
        <v>#DIV/0!</v>
      </c>
    </row>
    <row r="90" spans="2:21" ht="63" customHeight="1" thickBot="1" x14ac:dyDescent="0.35">
      <c r="B90" s="224" t="s">
        <v>326</v>
      </c>
      <c r="C90" s="216">
        <f>+'ANALISIS OCI'!X88</f>
        <v>0</v>
      </c>
      <c r="D90" s="217">
        <f>+'ANALISIS OCI'!Y88</f>
        <v>0</v>
      </c>
      <c r="E90" s="217">
        <f>+'ANALISIS OCI'!Z88</f>
        <v>0</v>
      </c>
      <c r="F90" s="217">
        <f>+'ANALISIS OCI'!AA88</f>
        <v>0</v>
      </c>
      <c r="G90" s="218">
        <f t="shared" si="22"/>
        <v>0</v>
      </c>
      <c r="H90" s="206">
        <f t="shared" si="23"/>
        <v>0</v>
      </c>
      <c r="I90" s="207">
        <f t="shared" si="24"/>
        <v>0</v>
      </c>
      <c r="J90" s="203" t="e">
        <f>'ANALISIS OCI'!AC88</f>
        <v>#DIV/0!</v>
      </c>
      <c r="K90" s="204" t="e">
        <f t="shared" si="30"/>
        <v>#DIV/0!</v>
      </c>
      <c r="L90" s="205" t="e">
        <f t="shared" si="28"/>
        <v>#DIV/0!</v>
      </c>
      <c r="M90" s="219"/>
      <c r="N90" s="220">
        <f t="shared" si="25"/>
        <v>0</v>
      </c>
      <c r="O90" s="221"/>
      <c r="P90" s="222">
        <f t="shared" si="26"/>
        <v>0</v>
      </c>
      <c r="Q90" s="208"/>
      <c r="R90" s="209">
        <f t="shared" si="27"/>
        <v>45657</v>
      </c>
      <c r="S90" s="223">
        <f t="shared" si="19"/>
        <v>0.3</v>
      </c>
      <c r="T90" s="167" t="e">
        <f t="shared" si="20"/>
        <v>#DIV/0!</v>
      </c>
      <c r="U90" s="179" t="e">
        <f t="shared" si="29"/>
        <v>#DIV/0!</v>
      </c>
    </row>
    <row r="91" spans="2:21" ht="63" customHeight="1" thickBot="1" x14ac:dyDescent="0.35">
      <c r="B91" s="224" t="s">
        <v>327</v>
      </c>
      <c r="C91" s="216">
        <f>+'ANALISIS OCI'!X89</f>
        <v>0</v>
      </c>
      <c r="D91" s="217">
        <f>+'ANALISIS OCI'!Y89</f>
        <v>0</v>
      </c>
      <c r="E91" s="217">
        <f>+'ANALISIS OCI'!Z89</f>
        <v>0</v>
      </c>
      <c r="F91" s="217">
        <f>+'ANALISIS OCI'!AA89</f>
        <v>0</v>
      </c>
      <c r="G91" s="218">
        <f t="shared" si="22"/>
        <v>0</v>
      </c>
      <c r="H91" s="206">
        <f t="shared" si="23"/>
        <v>0</v>
      </c>
      <c r="I91" s="207">
        <f t="shared" si="24"/>
        <v>0</v>
      </c>
      <c r="J91" s="203" t="e">
        <f>'ANALISIS OCI'!AC89</f>
        <v>#DIV/0!</v>
      </c>
      <c r="K91" s="204" t="e">
        <f t="shared" ref="K91:K92" si="31">(IF(J91="Extremo",50%,(IF(J91="Alto",40%,IF(J91="Moderado",15%,IF(J91="Bajo",10%,0))))))</f>
        <v>#DIV/0!</v>
      </c>
      <c r="L91" s="205" t="e">
        <f t="shared" ref="L91:L92" si="32">IF(I91=0,K91,I91)</f>
        <v>#DIV/0!</v>
      </c>
      <c r="M91" s="219"/>
      <c r="N91" s="220">
        <f t="shared" si="25"/>
        <v>0</v>
      </c>
      <c r="O91" s="221"/>
      <c r="P91" s="222">
        <f t="shared" si="26"/>
        <v>0</v>
      </c>
      <c r="Q91" s="208"/>
      <c r="R91" s="209">
        <f t="shared" si="27"/>
        <v>45657</v>
      </c>
      <c r="S91" s="223">
        <f t="shared" si="19"/>
        <v>0.3</v>
      </c>
      <c r="T91" s="167" t="e">
        <f t="shared" si="20"/>
        <v>#DIV/0!</v>
      </c>
      <c r="U91" s="179" t="e">
        <f t="shared" si="29"/>
        <v>#DIV/0!</v>
      </c>
    </row>
    <row r="92" spans="2:21" ht="63" customHeight="1" thickBot="1" x14ac:dyDescent="0.35">
      <c r="B92" s="224" t="s">
        <v>328</v>
      </c>
      <c r="C92" s="216">
        <f>+'ANALISIS OCI'!X90</f>
        <v>0</v>
      </c>
      <c r="D92" s="217">
        <f>+'ANALISIS OCI'!Y90</f>
        <v>0</v>
      </c>
      <c r="E92" s="217">
        <f>+'ANALISIS OCI'!Z90</f>
        <v>0</v>
      </c>
      <c r="F92" s="217">
        <f>+'ANALISIS OCI'!AA90</f>
        <v>0</v>
      </c>
      <c r="G92" s="218">
        <f t="shared" si="22"/>
        <v>0</v>
      </c>
      <c r="H92" s="206">
        <f t="shared" si="23"/>
        <v>0</v>
      </c>
      <c r="I92" s="207">
        <f t="shared" si="24"/>
        <v>0</v>
      </c>
      <c r="J92" s="203" t="e">
        <f>'ANALISIS OCI'!AC90</f>
        <v>#DIV/0!</v>
      </c>
      <c r="K92" s="204" t="e">
        <f t="shared" si="31"/>
        <v>#DIV/0!</v>
      </c>
      <c r="L92" s="205" t="e">
        <f t="shared" si="32"/>
        <v>#DIV/0!</v>
      </c>
      <c r="M92" s="219"/>
      <c r="N92" s="220">
        <f t="shared" si="25"/>
        <v>0</v>
      </c>
      <c r="O92" s="221"/>
      <c r="P92" s="222">
        <f t="shared" si="26"/>
        <v>0</v>
      </c>
      <c r="Q92" s="208"/>
      <c r="R92" s="209">
        <f t="shared" si="27"/>
        <v>45657</v>
      </c>
      <c r="S92" s="223">
        <f t="shared" si="19"/>
        <v>0.3</v>
      </c>
      <c r="T92" s="167" t="e">
        <f t="shared" si="20"/>
        <v>#DIV/0!</v>
      </c>
      <c r="U92" s="179" t="e">
        <f t="shared" si="29"/>
        <v>#DIV/0!</v>
      </c>
    </row>
    <row r="93" spans="2:21" ht="15.75" customHeight="1" x14ac:dyDescent="0.3"/>
    <row r="94" spans="2:21" ht="15.75" customHeight="1" x14ac:dyDescent="0.3"/>
    <row r="95" spans="2:21" ht="15.75" customHeight="1" x14ac:dyDescent="0.3"/>
    <row r="96" spans="2:21" ht="15.75" customHeight="1" x14ac:dyDescent="0.3"/>
    <row r="97" ht="15.75" customHeight="1" x14ac:dyDescent="0.3"/>
    <row r="98" ht="15.75" customHeight="1" x14ac:dyDescent="0.3"/>
    <row r="99" ht="15.75" customHeight="1" x14ac:dyDescent="0.3"/>
    <row r="100" ht="15.75" customHeight="1" x14ac:dyDescent="0.3"/>
  </sheetData>
  <mergeCells count="23">
    <mergeCell ref="T9:U10"/>
    <mergeCell ref="T8:U8"/>
    <mergeCell ref="C8:J8"/>
    <mergeCell ref="J9:L10"/>
    <mergeCell ref="M8:N8"/>
    <mergeCell ref="O8:P8"/>
    <mergeCell ref="Q8:S8"/>
    <mergeCell ref="Q9:Q10"/>
    <mergeCell ref="R9:R10"/>
    <mergeCell ref="S9:S10"/>
    <mergeCell ref="B9:B10"/>
    <mergeCell ref="C9:G9"/>
    <mergeCell ref="H9:I10"/>
    <mergeCell ref="M9:N10"/>
    <mergeCell ref="O9:P10"/>
    <mergeCell ref="C6:D6"/>
    <mergeCell ref="B2:B5"/>
    <mergeCell ref="C2:Q5"/>
    <mergeCell ref="R2:S2"/>
    <mergeCell ref="T2:T5"/>
    <mergeCell ref="R3:S3"/>
    <mergeCell ref="R4:S4"/>
    <mergeCell ref="R5:S5"/>
  </mergeCells>
  <phoneticPr fontId="58" type="noConversion"/>
  <conditionalFormatting sqref="H11">
    <cfRule type="containsText" dxfId="150" priority="45" operator="containsText" text="Moderado">
      <formula>NOT(ISERROR(SEARCH(("Moderado"),(H11))))</formula>
    </cfRule>
  </conditionalFormatting>
  <conditionalFormatting sqref="H11">
    <cfRule type="containsText" dxfId="149" priority="46" operator="containsText" text="Alto">
      <formula>NOT(ISERROR(SEARCH(("Alto"),(H11))))</formula>
    </cfRule>
  </conditionalFormatting>
  <conditionalFormatting sqref="H11">
    <cfRule type="containsText" dxfId="148" priority="47" operator="containsText" text="Muy Alto">
      <formula>NOT(ISERROR(SEARCH(("Muy Alto"),(H11))))</formula>
    </cfRule>
  </conditionalFormatting>
  <conditionalFormatting sqref="H11">
    <cfRule type="containsText" dxfId="147" priority="48" operator="containsText" text="Muy Bajo">
      <formula>NOT(ISERROR(SEARCH(("Muy Bajo"),(H11))))</formula>
    </cfRule>
  </conditionalFormatting>
  <conditionalFormatting sqref="H11">
    <cfRule type="containsText" dxfId="146" priority="49" operator="containsText" text="Bajo">
      <formula>NOT(ISERROR(SEARCH(("Bajo"),(H11))))</formula>
    </cfRule>
  </conditionalFormatting>
  <conditionalFormatting sqref="H11">
    <cfRule type="containsText" dxfId="145" priority="50" operator="containsText" text="Extremo">
      <formula>NOT(ISERROR(SEARCH(("Extremo"),(H11))))</formula>
    </cfRule>
  </conditionalFormatting>
  <conditionalFormatting sqref="T11:T19 T22:T92">
    <cfRule type="colorScale" priority="87">
      <colorScale>
        <cfvo type="min"/>
        <cfvo type="percentile" val="50"/>
        <cfvo type="max"/>
        <color rgb="FF63BE7B"/>
        <color rgb="FFFFEB84"/>
        <color rgb="FFF8696B"/>
      </colorScale>
    </cfRule>
  </conditionalFormatting>
  <conditionalFormatting sqref="G11">
    <cfRule type="containsText" dxfId="144" priority="28" operator="containsText" text="Muy Alto">
      <formula>NOT(ISERROR(SEARCH(("Muy Alto"),(G11))))</formula>
    </cfRule>
  </conditionalFormatting>
  <conditionalFormatting sqref="T20">
    <cfRule type="colorScale" priority="44">
      <colorScale>
        <cfvo type="min"/>
        <cfvo type="percentile" val="50"/>
        <cfvo type="max"/>
        <color rgb="FF63BE7B"/>
        <color rgb="FFFFEB84"/>
        <color rgb="FFF8696B"/>
      </colorScale>
    </cfRule>
  </conditionalFormatting>
  <conditionalFormatting sqref="T21">
    <cfRule type="colorScale" priority="37">
      <colorScale>
        <cfvo type="min"/>
        <cfvo type="percentile" val="50"/>
        <cfvo type="max"/>
        <color rgb="FF63BE7B"/>
        <color rgb="FFFFEB84"/>
        <color rgb="FFF8696B"/>
      </colorScale>
    </cfRule>
  </conditionalFormatting>
  <conditionalFormatting sqref="G11">
    <cfRule type="containsText" dxfId="143" priority="30" operator="containsText" text="Moderado">
      <formula>NOT(ISERROR(SEARCH(("Moderado"),(G11))))</formula>
    </cfRule>
  </conditionalFormatting>
  <conditionalFormatting sqref="G11">
    <cfRule type="containsText" dxfId="142" priority="29" operator="containsText" text="Alto">
      <formula>NOT(ISERROR(SEARCH(("Alto"),(G11))))</formula>
    </cfRule>
  </conditionalFormatting>
  <conditionalFormatting sqref="G11">
    <cfRule type="containsText" dxfId="141" priority="88" operator="containsText" text="Muy Bajo">
      <formula>NOT(ISERROR(SEARCH(("Muy Bajo"),(G11))))</formula>
    </cfRule>
  </conditionalFormatting>
  <conditionalFormatting sqref="G11">
    <cfRule type="containsText" dxfId="140" priority="89" operator="containsText" text="Bajo">
      <formula>NOT(ISERROR(SEARCH(("Bajo"),(G11))))</formula>
    </cfRule>
  </conditionalFormatting>
  <conditionalFormatting sqref="G11">
    <cfRule type="containsText" dxfId="139" priority="90" operator="containsText" text="Extremo">
      <formula>NOT(ISERROR(SEARCH(("Extremo"),(G11))))</formula>
    </cfRule>
  </conditionalFormatting>
  <conditionalFormatting sqref="H12:H92">
    <cfRule type="containsText" dxfId="138" priority="12" operator="containsText" text="Moderado">
      <formula>NOT(ISERROR(SEARCH(("Moderado"),(H12))))</formula>
    </cfRule>
  </conditionalFormatting>
  <conditionalFormatting sqref="H12:H92">
    <cfRule type="containsText" dxfId="137" priority="11" operator="containsText" text="Alto">
      <formula>NOT(ISERROR(SEARCH(("Alto"),(H12))))</formula>
    </cfRule>
  </conditionalFormatting>
  <conditionalFormatting sqref="H12:H92">
    <cfRule type="containsText" dxfId="136" priority="10" operator="containsText" text="Muy Alto">
      <formula>NOT(ISERROR(SEARCH(("Muy Alto"),(H12))))</formula>
    </cfRule>
  </conditionalFormatting>
  <conditionalFormatting sqref="H12:H92">
    <cfRule type="containsText" dxfId="135" priority="91" operator="containsText" text="Muy Bajo">
      <formula>NOT(ISERROR(SEARCH(("Muy Bajo"),(H12))))</formula>
    </cfRule>
  </conditionalFormatting>
  <conditionalFormatting sqref="H12:H92">
    <cfRule type="containsText" dxfId="134" priority="92" operator="containsText" text="Bajo">
      <formula>NOT(ISERROR(SEARCH(("Bajo"),(H12))))</formula>
    </cfRule>
  </conditionalFormatting>
  <conditionalFormatting sqref="H12:H92">
    <cfRule type="containsText" dxfId="133" priority="93" operator="containsText" text="Extremo">
      <formula>NOT(ISERROR(SEARCH(("Extremo"),(H12))))</formula>
    </cfRule>
  </conditionalFormatting>
  <conditionalFormatting sqref="G12:G92">
    <cfRule type="containsText" dxfId="132" priority="6" operator="containsText" text="Moderado">
      <formula>NOT(ISERROR(SEARCH(("Moderado"),(G12))))</formula>
    </cfRule>
  </conditionalFormatting>
  <conditionalFormatting sqref="G12:G92">
    <cfRule type="containsText" dxfId="131" priority="5" operator="containsText" text="Alto">
      <formula>NOT(ISERROR(SEARCH(("Alto"),(G12))))</formula>
    </cfRule>
  </conditionalFormatting>
  <conditionalFormatting sqref="G12:G92">
    <cfRule type="containsText" dxfId="130" priority="4" operator="containsText" text="Muy Alto">
      <formula>NOT(ISERROR(SEARCH(("Muy Alto"),(G12))))</formula>
    </cfRule>
  </conditionalFormatting>
  <conditionalFormatting sqref="G12:G92">
    <cfRule type="containsText" dxfId="129" priority="94" operator="containsText" text="Muy Bajo">
      <formula>NOT(ISERROR(SEARCH(("Muy Bajo"),(G12))))</formula>
    </cfRule>
  </conditionalFormatting>
  <conditionalFormatting sqref="G12:G92">
    <cfRule type="containsText" dxfId="128" priority="95" operator="containsText" text="Bajo">
      <formula>NOT(ISERROR(SEARCH(("Bajo"),(G12))))</formula>
    </cfRule>
  </conditionalFormatting>
  <conditionalFormatting sqref="G12:G92">
    <cfRule type="containsText" dxfId="127" priority="96" operator="containsText" text="Extremo">
      <formula>NOT(ISERROR(SEARCH(("Extremo"),(G12))))</formula>
    </cfRule>
  </conditionalFormatting>
  <dataValidations count="1">
    <dataValidation type="list" allowBlank="1" showErrorMessage="1" sqref="O11:O92 M11:M92">
      <formula1>"Si,No"</formula1>
    </dataValidation>
  </dataValidations>
  <pageMargins left="0.7" right="0.7" top="0.75" bottom="0.75" header="0" footer="0"/>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4:K15"/>
  <sheetViews>
    <sheetView workbookViewId="0"/>
  </sheetViews>
  <sheetFormatPr baseColWidth="10" defaultColWidth="11.42578125" defaultRowHeight="15" x14ac:dyDescent="0.25"/>
  <cols>
    <col min="1" max="2" width="11.42578125" style="15"/>
    <col min="3" max="3" width="16.85546875" style="15" customWidth="1"/>
    <col min="4" max="16384" width="11.42578125" style="15"/>
  </cols>
  <sheetData>
    <row r="4" spans="3:11" ht="15.75" thickBot="1" x14ac:dyDescent="0.3"/>
    <row r="5" spans="3:11" x14ac:dyDescent="0.25">
      <c r="C5" s="139" t="s">
        <v>235</v>
      </c>
      <c r="D5" s="140"/>
      <c r="E5" s="140"/>
      <c r="F5" s="140"/>
      <c r="G5" s="140"/>
      <c r="H5" s="140"/>
      <c r="I5" s="140"/>
      <c r="J5" s="140"/>
      <c r="K5" s="141"/>
    </row>
    <row r="6" spans="3:11" ht="15.75" thickBot="1" x14ac:dyDescent="0.3">
      <c r="C6" s="142" t="s">
        <v>268</v>
      </c>
      <c r="D6" s="143" t="s">
        <v>275</v>
      </c>
      <c r="E6" s="143"/>
      <c r="F6" s="143"/>
      <c r="G6" s="143"/>
      <c r="H6" s="143"/>
      <c r="I6" s="143"/>
      <c r="J6" s="143"/>
      <c r="K6" s="144"/>
    </row>
    <row r="9" spans="3:11" ht="236.25" customHeight="1" x14ac:dyDescent="0.25">
      <c r="C9" s="581" t="s">
        <v>269</v>
      </c>
      <c r="D9" s="581"/>
      <c r="E9" s="581"/>
      <c r="F9" s="581"/>
      <c r="G9" s="581"/>
      <c r="H9" s="581"/>
      <c r="I9" s="581"/>
      <c r="J9" s="581"/>
      <c r="K9" s="581"/>
    </row>
    <row r="10" spans="3:11" ht="326.25" customHeight="1" x14ac:dyDescent="0.25">
      <c r="C10" s="581" t="s">
        <v>270</v>
      </c>
      <c r="D10" s="581"/>
      <c r="E10" s="581"/>
      <c r="F10" s="581"/>
      <c r="G10" s="581"/>
      <c r="H10" s="581"/>
      <c r="I10" s="581"/>
      <c r="J10" s="581"/>
      <c r="K10" s="581"/>
    </row>
    <row r="11" spans="3:11" ht="205.5" customHeight="1" x14ac:dyDescent="0.25">
      <c r="C11" s="581" t="s">
        <v>272</v>
      </c>
      <c r="D11" s="581"/>
      <c r="E11" s="581"/>
      <c r="F11" s="581"/>
      <c r="G11" s="581"/>
      <c r="H11" s="581"/>
      <c r="I11" s="581"/>
      <c r="J11" s="581"/>
      <c r="K11" s="581"/>
    </row>
    <row r="12" spans="3:11" ht="269.25" customHeight="1" x14ac:dyDescent="0.25">
      <c r="C12" s="581" t="s">
        <v>273</v>
      </c>
      <c r="D12" s="581"/>
      <c r="E12" s="581"/>
      <c r="F12" s="581"/>
      <c r="G12" s="581"/>
      <c r="H12" s="581"/>
      <c r="I12" s="581"/>
      <c r="J12" s="581"/>
      <c r="K12" s="581"/>
    </row>
    <row r="13" spans="3:11" ht="249" customHeight="1" x14ac:dyDescent="0.25">
      <c r="C13" s="581" t="s">
        <v>274</v>
      </c>
      <c r="D13" s="581"/>
      <c r="E13" s="581"/>
      <c r="F13" s="581"/>
      <c r="G13" s="581"/>
      <c r="H13" s="581"/>
      <c r="I13" s="581"/>
      <c r="J13" s="581"/>
      <c r="K13" s="581"/>
    </row>
    <row r="14" spans="3:11" ht="167.25" customHeight="1" x14ac:dyDescent="0.25">
      <c r="C14" s="581" t="s">
        <v>271</v>
      </c>
      <c r="D14" s="581"/>
      <c r="E14" s="581"/>
      <c r="F14" s="581"/>
      <c r="G14" s="581"/>
      <c r="H14" s="581"/>
      <c r="I14" s="581"/>
      <c r="J14" s="581"/>
      <c r="K14" s="581"/>
    </row>
    <row r="15" spans="3:11" ht="39.75" customHeight="1" x14ac:dyDescent="0.25">
      <c r="C15" s="523" t="s">
        <v>243</v>
      </c>
      <c r="D15" s="523"/>
      <c r="E15" s="523"/>
      <c r="F15" s="523"/>
      <c r="G15" s="523"/>
      <c r="H15" s="523"/>
      <c r="I15" s="523"/>
      <c r="J15" s="523"/>
      <c r="K15" s="523"/>
    </row>
  </sheetData>
  <mergeCells count="7">
    <mergeCell ref="C9:K9"/>
    <mergeCell ref="C10:K10"/>
    <mergeCell ref="C15:K15"/>
    <mergeCell ref="C11:K11"/>
    <mergeCell ref="C12:K12"/>
    <mergeCell ref="C14:K14"/>
    <mergeCell ref="C13:K13"/>
  </mergeCells>
  <pageMargins left="0.7" right="0.7" top="0.75" bottom="0.75" header="0.3" footer="0.3"/>
  <pageSetup orientation="portrait"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00"/>
  <sheetViews>
    <sheetView topLeftCell="A7" workbookViewId="0">
      <pane ySplit="2" topLeftCell="A54" activePane="bottomLeft" state="frozen"/>
      <selection activeCell="A7" sqref="A7"/>
      <selection pane="bottomLeft" activeCell="B67" sqref="B67"/>
    </sheetView>
  </sheetViews>
  <sheetFormatPr baseColWidth="10" defaultColWidth="11.42578125" defaultRowHeight="15" x14ac:dyDescent="0.25"/>
  <cols>
    <col min="1" max="2" width="38.5703125" customWidth="1"/>
    <col min="3" max="3" width="25.7109375" customWidth="1"/>
    <col min="4" max="4" width="9.5703125" hidden="1" customWidth="1"/>
    <col min="5" max="5" width="20" customWidth="1"/>
    <col min="6" max="6" width="20" hidden="1" customWidth="1"/>
    <col min="7" max="7" width="22.5703125" customWidth="1"/>
    <col min="8" max="8" width="22.5703125" hidden="1" customWidth="1"/>
    <col min="9" max="9" width="23.5703125" customWidth="1"/>
    <col min="10" max="10" width="23.5703125" hidden="1" customWidth="1"/>
    <col min="11" max="11" width="33.5703125" customWidth="1"/>
    <col min="12" max="12" width="11.42578125" hidden="1" customWidth="1"/>
    <col min="13" max="13" width="24.5703125" customWidth="1"/>
    <col min="14" max="14" width="11.42578125" hidden="1" customWidth="1"/>
    <col min="15" max="15" width="17.28515625" customWidth="1"/>
    <col min="16" max="16" width="3.5703125" hidden="1" customWidth="1"/>
    <col min="17" max="23" width="3.140625" customWidth="1"/>
    <col min="29" max="29" width="14.28515625" bestFit="1" customWidth="1"/>
  </cols>
  <sheetData>
    <row r="1" spans="1:35" ht="15.75" thickBot="1" x14ac:dyDescent="0.3"/>
    <row r="2" spans="1:35" ht="15" customHeight="1" x14ac:dyDescent="0.25">
      <c r="A2" s="582"/>
      <c r="B2" s="594" t="s">
        <v>278</v>
      </c>
      <c r="C2" s="595"/>
      <c r="D2" s="595"/>
      <c r="E2" s="595"/>
      <c r="F2" s="595"/>
      <c r="G2" s="595"/>
      <c r="H2" s="595"/>
      <c r="I2" s="595"/>
      <c r="J2" s="595"/>
      <c r="K2" s="595"/>
      <c r="L2" s="595"/>
      <c r="M2" s="595"/>
      <c r="N2" s="595"/>
      <c r="O2" s="596"/>
      <c r="P2" s="168"/>
      <c r="Q2" s="591"/>
      <c r="R2" s="591"/>
      <c r="S2" s="591"/>
      <c r="T2" s="591"/>
      <c r="U2" s="591"/>
      <c r="V2" s="591"/>
      <c r="W2" s="591"/>
      <c r="X2" s="591"/>
      <c r="Y2" s="591"/>
      <c r="Z2" s="591"/>
      <c r="AA2" s="585"/>
      <c r="AB2" s="585"/>
      <c r="AC2" s="586"/>
    </row>
    <row r="3" spans="1:35" x14ac:dyDescent="0.25">
      <c r="A3" s="583"/>
      <c r="B3" s="597"/>
      <c r="C3" s="598"/>
      <c r="D3" s="598"/>
      <c r="E3" s="598"/>
      <c r="F3" s="598"/>
      <c r="G3" s="598"/>
      <c r="H3" s="598"/>
      <c r="I3" s="598"/>
      <c r="J3" s="598"/>
      <c r="K3" s="598"/>
      <c r="L3" s="598"/>
      <c r="M3" s="598"/>
      <c r="N3" s="598"/>
      <c r="O3" s="599"/>
      <c r="P3" s="169"/>
      <c r="Q3" s="592"/>
      <c r="R3" s="592"/>
      <c r="S3" s="592"/>
      <c r="T3" s="592"/>
      <c r="U3" s="592"/>
      <c r="V3" s="592"/>
      <c r="W3" s="592"/>
      <c r="X3" s="592"/>
      <c r="Y3" s="592"/>
      <c r="Z3" s="592"/>
      <c r="AA3" s="587"/>
      <c r="AB3" s="587"/>
      <c r="AC3" s="588"/>
    </row>
    <row r="4" spans="1:35" x14ac:dyDescent="0.25">
      <c r="A4" s="583"/>
      <c r="B4" s="597"/>
      <c r="C4" s="598"/>
      <c r="D4" s="598"/>
      <c r="E4" s="598"/>
      <c r="F4" s="598"/>
      <c r="G4" s="598"/>
      <c r="H4" s="598"/>
      <c r="I4" s="598"/>
      <c r="J4" s="598"/>
      <c r="K4" s="598"/>
      <c r="L4" s="598"/>
      <c r="M4" s="598"/>
      <c r="N4" s="598"/>
      <c r="O4" s="599"/>
      <c r="P4" s="169"/>
      <c r="Q4" s="592"/>
      <c r="R4" s="592"/>
      <c r="S4" s="592"/>
      <c r="T4" s="592"/>
      <c r="U4" s="592"/>
      <c r="V4" s="592"/>
      <c r="W4" s="592"/>
      <c r="X4" s="592"/>
      <c r="Y4" s="592"/>
      <c r="Z4" s="592"/>
      <c r="AA4" s="587"/>
      <c r="AB4" s="587"/>
      <c r="AC4" s="588"/>
    </row>
    <row r="5" spans="1:35" ht="15.75" thickBot="1" x14ac:dyDescent="0.3">
      <c r="A5" s="584"/>
      <c r="B5" s="600"/>
      <c r="C5" s="601"/>
      <c r="D5" s="601"/>
      <c r="E5" s="601"/>
      <c r="F5" s="601"/>
      <c r="G5" s="601"/>
      <c r="H5" s="601"/>
      <c r="I5" s="601"/>
      <c r="J5" s="601"/>
      <c r="K5" s="601"/>
      <c r="L5" s="601"/>
      <c r="M5" s="601"/>
      <c r="N5" s="601"/>
      <c r="O5" s="602"/>
      <c r="P5" s="170"/>
      <c r="Q5" s="593"/>
      <c r="R5" s="593"/>
      <c r="S5" s="593"/>
      <c r="T5" s="593"/>
      <c r="U5" s="593"/>
      <c r="V5" s="593"/>
      <c r="W5" s="593"/>
      <c r="X5" s="593"/>
      <c r="Y5" s="593"/>
      <c r="Z5" s="593"/>
      <c r="AA5" s="589"/>
      <c r="AB5" s="589"/>
      <c r="AC5" s="590"/>
    </row>
    <row r="6" spans="1:35" ht="15.75" thickBot="1" x14ac:dyDescent="0.3"/>
    <row r="7" spans="1:35" x14ac:dyDescent="0.25">
      <c r="A7" s="604" t="s">
        <v>15</v>
      </c>
      <c r="B7" s="604" t="s">
        <v>331</v>
      </c>
      <c r="C7" s="606">
        <v>1</v>
      </c>
      <c r="D7" s="607"/>
      <c r="E7" s="607">
        <v>2</v>
      </c>
      <c r="F7" s="607"/>
      <c r="G7" s="607">
        <v>3</v>
      </c>
      <c r="H7" s="607"/>
      <c r="I7" s="607">
        <v>4</v>
      </c>
      <c r="J7" s="607"/>
      <c r="K7" s="607">
        <v>5</v>
      </c>
      <c r="L7" s="607"/>
      <c r="M7" s="607">
        <v>6</v>
      </c>
      <c r="N7" s="607"/>
      <c r="O7" s="607">
        <v>7</v>
      </c>
      <c r="P7" s="608"/>
      <c r="Q7" s="598">
        <v>1</v>
      </c>
      <c r="R7" s="598">
        <v>2</v>
      </c>
      <c r="S7" s="598">
        <v>3</v>
      </c>
      <c r="T7" s="598">
        <v>4</v>
      </c>
      <c r="U7" s="598">
        <v>5</v>
      </c>
      <c r="V7" s="598">
        <v>6</v>
      </c>
      <c r="W7" s="598">
        <v>7</v>
      </c>
      <c r="X7" s="619" t="s">
        <v>1</v>
      </c>
      <c r="Y7" s="621" t="s">
        <v>2</v>
      </c>
      <c r="Z7" s="623" t="s">
        <v>3</v>
      </c>
      <c r="AA7" s="610" t="s">
        <v>4</v>
      </c>
      <c r="AB7" s="612" t="s">
        <v>279</v>
      </c>
      <c r="AC7" s="614" t="s">
        <v>280</v>
      </c>
    </row>
    <row r="8" spans="1:35" s="171" customFormat="1" ht="45" customHeight="1" thickBot="1" x14ac:dyDescent="0.3">
      <c r="A8" s="605"/>
      <c r="B8" s="609"/>
      <c r="C8" s="616" t="s">
        <v>281</v>
      </c>
      <c r="D8" s="617"/>
      <c r="E8" s="617" t="s">
        <v>282</v>
      </c>
      <c r="F8" s="617"/>
      <c r="G8" s="617" t="s">
        <v>283</v>
      </c>
      <c r="H8" s="617"/>
      <c r="I8" s="617" t="s">
        <v>284</v>
      </c>
      <c r="J8" s="617"/>
      <c r="K8" s="617" t="s">
        <v>285</v>
      </c>
      <c r="L8" s="617"/>
      <c r="M8" s="617" t="s">
        <v>286</v>
      </c>
      <c r="N8" s="617"/>
      <c r="O8" s="617" t="s">
        <v>287</v>
      </c>
      <c r="P8" s="618"/>
      <c r="Q8" s="603"/>
      <c r="R8" s="603"/>
      <c r="S8" s="603"/>
      <c r="T8" s="603"/>
      <c r="U8" s="603"/>
      <c r="V8" s="603"/>
      <c r="W8" s="603"/>
      <c r="X8" s="620"/>
      <c r="Y8" s="622"/>
      <c r="Z8" s="624"/>
      <c r="AA8" s="611"/>
      <c r="AB8" s="613"/>
      <c r="AC8" s="615"/>
    </row>
    <row r="9" spans="1:35" ht="30" x14ac:dyDescent="0.25">
      <c r="A9" s="172" t="str">
        <f>+'PRIORIZACIÓN (2)'!B11</f>
        <v>Seguimiento a SARLAFT</v>
      </c>
      <c r="B9" s="180" t="str">
        <f>+IF('PRIORIZACIÓN (2)'!I11&gt;0%,"YA CUENTA CON PONDERACIÓN DE RIESGOS, NO DILIGENCIAR ANALISIS OCI", "DILIGENCIE ANALISIS OCI PARA ESTA UNIDAD AUDITABLE")</f>
        <v>YA CUENTA CON PONDERACIÓN DE RIESGOS, NO DILIGENCIAR ANALISIS OCI</v>
      </c>
      <c r="C9" s="176" t="s">
        <v>346</v>
      </c>
      <c r="D9" s="1"/>
      <c r="E9" s="1" t="s">
        <v>485</v>
      </c>
      <c r="F9" s="1"/>
      <c r="G9" s="177" t="s">
        <v>345</v>
      </c>
      <c r="H9" s="1"/>
      <c r="I9" s="177" t="s">
        <v>345</v>
      </c>
      <c r="J9" s="1"/>
      <c r="K9" s="1" t="s">
        <v>488</v>
      </c>
      <c r="L9" s="1"/>
      <c r="M9" s="1" t="s">
        <v>345</v>
      </c>
      <c r="N9" s="1"/>
      <c r="O9" s="1" t="s">
        <v>489</v>
      </c>
      <c r="P9" s="173" t="str">
        <f>IF($O9="Critica no recuperable","E",IF($O9="Critica con recuperación parcial","A",IF($O9="Falta de oportunidad para atención usuarios","M",IF($O9="Falta de oportunidad para gestión de los procesos","B",0))))</f>
        <v>M</v>
      </c>
      <c r="Q9" s="1" t="str">
        <f>IF($C9="EXTREMA","E",IF($C9="ALTA","A",IF($C9="MEDIA","M",IF($C9="BAJA","B",0))))</f>
        <v>E</v>
      </c>
      <c r="R9" s="1" t="str">
        <f t="shared" ref="R9:R72" si="0">IF($E9="3 días","E",IF($E9="2 días","A",IF($E9="1 días","M",IF($E9="Varias horas","B",0))))</f>
        <v>B</v>
      </c>
      <c r="S9" s="1">
        <f t="shared" ref="S9:S73" si="1">IF($G9="EXTREMA","E",IF($G9="ALTA","A",IF($G9="MEDIA","M",IF($G9="BAJA","B",0))))</f>
        <v>0</v>
      </c>
      <c r="T9" s="1">
        <f>IF($I9="EXTREMA","E",IF($I9="ALTA","A",IF($I9="MEDIA","M",IF($I9="BAJA","B",0))))</f>
        <v>0</v>
      </c>
      <c r="U9" s="1" t="str">
        <f t="shared" ref="U9:U72" si="2">IF($K9="Hechos de Corrupción","E",IF($K9="Incumplimiento de servicios","A",IF($K9="Retrasos en los servicios","M",IF($K9="Quejas por incumplimientos o retrasos","B",0))))</f>
        <v>A</v>
      </c>
      <c r="V9" s="1">
        <f>IF($M9="EXTREMA","E",IF($M9="ALTA","A",IF($M9="MEDIA","M",IF($M9="BAJA","B",0))))</f>
        <v>0</v>
      </c>
      <c r="W9" s="173" t="str">
        <f>IF($O9="Critica no recuperable","E",IF($O9="Critica con recuperación parcial","A",IF($O9="Falta de oportunidad para atención usuarios","M",IF($O9="Falta de oportunidad para gestión de los procesos","B",0))))</f>
        <v>M</v>
      </c>
      <c r="X9" s="5">
        <f>COUNTIFS(Q9:W9,"E")</f>
        <v>1</v>
      </c>
      <c r="Y9" s="1">
        <f>COUNTIF(Q9:W9,"A")</f>
        <v>1</v>
      </c>
      <c r="Z9" s="1">
        <f>COUNTIF(Q9:W9,"M")</f>
        <v>1</v>
      </c>
      <c r="AA9" s="174">
        <f>COUNTIF(Q9:W9,"B")</f>
        <v>1</v>
      </c>
      <c r="AB9" s="5">
        <f>SUM(X9:AA9)</f>
        <v>4</v>
      </c>
      <c r="AC9" s="175" t="str">
        <f>+IF((X9/AB9)&gt;=0.2,"Extremo",+IF(((X9/AB9)+(Y9/AB9))&gt;=0.3,"Alto",+IF(((X9/AB9)+(Y9/AB9)+(Z9/AB9))&gt;=0.4,"Moderado",+IF((X9/AB9)+(Y9/AB9)+(Z9/AB9)+(AA9/AB9)&gt;=0.5,"Bajo",""))))</f>
        <v>Extremo</v>
      </c>
      <c r="AI9" t="s">
        <v>332</v>
      </c>
    </row>
    <row r="10" spans="1:35" ht="30" x14ac:dyDescent="0.25">
      <c r="A10" s="172" t="str">
        <f>+'PRIORIZACIÓN (2)'!B12</f>
        <v>Revisión de Polizas de Seguro Corporativa</v>
      </c>
      <c r="B10" s="180" t="str">
        <f>+IF('PRIORIZACIÓN (2)'!I12&gt;0%,"YA CUENTA CON PONDERACIÓN DE RIESGOS, NO DILIGENCIAR ANALISIS OCI", "DILIGENCIE ANALISIS OCI PARA ESTA UNIDAD AUDITABLE")</f>
        <v>YA CUENTA CON PONDERACIÓN DE RIESGOS, NO DILIGENCIAR ANALISIS OCI</v>
      </c>
      <c r="C10" s="176" t="s">
        <v>346</v>
      </c>
      <c r="D10" s="1"/>
      <c r="E10" s="1" t="s">
        <v>485</v>
      </c>
      <c r="F10" s="1"/>
      <c r="G10" s="177" t="s">
        <v>345</v>
      </c>
      <c r="H10" s="1"/>
      <c r="I10" s="177" t="s">
        <v>343</v>
      </c>
      <c r="J10" s="1"/>
      <c r="K10" s="1" t="s">
        <v>490</v>
      </c>
      <c r="L10" s="1"/>
      <c r="M10" s="1" t="s">
        <v>345</v>
      </c>
      <c r="N10" s="1"/>
      <c r="O10" s="1" t="s">
        <v>513</v>
      </c>
      <c r="P10" s="174" t="str">
        <f t="shared" ref="P10:P17" si="3">IF($O10="Critica no recuperable","E",IF($O10="Critica con recuperación parcial","A",IF($O10="Falta de oportunidad para atención usuarios","M",IF($O10="Falta de oportunidad para gestión de los procesos","B",0))))</f>
        <v>A</v>
      </c>
      <c r="Q10" s="1" t="str">
        <f t="shared" ref="Q10:Q73" si="4">IF($C10="EXTREMA","E",IF($C10="ALTA","A",IF($C10="MEDIA","M",IF($C10="BAJA","B",0))))</f>
        <v>E</v>
      </c>
      <c r="R10" s="1" t="str">
        <f t="shared" si="0"/>
        <v>B</v>
      </c>
      <c r="S10" s="1">
        <f t="shared" si="1"/>
        <v>0</v>
      </c>
      <c r="T10" s="1" t="str">
        <f t="shared" ref="T10:T73" si="5">IF($I10="EXTREMA","E",IF($I10="ALTA","A",IF($I10="MEDIA","M",IF($I10="BAJA","B",0))))</f>
        <v>B</v>
      </c>
      <c r="U10" s="1" t="str">
        <f t="shared" si="2"/>
        <v>M</v>
      </c>
      <c r="V10" s="1">
        <f>IF($M10="EXTREMA","E",IF($M10="ALTA","A",IF($M10="MEDIA","M",IF($M10="BAJA","B",0))))</f>
        <v>0</v>
      </c>
      <c r="W10" s="173" t="str">
        <f t="shared" ref="W10:W73" si="6">IF($O10="Critica no recuperable","E",IF($O10="Critica con recuperación parcial","A",IF($O10="Falta de oportunidad para atención usuarios","M",IF($O10="Falta de oportunidad para gestión de los procesos","B",0))))</f>
        <v>A</v>
      </c>
      <c r="X10" s="5">
        <f t="shared" ref="X10:X17" si="7">COUNTIFS(Q10:W10,"E")</f>
        <v>1</v>
      </c>
      <c r="Y10" s="1">
        <f t="shared" ref="Y10:Y17" si="8">COUNTIF(Q10:W10,"A")</f>
        <v>1</v>
      </c>
      <c r="Z10" s="1">
        <f t="shared" ref="Z10:Z17" si="9">COUNTIF(Q10:W10,"M")</f>
        <v>1</v>
      </c>
      <c r="AA10" s="174">
        <f t="shared" ref="AA10:AA17" si="10">COUNTIF(Q10:W10,"B")</f>
        <v>2</v>
      </c>
      <c r="AB10" s="5">
        <f t="shared" ref="AB10:AB17" si="11">SUM(X10:AA10)</f>
        <v>5</v>
      </c>
      <c r="AC10" s="175" t="str">
        <f t="shared" ref="AC10:AC17" si="12">+IF((X10/AB10)&gt;=0.2,"Extremo",+IF(((X10/AB10)+(Y10/AB10))&gt;=0.3,"Alto",+IF(((X10/AB10)+(Y10/AB10)+(Z10/AB10))&gt;=0.4,"Moderado",+IF((X10/AB10)+(Y10/AB10)+(Z10/AB10)+(AA10/AB10)&gt;=0.5,"Bajo",""))))</f>
        <v>Extremo</v>
      </c>
      <c r="AI10" t="s">
        <v>333</v>
      </c>
    </row>
    <row r="11" spans="1:35" ht="30" x14ac:dyDescent="0.25">
      <c r="A11" s="172" t="str">
        <f>+'PRIORIZACIÓN (2)'!B13</f>
        <v>Seguimiento a actos administrativos Internos</v>
      </c>
      <c r="B11" s="180" t="str">
        <f>+IF('PRIORIZACIÓN (2)'!I13&gt;0%,"YA CUENTA CON PONDERACIÓN DE RIESGOS, NO DILIGENCIAR ANALISIS OCI", "DILIGENCIE ANALISIS OCI PARA ESTA UNIDAD AUDITABLE")</f>
        <v>YA CUENTA CON PONDERACIÓN DE RIESGOS, NO DILIGENCIAR ANALISIS OCI</v>
      </c>
      <c r="C11" s="176" t="s">
        <v>345</v>
      </c>
      <c r="D11" s="1"/>
      <c r="E11" s="1" t="s">
        <v>485</v>
      </c>
      <c r="F11" s="1"/>
      <c r="G11" s="177" t="s">
        <v>343</v>
      </c>
      <c r="H11" s="1"/>
      <c r="I11" s="177" t="s">
        <v>345</v>
      </c>
      <c r="J11" s="1"/>
      <c r="K11" s="1" t="s">
        <v>490</v>
      </c>
      <c r="L11" s="1"/>
      <c r="M11" s="1" t="s">
        <v>345</v>
      </c>
      <c r="N11" s="1"/>
      <c r="O11" s="1" t="s">
        <v>487</v>
      </c>
      <c r="P11" s="174" t="str">
        <f t="shared" si="3"/>
        <v>B</v>
      </c>
      <c r="Q11" s="1">
        <f t="shared" si="4"/>
        <v>0</v>
      </c>
      <c r="R11" s="1" t="str">
        <f t="shared" si="0"/>
        <v>B</v>
      </c>
      <c r="S11" s="1" t="str">
        <f t="shared" si="1"/>
        <v>B</v>
      </c>
      <c r="T11" s="1">
        <f t="shared" si="5"/>
        <v>0</v>
      </c>
      <c r="U11" s="1" t="str">
        <f t="shared" si="2"/>
        <v>M</v>
      </c>
      <c r="V11" s="1">
        <f t="shared" ref="V11:V73" si="13">IF($M11="EXTREMA","E",IF($M11="ALTA","A",IF($M11="MEDIA","M",IF($M11="BAJA","B",0))))</f>
        <v>0</v>
      </c>
      <c r="W11" s="173" t="str">
        <f t="shared" si="6"/>
        <v>B</v>
      </c>
      <c r="X11" s="5">
        <f t="shared" si="7"/>
        <v>0</v>
      </c>
      <c r="Y11" s="1">
        <f t="shared" si="8"/>
        <v>0</v>
      </c>
      <c r="Z11" s="1">
        <f t="shared" si="9"/>
        <v>1</v>
      </c>
      <c r="AA11" s="174">
        <f t="shared" si="10"/>
        <v>3</v>
      </c>
      <c r="AB11" s="5">
        <f t="shared" si="11"/>
        <v>4</v>
      </c>
      <c r="AC11" s="175" t="str">
        <f t="shared" si="12"/>
        <v>Bajo</v>
      </c>
    </row>
    <row r="12" spans="1:35" ht="90" x14ac:dyDescent="0.25">
      <c r="A12" s="172" t="str">
        <f>+'PRIORIZACIÓN (2)'!B14</f>
        <v>Plan Institucional de Archivos de la Entidad PINAR - Plan Estratégico de Talento Humano - Plan de Trabajo Anual en Seguridad y Salud en el Trabajo - Sistema de Gestión de Seguridad y Salud en el Trabajo</v>
      </c>
      <c r="B12" s="180" t="str">
        <f>+IF('PRIORIZACIÓN (2)'!I14&gt;0%,"YA CUENTA CON PONDERACIÓN DE RIESGOS, NO DILIGENCIAR ANALISIS OCI", "DILIGENCIE ANALISIS OCI PARA ESTA UNIDAD AUDITABLE")</f>
        <v>YA CUENTA CON PONDERACIÓN DE RIESGOS, NO DILIGENCIAR ANALISIS OCI</v>
      </c>
      <c r="C12" s="176" t="s">
        <v>343</v>
      </c>
      <c r="D12" s="1"/>
      <c r="E12" s="1" t="s">
        <v>485</v>
      </c>
      <c r="F12" s="1"/>
      <c r="G12" s="177" t="s">
        <v>345</v>
      </c>
      <c r="H12" s="1"/>
      <c r="I12" s="177" t="s">
        <v>345</v>
      </c>
      <c r="J12" s="1"/>
      <c r="K12" s="1" t="s">
        <v>490</v>
      </c>
      <c r="L12" s="1"/>
      <c r="M12" s="1" t="s">
        <v>344</v>
      </c>
      <c r="N12" s="1"/>
      <c r="O12" s="1" t="s">
        <v>487</v>
      </c>
      <c r="P12" s="174" t="str">
        <f t="shared" si="3"/>
        <v>B</v>
      </c>
      <c r="Q12" s="1" t="str">
        <f t="shared" si="4"/>
        <v>B</v>
      </c>
      <c r="R12" s="1" t="str">
        <f t="shared" si="0"/>
        <v>B</v>
      </c>
      <c r="S12" s="1">
        <f t="shared" si="1"/>
        <v>0</v>
      </c>
      <c r="T12" s="1">
        <f t="shared" si="5"/>
        <v>0</v>
      </c>
      <c r="U12" s="1" t="str">
        <f t="shared" si="2"/>
        <v>M</v>
      </c>
      <c r="V12" s="1" t="str">
        <f t="shared" si="13"/>
        <v>M</v>
      </c>
      <c r="W12" s="173" t="str">
        <f t="shared" si="6"/>
        <v>B</v>
      </c>
      <c r="X12" s="5">
        <f t="shared" si="7"/>
        <v>0</v>
      </c>
      <c r="Y12" s="1">
        <f t="shared" si="8"/>
        <v>0</v>
      </c>
      <c r="Z12" s="1">
        <f t="shared" si="9"/>
        <v>2</v>
      </c>
      <c r="AA12" s="174">
        <f t="shared" si="10"/>
        <v>3</v>
      </c>
      <c r="AB12" s="5">
        <f t="shared" si="11"/>
        <v>5</v>
      </c>
      <c r="AC12" s="175" t="str">
        <f t="shared" si="12"/>
        <v>Moderado</v>
      </c>
    </row>
    <row r="13" spans="1:35" ht="90" x14ac:dyDescent="0.25">
      <c r="A13" s="172" t="str">
        <f>+'PRIORIZACIÓN (2)'!B15</f>
        <v>Plan Estratégico de Tecnologías de la Información y las Comunicaciones ­ PETI - Plan de Tratamiento de Riesgos de Seguridad y Privacidad de la Información - Plan de Seguridad y Privacidad de la Información</v>
      </c>
      <c r="B13" s="180" t="str">
        <f>+IF('PRIORIZACIÓN (2)'!I15&gt;0%,"YA CUENTA CON PONDERACIÓN DE RIESGOS, NO DILIGENCIAR ANALISIS OCI", "DILIGENCIE ANALISIS OCI PARA ESTA UNIDAD AUDITABLE")</f>
        <v>YA CUENTA CON PONDERACIÓN DE RIESGOS, NO DILIGENCIAR ANALISIS OCI</v>
      </c>
      <c r="C13" s="176" t="s">
        <v>343</v>
      </c>
      <c r="D13" s="1"/>
      <c r="E13" s="1" t="s">
        <v>485</v>
      </c>
      <c r="F13" s="1"/>
      <c r="G13" s="177" t="s">
        <v>345</v>
      </c>
      <c r="H13" s="1"/>
      <c r="I13" s="177" t="s">
        <v>345</v>
      </c>
      <c r="J13" s="1"/>
      <c r="K13" s="1" t="s">
        <v>490</v>
      </c>
      <c r="L13" s="1"/>
      <c r="M13" s="1" t="s">
        <v>344</v>
      </c>
      <c r="N13" s="1"/>
      <c r="O13" s="1" t="s">
        <v>487</v>
      </c>
      <c r="P13" s="174" t="str">
        <f t="shared" si="3"/>
        <v>B</v>
      </c>
      <c r="Q13" s="1" t="str">
        <f t="shared" si="4"/>
        <v>B</v>
      </c>
      <c r="R13" s="1" t="str">
        <f t="shared" si="0"/>
        <v>B</v>
      </c>
      <c r="S13" s="1">
        <f t="shared" si="1"/>
        <v>0</v>
      </c>
      <c r="T13" s="1">
        <f t="shared" si="5"/>
        <v>0</v>
      </c>
      <c r="U13" s="1" t="str">
        <f t="shared" si="2"/>
        <v>M</v>
      </c>
      <c r="V13" s="1" t="str">
        <f t="shared" si="13"/>
        <v>M</v>
      </c>
      <c r="W13" s="173" t="str">
        <f t="shared" si="6"/>
        <v>B</v>
      </c>
      <c r="X13" s="5">
        <f t="shared" si="7"/>
        <v>0</v>
      </c>
      <c r="Y13" s="1">
        <f t="shared" si="8"/>
        <v>0</v>
      </c>
      <c r="Z13" s="1">
        <f t="shared" si="9"/>
        <v>2</v>
      </c>
      <c r="AA13" s="174">
        <f t="shared" si="10"/>
        <v>3</v>
      </c>
      <c r="AB13" s="5">
        <f t="shared" si="11"/>
        <v>5</v>
      </c>
      <c r="AC13" s="175" t="str">
        <f t="shared" si="12"/>
        <v>Moderado</v>
      </c>
    </row>
    <row r="14" spans="1:35" ht="120" x14ac:dyDescent="0.25">
      <c r="A14" s="172" t="str">
        <f>+'PRIORIZACIÓN (2)'!B16</f>
        <v>Plan de Participación Ciudadana - Estrategia rendición de cuentas - Control documental según la ISO 9001 - Política operativa de integridad, conflicto de interés y gestión anti soborno - Política administración del riesgo - Auditorías procesos SIG según requisitos norma ISO 9001</v>
      </c>
      <c r="B14" s="180" t="str">
        <f>+IF('PRIORIZACIÓN (2)'!I16&gt;0%,"YA CUENTA CON PONDERACIÓN DE RIESGOS, NO DILIGENCIAR ANALISIS OCI", "DILIGENCIE ANALISIS OCI PARA ESTA UNIDAD AUDITABLE")</f>
        <v>YA CUENTA CON PONDERACIÓN DE RIESGOS, NO DILIGENCIAR ANALISIS OCI</v>
      </c>
      <c r="C14" s="176" t="s">
        <v>343</v>
      </c>
      <c r="D14" s="1"/>
      <c r="E14" s="1" t="s">
        <v>485</v>
      </c>
      <c r="F14" s="1"/>
      <c r="G14" s="177" t="s">
        <v>345</v>
      </c>
      <c r="H14" s="1"/>
      <c r="I14" s="177" t="s">
        <v>345</v>
      </c>
      <c r="J14" s="1"/>
      <c r="K14" s="1" t="s">
        <v>490</v>
      </c>
      <c r="L14" s="1"/>
      <c r="M14" s="1" t="s">
        <v>344</v>
      </c>
      <c r="N14" s="1"/>
      <c r="O14" s="1" t="s">
        <v>487</v>
      </c>
      <c r="P14" s="174" t="str">
        <f t="shared" si="3"/>
        <v>B</v>
      </c>
      <c r="Q14" s="1" t="str">
        <f t="shared" si="4"/>
        <v>B</v>
      </c>
      <c r="R14" s="1" t="str">
        <f t="shared" si="0"/>
        <v>B</v>
      </c>
      <c r="S14" s="1">
        <f t="shared" si="1"/>
        <v>0</v>
      </c>
      <c r="T14" s="1">
        <f t="shared" si="5"/>
        <v>0</v>
      </c>
      <c r="U14" s="1" t="str">
        <f t="shared" si="2"/>
        <v>M</v>
      </c>
      <c r="V14" s="1" t="str">
        <f t="shared" si="13"/>
        <v>M</v>
      </c>
      <c r="W14" s="173" t="str">
        <f t="shared" si="6"/>
        <v>B</v>
      </c>
      <c r="X14" s="5">
        <f t="shared" si="7"/>
        <v>0</v>
      </c>
      <c r="Y14" s="1">
        <f t="shared" si="8"/>
        <v>0</v>
      </c>
      <c r="Z14" s="1">
        <f t="shared" si="9"/>
        <v>2</v>
      </c>
      <c r="AA14" s="174">
        <f t="shared" si="10"/>
        <v>3</v>
      </c>
      <c r="AB14" s="5">
        <f t="shared" si="11"/>
        <v>5</v>
      </c>
      <c r="AC14" s="175" t="str">
        <f t="shared" si="12"/>
        <v>Moderado</v>
      </c>
    </row>
    <row r="15" spans="1:35" ht="30" x14ac:dyDescent="0.25">
      <c r="A15" s="172" t="str">
        <f>+'PRIORIZACIÓN (2)'!B17</f>
        <v>Seguimiento adjudicación San Victorino</v>
      </c>
      <c r="B15" s="180" t="str">
        <f>+IF('PRIORIZACIÓN (2)'!I17&gt;0%,"YA CUENTA CON PONDERACIÓN DE RIESGOS, NO DILIGENCIAR ANALISIS OCI", "DILIGENCIE ANALISIS OCI PARA ESTA UNIDAD AUDITABLE")</f>
        <v>YA CUENTA CON PONDERACIÓN DE RIESGOS, NO DILIGENCIAR ANALISIS OCI</v>
      </c>
      <c r="C15" s="176" t="s">
        <v>346</v>
      </c>
      <c r="D15" s="1"/>
      <c r="E15" s="1" t="s">
        <v>485</v>
      </c>
      <c r="F15" s="1"/>
      <c r="G15" s="177" t="s">
        <v>346</v>
      </c>
      <c r="H15" s="1"/>
      <c r="I15" s="177" t="s">
        <v>345</v>
      </c>
      <c r="J15" s="1"/>
      <c r="K15" s="1" t="s">
        <v>486</v>
      </c>
      <c r="L15" s="1"/>
      <c r="M15" s="1" t="s">
        <v>345</v>
      </c>
      <c r="N15" s="1"/>
      <c r="O15" s="1" t="s">
        <v>561</v>
      </c>
      <c r="P15" s="174" t="str">
        <f t="shared" si="3"/>
        <v>E</v>
      </c>
      <c r="Q15" s="1" t="str">
        <f t="shared" si="4"/>
        <v>E</v>
      </c>
      <c r="R15" s="1" t="str">
        <f t="shared" si="0"/>
        <v>B</v>
      </c>
      <c r="S15" s="1" t="str">
        <f t="shared" si="1"/>
        <v>E</v>
      </c>
      <c r="T15" s="1">
        <f t="shared" si="5"/>
        <v>0</v>
      </c>
      <c r="U15" s="1" t="str">
        <f t="shared" si="2"/>
        <v>E</v>
      </c>
      <c r="V15" s="1">
        <f t="shared" si="13"/>
        <v>0</v>
      </c>
      <c r="W15" s="173" t="str">
        <f t="shared" si="6"/>
        <v>E</v>
      </c>
      <c r="X15" s="5">
        <f t="shared" si="7"/>
        <v>4</v>
      </c>
      <c r="Y15" s="1">
        <f t="shared" si="8"/>
        <v>0</v>
      </c>
      <c r="Z15" s="1">
        <f t="shared" si="9"/>
        <v>0</v>
      </c>
      <c r="AA15" s="174">
        <f t="shared" si="10"/>
        <v>1</v>
      </c>
      <c r="AB15" s="5">
        <f t="shared" si="11"/>
        <v>5</v>
      </c>
      <c r="AC15" s="175" t="str">
        <f t="shared" si="12"/>
        <v>Extremo</v>
      </c>
    </row>
    <row r="16" spans="1:35" ht="30" x14ac:dyDescent="0.25">
      <c r="A16" s="172" t="str">
        <f>+'PRIORIZACIÓN (2)'!B18</f>
        <v>Seguimiento estado Obra Alcaldia Mártires</v>
      </c>
      <c r="B16" s="180" t="str">
        <f>+IF('PRIORIZACIÓN (2)'!I18&gt;0%,"YA CUENTA CON PONDERACIÓN DE RIESGOS, NO DILIGENCIAR ANALISIS OCI", "DILIGENCIE ANALISIS OCI PARA ESTA UNIDAD AUDITABLE")</f>
        <v>YA CUENTA CON PONDERACIÓN DE RIESGOS, NO DILIGENCIAR ANALISIS OCI</v>
      </c>
      <c r="C16" s="176" t="s">
        <v>346</v>
      </c>
      <c r="D16" s="1"/>
      <c r="E16" s="1" t="s">
        <v>485</v>
      </c>
      <c r="F16" s="1"/>
      <c r="G16" s="177" t="s">
        <v>346</v>
      </c>
      <c r="H16" s="1"/>
      <c r="I16" s="177" t="s">
        <v>345</v>
      </c>
      <c r="J16" s="1"/>
      <c r="K16" s="1" t="s">
        <v>486</v>
      </c>
      <c r="L16" s="1"/>
      <c r="M16" s="1" t="s">
        <v>345</v>
      </c>
      <c r="N16" s="1"/>
      <c r="O16" s="1" t="s">
        <v>561</v>
      </c>
      <c r="P16" s="174" t="str">
        <f t="shared" si="3"/>
        <v>E</v>
      </c>
      <c r="Q16" s="1" t="str">
        <f t="shared" si="4"/>
        <v>E</v>
      </c>
      <c r="R16" s="1" t="str">
        <f t="shared" si="0"/>
        <v>B</v>
      </c>
      <c r="S16" s="1" t="str">
        <f t="shared" si="1"/>
        <v>E</v>
      </c>
      <c r="T16" s="1">
        <f t="shared" si="5"/>
        <v>0</v>
      </c>
      <c r="U16" s="1" t="str">
        <f t="shared" si="2"/>
        <v>E</v>
      </c>
      <c r="V16" s="1">
        <f t="shared" si="13"/>
        <v>0</v>
      </c>
      <c r="W16" s="173" t="str">
        <f t="shared" si="6"/>
        <v>E</v>
      </c>
      <c r="X16" s="5">
        <f t="shared" si="7"/>
        <v>4</v>
      </c>
      <c r="Y16" s="1">
        <f t="shared" si="8"/>
        <v>0</v>
      </c>
      <c r="Z16" s="1">
        <f t="shared" si="9"/>
        <v>0</v>
      </c>
      <c r="AA16" s="174">
        <f t="shared" si="10"/>
        <v>1</v>
      </c>
      <c r="AB16" s="5">
        <f t="shared" si="11"/>
        <v>5</v>
      </c>
      <c r="AC16" s="175" t="str">
        <f t="shared" si="12"/>
        <v>Extremo</v>
      </c>
    </row>
    <row r="17" spans="1:29" ht="30" x14ac:dyDescent="0.25">
      <c r="A17" s="172" t="str">
        <f>+'PRIORIZACIÓN (2)'!B19</f>
        <v>Seguimiento rol Empresa Ciudadela del Cuidado</v>
      </c>
      <c r="B17" s="180" t="str">
        <f>+IF('PRIORIZACIÓN (2)'!I19&gt;0%,"YA CUENTA CON PONDERACIÓN DE RIESGOS, NO DILIGENCIAR ANALISIS OCI", "DILIGENCIE ANALISIS OCI PARA ESTA UNIDAD AUDITABLE")</f>
        <v>YA CUENTA CON PONDERACIÓN DE RIESGOS, NO DILIGENCIAR ANALISIS OCI</v>
      </c>
      <c r="C17" s="176" t="s">
        <v>346</v>
      </c>
      <c r="D17" s="1"/>
      <c r="E17" s="1" t="s">
        <v>485</v>
      </c>
      <c r="F17" s="1"/>
      <c r="G17" s="177" t="s">
        <v>346</v>
      </c>
      <c r="H17" s="1"/>
      <c r="I17" s="177" t="s">
        <v>345</v>
      </c>
      <c r="J17" s="1"/>
      <c r="K17" s="1" t="s">
        <v>486</v>
      </c>
      <c r="L17" s="1"/>
      <c r="M17" s="1" t="s">
        <v>345</v>
      </c>
      <c r="N17" s="1"/>
      <c r="O17" s="1" t="s">
        <v>561</v>
      </c>
      <c r="P17" s="174" t="str">
        <f t="shared" si="3"/>
        <v>E</v>
      </c>
      <c r="Q17" s="1" t="str">
        <f t="shared" si="4"/>
        <v>E</v>
      </c>
      <c r="R17" s="1" t="str">
        <f t="shared" si="0"/>
        <v>B</v>
      </c>
      <c r="S17" s="1" t="str">
        <f t="shared" si="1"/>
        <v>E</v>
      </c>
      <c r="T17" s="1">
        <f t="shared" si="5"/>
        <v>0</v>
      </c>
      <c r="U17" s="1" t="str">
        <f t="shared" si="2"/>
        <v>E</v>
      </c>
      <c r="V17" s="1">
        <f t="shared" si="13"/>
        <v>0</v>
      </c>
      <c r="W17" s="173" t="str">
        <f t="shared" si="6"/>
        <v>E</v>
      </c>
      <c r="X17" s="5">
        <f t="shared" si="7"/>
        <v>4</v>
      </c>
      <c r="Y17" s="1">
        <f t="shared" si="8"/>
        <v>0</v>
      </c>
      <c r="Z17" s="1">
        <f t="shared" si="9"/>
        <v>0</v>
      </c>
      <c r="AA17" s="174">
        <f t="shared" si="10"/>
        <v>1</v>
      </c>
      <c r="AB17" s="5">
        <f t="shared" si="11"/>
        <v>5</v>
      </c>
      <c r="AC17" s="175" t="str">
        <f t="shared" si="12"/>
        <v>Extremo</v>
      </c>
    </row>
    <row r="18" spans="1:29" ht="45" x14ac:dyDescent="0.25">
      <c r="A18" s="172" t="str">
        <f>+'PRIORIZACIÓN (2)'!B20</f>
        <v xml:space="preserve">Apoyo realización comité de auditoría y seguimiento de los compromisos establecidos </v>
      </c>
      <c r="B18" s="180" t="str">
        <f>+IF('PRIORIZACIÓN (2)'!I20&gt;0%,"YA CUENTA CON PONDERACIÓN DE RIESGOS, NO DILIGENCIAR ANALISIS OCI", "DILIGENCIE ANALISIS OCI PARA ESTA UNIDAD AUDITABLE")</f>
        <v>YA CUENTA CON PONDERACIÓN DE RIESGOS, NO DILIGENCIAR ANALISIS OCI</v>
      </c>
      <c r="C18" s="176" t="s">
        <v>343</v>
      </c>
      <c r="D18" s="1"/>
      <c r="E18" s="1" t="s">
        <v>485</v>
      </c>
      <c r="F18" s="1"/>
      <c r="G18" s="177" t="s">
        <v>345</v>
      </c>
      <c r="H18" s="1"/>
      <c r="I18" s="177" t="s">
        <v>345</v>
      </c>
      <c r="J18" s="1"/>
      <c r="K18" s="1" t="s">
        <v>490</v>
      </c>
      <c r="L18" s="1"/>
      <c r="M18" s="1" t="s">
        <v>344</v>
      </c>
      <c r="N18" s="1"/>
      <c r="O18" s="1" t="s">
        <v>487</v>
      </c>
      <c r="P18" s="174" t="str">
        <f t="shared" ref="P18:P35" si="14">IF($O18="Critica no recuperable","E",IF($O18="Critica con recuperación parcial","A",IF($O18="Falta de oportunidad para atención usuarios","M",IF($O18="Falta de oportunidad para gestión de los procesos","B",0))))</f>
        <v>B</v>
      </c>
      <c r="Q18" s="1" t="str">
        <f t="shared" si="4"/>
        <v>B</v>
      </c>
      <c r="R18" s="1" t="str">
        <f t="shared" si="0"/>
        <v>B</v>
      </c>
      <c r="S18" s="1">
        <f t="shared" si="1"/>
        <v>0</v>
      </c>
      <c r="T18" s="1">
        <f t="shared" si="5"/>
        <v>0</v>
      </c>
      <c r="U18" s="1" t="str">
        <f t="shared" si="2"/>
        <v>M</v>
      </c>
      <c r="V18" s="1" t="str">
        <f t="shared" si="13"/>
        <v>M</v>
      </c>
      <c r="W18" s="173" t="str">
        <f t="shared" si="6"/>
        <v>B</v>
      </c>
      <c r="X18" s="5">
        <f t="shared" ref="X18:X23" si="15">COUNTIFS(Q18:W18,"E")</f>
        <v>0</v>
      </c>
      <c r="Y18" s="1">
        <f t="shared" ref="Y18:Y23" si="16">COUNTIF(Q18:W18,"A")</f>
        <v>0</v>
      </c>
      <c r="Z18" s="1">
        <f t="shared" ref="Z18:Z23" si="17">COUNTIF(Q18:W18,"M")</f>
        <v>2</v>
      </c>
      <c r="AA18" s="174">
        <f t="shared" ref="AA18:AA23" si="18">COUNTIF(Q18:W18,"B")</f>
        <v>3</v>
      </c>
      <c r="AB18" s="5">
        <f t="shared" ref="AB18:AB23" si="19">SUM(X18:AA18)</f>
        <v>5</v>
      </c>
      <c r="AC18" s="175" t="str">
        <f t="shared" ref="AC18:AC23" si="20">+IF((X18/AB18)&gt;=0.2,"Extremo",+IF(((X18/AB18)+(Y18/AB18))&gt;=0.3,"Alto",+IF(((X18/AB18)+(Y18/AB18)+(Z18/AB18))&gt;=0.4,"Moderado",+IF((X18/AB18)+(Y18/AB18)+(Z18/AB18)+(AA18/AB18)&gt;=0.5,"Bajo",""))))</f>
        <v>Moderado</v>
      </c>
    </row>
    <row r="19" spans="1:29" ht="105" x14ac:dyDescent="0.25">
      <c r="A19" s="172" t="str">
        <f>+'PRIORIZACIÓN (2)'!B21</f>
        <v>Proceso adquisición de suelo por enajenación voluntaria, expropiación administrativa o judicial - Adquisición proyectos Tercera Concurrencia - Adquisición proyecto San Bernardo Tercer Milenio AMD 1 – Convenio 3151-2019 suscrito con el IDRD.</v>
      </c>
      <c r="B19" s="180" t="str">
        <f>+IF('PRIORIZACIÓN (2)'!I21&gt;0%,"YA CUENTA CON PONDERACIÓN DE RIESGOS, NO DILIGENCIAR ANALISIS OCI", "DILIGENCIE ANALISIS OCI PARA ESTA UNIDAD AUDITABLE")</f>
        <v>YA CUENTA CON PONDERACIÓN DE RIESGOS, NO DILIGENCIAR ANALISIS OCI</v>
      </c>
      <c r="C19" s="176" t="s">
        <v>345</v>
      </c>
      <c r="D19" s="1"/>
      <c r="E19" s="1" t="s">
        <v>485</v>
      </c>
      <c r="F19" s="1"/>
      <c r="G19" s="177" t="s">
        <v>346</v>
      </c>
      <c r="H19" s="1"/>
      <c r="I19" s="177" t="s">
        <v>345</v>
      </c>
      <c r="J19" s="1"/>
      <c r="K19" s="1" t="s">
        <v>486</v>
      </c>
      <c r="L19" s="1"/>
      <c r="M19" s="1" t="s">
        <v>345</v>
      </c>
      <c r="N19" s="1"/>
      <c r="O19" s="1" t="s">
        <v>561</v>
      </c>
      <c r="P19" s="174" t="str">
        <f t="shared" si="14"/>
        <v>E</v>
      </c>
      <c r="Q19" s="1">
        <f t="shared" si="4"/>
        <v>0</v>
      </c>
      <c r="R19" s="1" t="str">
        <f t="shared" si="0"/>
        <v>B</v>
      </c>
      <c r="S19" s="1" t="str">
        <f t="shared" si="1"/>
        <v>E</v>
      </c>
      <c r="T19" s="1">
        <f t="shared" si="5"/>
        <v>0</v>
      </c>
      <c r="U19" s="1" t="str">
        <f t="shared" si="2"/>
        <v>E</v>
      </c>
      <c r="V19" s="1">
        <f t="shared" si="13"/>
        <v>0</v>
      </c>
      <c r="W19" s="173" t="str">
        <f t="shared" si="6"/>
        <v>E</v>
      </c>
      <c r="X19" s="5">
        <f t="shared" si="15"/>
        <v>3</v>
      </c>
      <c r="Y19" s="1">
        <f t="shared" si="16"/>
        <v>0</v>
      </c>
      <c r="Z19" s="1">
        <f t="shared" si="17"/>
        <v>0</v>
      </c>
      <c r="AA19" s="174">
        <f t="shared" si="18"/>
        <v>1</v>
      </c>
      <c r="AB19" s="5">
        <f t="shared" si="19"/>
        <v>4</v>
      </c>
      <c r="AC19" s="175" t="str">
        <f t="shared" si="20"/>
        <v>Extremo</v>
      </c>
    </row>
    <row r="20" spans="1:29" ht="45" x14ac:dyDescent="0.25">
      <c r="A20" s="172" t="str">
        <f>+'PRIORIZACIÓN (2)'!B22</f>
        <v>Maduración y Calidad en la construccion del anexo técnico para los proyectos - gestión contractual</v>
      </c>
      <c r="B20" s="180" t="str">
        <f>+IF('PRIORIZACIÓN (2)'!I22&gt;0%,"YA CUENTA CON PONDERACIÓN DE RIESGOS, NO DILIGENCIAR ANALISIS OCI", "DILIGENCIE ANALISIS OCI PARA ESTA UNIDAD AUDITABLE")</f>
        <v>YA CUENTA CON PONDERACIÓN DE RIESGOS, NO DILIGENCIAR ANALISIS OCI</v>
      </c>
      <c r="C20" s="176" t="s">
        <v>343</v>
      </c>
      <c r="D20" s="1"/>
      <c r="E20" s="1" t="s">
        <v>485</v>
      </c>
      <c r="F20" s="1"/>
      <c r="G20" s="177" t="s">
        <v>345</v>
      </c>
      <c r="H20" s="1"/>
      <c r="I20" s="177" t="s">
        <v>345</v>
      </c>
      <c r="J20" s="1"/>
      <c r="K20" s="1" t="s">
        <v>490</v>
      </c>
      <c r="L20" s="1"/>
      <c r="M20" s="1" t="s">
        <v>344</v>
      </c>
      <c r="N20" s="1"/>
      <c r="O20" s="1" t="s">
        <v>487</v>
      </c>
      <c r="P20" s="174" t="str">
        <f t="shared" si="14"/>
        <v>B</v>
      </c>
      <c r="Q20" s="1" t="str">
        <f t="shared" si="4"/>
        <v>B</v>
      </c>
      <c r="R20" s="1" t="str">
        <f t="shared" si="0"/>
        <v>B</v>
      </c>
      <c r="S20" s="1">
        <f t="shared" si="1"/>
        <v>0</v>
      </c>
      <c r="T20" s="1">
        <f t="shared" si="5"/>
        <v>0</v>
      </c>
      <c r="U20" s="1" t="str">
        <f t="shared" si="2"/>
        <v>M</v>
      </c>
      <c r="V20" s="1" t="str">
        <f t="shared" si="13"/>
        <v>M</v>
      </c>
      <c r="W20" s="173" t="str">
        <f t="shared" si="6"/>
        <v>B</v>
      </c>
      <c r="X20" s="5">
        <f t="shared" si="15"/>
        <v>0</v>
      </c>
      <c r="Y20" s="1">
        <f t="shared" si="16"/>
        <v>0</v>
      </c>
      <c r="Z20" s="1">
        <f t="shared" si="17"/>
        <v>2</v>
      </c>
      <c r="AA20" s="174">
        <f t="shared" si="18"/>
        <v>3</v>
      </c>
      <c r="AB20" s="5">
        <f t="shared" si="19"/>
        <v>5</v>
      </c>
      <c r="AC20" s="175" t="str">
        <f t="shared" si="20"/>
        <v>Moderado</v>
      </c>
    </row>
    <row r="21" spans="1:29" ht="30" x14ac:dyDescent="0.25">
      <c r="A21" s="172" t="e">
        <f>+'PRIORIZACIÓN (2)'!B23</f>
        <v>#REF!</v>
      </c>
      <c r="B21" s="180" t="str">
        <f>+IF('PRIORIZACIÓN (2)'!I23&gt;0%,"YA CUENTA CON PONDERACIÓN DE RIESGOS, NO DILIGENCIAR ANALISIS OCI", "DILIGENCIE ANALISIS OCI PARA ESTA UNIDAD AUDITABLE")</f>
        <v>YA CUENTA CON PONDERACIÓN DE RIESGOS, NO DILIGENCIAR ANALISIS OCI</v>
      </c>
      <c r="C21" s="176" t="s">
        <v>343</v>
      </c>
      <c r="D21" s="1"/>
      <c r="E21" s="1" t="s">
        <v>485</v>
      </c>
      <c r="F21" s="1"/>
      <c r="G21" s="177" t="s">
        <v>345</v>
      </c>
      <c r="H21" s="1"/>
      <c r="I21" s="177" t="s">
        <v>345</v>
      </c>
      <c r="J21" s="1"/>
      <c r="K21" s="1" t="s">
        <v>490</v>
      </c>
      <c r="L21" s="1"/>
      <c r="M21" s="1" t="s">
        <v>344</v>
      </c>
      <c r="N21" s="1"/>
      <c r="O21" s="1" t="s">
        <v>487</v>
      </c>
      <c r="P21" s="174" t="str">
        <f t="shared" si="14"/>
        <v>B</v>
      </c>
      <c r="Q21" s="1" t="str">
        <f t="shared" si="4"/>
        <v>B</v>
      </c>
      <c r="R21" s="1" t="str">
        <f t="shared" si="0"/>
        <v>B</v>
      </c>
      <c r="S21" s="1">
        <f t="shared" si="1"/>
        <v>0</v>
      </c>
      <c r="T21" s="1">
        <f t="shared" si="5"/>
        <v>0</v>
      </c>
      <c r="U21" s="1" t="str">
        <f t="shared" si="2"/>
        <v>M</v>
      </c>
      <c r="V21" s="1" t="str">
        <f t="shared" si="13"/>
        <v>M</v>
      </c>
      <c r="W21" s="173" t="str">
        <f t="shared" si="6"/>
        <v>B</v>
      </c>
      <c r="X21" s="5">
        <f t="shared" si="15"/>
        <v>0</v>
      </c>
      <c r="Y21" s="1">
        <f t="shared" si="16"/>
        <v>0</v>
      </c>
      <c r="Z21" s="1">
        <f t="shared" si="17"/>
        <v>2</v>
      </c>
      <c r="AA21" s="174">
        <f t="shared" si="18"/>
        <v>3</v>
      </c>
      <c r="AB21" s="5">
        <f t="shared" si="19"/>
        <v>5</v>
      </c>
      <c r="AC21" s="175" t="str">
        <f t="shared" si="20"/>
        <v>Moderado</v>
      </c>
    </row>
    <row r="22" spans="1:29" ht="43.5" customHeight="1" x14ac:dyDescent="0.25">
      <c r="A22" s="172" t="str">
        <f>+'PRIORIZACIÓN (2)'!B24</f>
        <v>Auditoria implementación sistema de información SIM</v>
      </c>
      <c r="B22" s="180" t="str">
        <f>+IF('PRIORIZACIÓN (2)'!I24&gt;0%,"YA CUENTA CON PONDERACIÓN DE RIESGOS, NO DILIGENCIAR ANALISIS OCI", "DILIGENCIE ANALISIS OCI PARA ESTA UNIDAD AUDITABLE")</f>
        <v>YA CUENTA CON PONDERACIÓN DE RIESGOS, NO DILIGENCIAR ANALISIS OCI</v>
      </c>
      <c r="C22" s="176" t="s">
        <v>345</v>
      </c>
      <c r="D22" s="1"/>
      <c r="E22" s="1" t="s">
        <v>485</v>
      </c>
      <c r="F22" s="1"/>
      <c r="G22" s="177" t="s">
        <v>345</v>
      </c>
      <c r="H22" s="1"/>
      <c r="I22" s="177" t="s">
        <v>345</v>
      </c>
      <c r="J22" s="1"/>
      <c r="K22" s="1" t="s">
        <v>486</v>
      </c>
      <c r="L22" s="1"/>
      <c r="M22" s="1" t="s">
        <v>344</v>
      </c>
      <c r="N22" s="1"/>
      <c r="O22" s="1" t="s">
        <v>487</v>
      </c>
      <c r="P22" s="174" t="str">
        <f t="shared" si="14"/>
        <v>B</v>
      </c>
      <c r="Q22" s="1">
        <f t="shared" si="4"/>
        <v>0</v>
      </c>
      <c r="R22" s="1" t="str">
        <f t="shared" si="0"/>
        <v>B</v>
      </c>
      <c r="S22" s="1">
        <f t="shared" si="1"/>
        <v>0</v>
      </c>
      <c r="T22" s="1">
        <f t="shared" si="5"/>
        <v>0</v>
      </c>
      <c r="U22" s="1" t="str">
        <f t="shared" si="2"/>
        <v>E</v>
      </c>
      <c r="V22" s="1" t="str">
        <f t="shared" si="13"/>
        <v>M</v>
      </c>
      <c r="W22" s="173" t="str">
        <f t="shared" si="6"/>
        <v>B</v>
      </c>
      <c r="X22" s="5">
        <f t="shared" si="15"/>
        <v>1</v>
      </c>
      <c r="Y22" s="1">
        <f t="shared" si="16"/>
        <v>0</v>
      </c>
      <c r="Z22" s="1">
        <f t="shared" si="17"/>
        <v>1</v>
      </c>
      <c r="AA22" s="174">
        <f t="shared" si="18"/>
        <v>2</v>
      </c>
      <c r="AB22" s="5">
        <f t="shared" si="19"/>
        <v>4</v>
      </c>
      <c r="AC22" s="175" t="str">
        <f t="shared" si="20"/>
        <v>Extremo</v>
      </c>
    </row>
    <row r="23" spans="1:29" ht="30" x14ac:dyDescent="0.25">
      <c r="A23" s="172" t="str">
        <f>+'PRIORIZACIÓN (2)'!B25</f>
        <v>Auditoria proyecto misional 1 (proyecto san Bernardo)</v>
      </c>
      <c r="B23" s="180" t="str">
        <f>+IF('PRIORIZACIÓN (2)'!I25&gt;0%,"YA CUENTA CON PONDERACIÓN DE RIESGOS, NO DILIGENCIAR ANALISIS OCI", "DILIGENCIE ANALISIS OCI PARA ESTA UNIDAD AUDITABLE")</f>
        <v>YA CUENTA CON PONDERACIÓN DE RIESGOS, NO DILIGENCIAR ANALISIS OCI</v>
      </c>
      <c r="C23" s="176" t="s">
        <v>345</v>
      </c>
      <c r="D23" s="1"/>
      <c r="E23" s="1" t="s">
        <v>485</v>
      </c>
      <c r="F23" s="1"/>
      <c r="G23" s="177" t="s">
        <v>345</v>
      </c>
      <c r="H23" s="1"/>
      <c r="I23" s="177" t="s">
        <v>345</v>
      </c>
      <c r="J23" s="1"/>
      <c r="K23" s="1" t="s">
        <v>486</v>
      </c>
      <c r="L23" s="1"/>
      <c r="M23" s="1" t="s">
        <v>344</v>
      </c>
      <c r="N23" s="1"/>
      <c r="O23" s="1" t="s">
        <v>487</v>
      </c>
      <c r="P23" s="174" t="str">
        <f t="shared" si="14"/>
        <v>B</v>
      </c>
      <c r="Q23" s="1">
        <f t="shared" si="4"/>
        <v>0</v>
      </c>
      <c r="R23" s="1" t="str">
        <f t="shared" si="0"/>
        <v>B</v>
      </c>
      <c r="S23" s="1">
        <f t="shared" si="1"/>
        <v>0</v>
      </c>
      <c r="T23" s="1">
        <f t="shared" si="5"/>
        <v>0</v>
      </c>
      <c r="U23" s="1" t="str">
        <f t="shared" si="2"/>
        <v>E</v>
      </c>
      <c r="V23" s="1" t="str">
        <f t="shared" si="13"/>
        <v>M</v>
      </c>
      <c r="W23" s="173" t="str">
        <f t="shared" si="6"/>
        <v>B</v>
      </c>
      <c r="X23" s="5">
        <f t="shared" si="15"/>
        <v>1</v>
      </c>
      <c r="Y23" s="1">
        <f t="shared" si="16"/>
        <v>0</v>
      </c>
      <c r="Z23" s="1">
        <f t="shared" si="17"/>
        <v>1</v>
      </c>
      <c r="AA23" s="174">
        <f t="shared" si="18"/>
        <v>2</v>
      </c>
      <c r="AB23" s="5">
        <f t="shared" si="19"/>
        <v>4</v>
      </c>
      <c r="AC23" s="175" t="str">
        <f t="shared" si="20"/>
        <v>Extremo</v>
      </c>
    </row>
    <row r="24" spans="1:29" ht="42" customHeight="1" x14ac:dyDescent="0.25">
      <c r="A24" s="172" t="str">
        <f>+'PRIORIZACIÓN (2)'!B26</f>
        <v>Auditoria proyecto misional 2 (Actuaciones Estrategicas)</v>
      </c>
      <c r="B24" s="180" t="str">
        <f>+IF('PRIORIZACIÓN (2)'!I26&gt;0%,"YA CUENTA CON PONDERACIÓN DE RIESGOS, NO DILIGENCIAR ANALISIS OCI", "DILIGENCIE ANALISIS OCI PARA ESTA UNIDAD AUDITABLE")</f>
        <v>YA CUENTA CON PONDERACIÓN DE RIESGOS, NO DILIGENCIAR ANALISIS OCI</v>
      </c>
      <c r="C24" s="176" t="s">
        <v>345</v>
      </c>
      <c r="D24" s="1"/>
      <c r="E24" s="1" t="s">
        <v>485</v>
      </c>
      <c r="F24" s="1"/>
      <c r="G24" s="177" t="s">
        <v>345</v>
      </c>
      <c r="H24" s="1"/>
      <c r="I24" s="177" t="s">
        <v>345</v>
      </c>
      <c r="J24" s="1"/>
      <c r="K24" s="1" t="s">
        <v>486</v>
      </c>
      <c r="L24" s="1"/>
      <c r="M24" s="1" t="s">
        <v>344</v>
      </c>
      <c r="N24" s="1"/>
      <c r="O24" s="1" t="s">
        <v>487</v>
      </c>
      <c r="P24" s="174" t="str">
        <f t="shared" si="14"/>
        <v>B</v>
      </c>
      <c r="Q24" s="1">
        <f t="shared" si="4"/>
        <v>0</v>
      </c>
      <c r="R24" s="1" t="str">
        <f t="shared" si="0"/>
        <v>B</v>
      </c>
      <c r="S24" s="1">
        <f t="shared" si="1"/>
        <v>0</v>
      </c>
      <c r="T24" s="1">
        <f t="shared" si="5"/>
        <v>0</v>
      </c>
      <c r="U24" s="1" t="str">
        <f t="shared" si="2"/>
        <v>E</v>
      </c>
      <c r="V24" s="1" t="str">
        <f t="shared" si="13"/>
        <v>M</v>
      </c>
      <c r="W24" s="173" t="str">
        <f t="shared" si="6"/>
        <v>B</v>
      </c>
      <c r="X24" s="5">
        <f t="shared" ref="X24:X33" si="21">COUNTIFS(Q24:W24,"E")</f>
        <v>1</v>
      </c>
      <c r="Y24" s="1">
        <f t="shared" ref="Y24:Y33" si="22">COUNTIF(Q24:W24,"A")</f>
        <v>0</v>
      </c>
      <c r="Z24" s="1">
        <f t="shared" ref="Z24:Z33" si="23">COUNTIF(Q24:W24,"M")</f>
        <v>1</v>
      </c>
      <c r="AA24" s="174">
        <f t="shared" ref="AA24:AA33" si="24">COUNTIF(Q24:W24,"B")</f>
        <v>2</v>
      </c>
      <c r="AB24" s="5">
        <f t="shared" ref="AB24:AB33" si="25">SUM(X24:AA24)</f>
        <v>4</v>
      </c>
      <c r="AC24" s="175" t="str">
        <f t="shared" ref="AC24:AC33" si="26">+IF((X24/AB24)&gt;=0.2,"Extremo",+IF(((X24/AB24)+(Y24/AB24))&gt;=0.3,"Alto",+IF(((X24/AB24)+(Y24/AB24)+(Z24/AB24))&gt;=0.4,"Moderado",+IF((X24/AB24)+(Y24/AB24)+(Z24/AB24)+(AA24/AB24)&gt;=0.5,"Bajo",""))))</f>
        <v>Extremo</v>
      </c>
    </row>
    <row r="25" spans="1:29" ht="30" x14ac:dyDescent="0.25">
      <c r="A25" s="172" t="str">
        <f>+'PRIORIZACIÓN (2)'!B27</f>
        <v>Auditoria de Gestión Contractual</v>
      </c>
      <c r="B25" s="180" t="str">
        <f>+IF('PRIORIZACIÓN (2)'!I27&gt;0%,"YA CUENTA CON PONDERACIÓN DE RIESGOS, NO DILIGENCIAR ANALISIS OCI", "DILIGENCIE ANALISIS OCI PARA ESTA UNIDAD AUDITABLE")</f>
        <v>YA CUENTA CON PONDERACIÓN DE RIESGOS, NO DILIGENCIAR ANALISIS OCI</v>
      </c>
      <c r="C25" s="176" t="s">
        <v>343</v>
      </c>
      <c r="D25" s="1"/>
      <c r="E25" s="1" t="s">
        <v>485</v>
      </c>
      <c r="F25" s="1"/>
      <c r="G25" s="177" t="s">
        <v>345</v>
      </c>
      <c r="H25" s="1"/>
      <c r="I25" s="177" t="s">
        <v>343</v>
      </c>
      <c r="J25" s="1"/>
      <c r="K25" s="1" t="s">
        <v>488</v>
      </c>
      <c r="L25" s="1"/>
      <c r="M25" s="1" t="s">
        <v>344</v>
      </c>
      <c r="N25" s="1"/>
      <c r="O25" s="1" t="s">
        <v>487</v>
      </c>
      <c r="P25" s="174" t="str">
        <f t="shared" si="14"/>
        <v>B</v>
      </c>
      <c r="Q25" s="1" t="str">
        <f t="shared" si="4"/>
        <v>B</v>
      </c>
      <c r="R25" s="1" t="str">
        <f t="shared" si="0"/>
        <v>B</v>
      </c>
      <c r="S25" s="1">
        <f t="shared" si="1"/>
        <v>0</v>
      </c>
      <c r="T25" s="1" t="str">
        <f t="shared" si="5"/>
        <v>B</v>
      </c>
      <c r="U25" s="1" t="str">
        <f t="shared" si="2"/>
        <v>A</v>
      </c>
      <c r="V25" s="1" t="str">
        <f t="shared" si="13"/>
        <v>M</v>
      </c>
      <c r="W25" s="173" t="str">
        <f t="shared" si="6"/>
        <v>B</v>
      </c>
      <c r="X25" s="5">
        <f t="shared" si="21"/>
        <v>0</v>
      </c>
      <c r="Y25" s="1">
        <f t="shared" si="22"/>
        <v>1</v>
      </c>
      <c r="Z25" s="1">
        <f t="shared" si="23"/>
        <v>1</v>
      </c>
      <c r="AA25" s="174">
        <f t="shared" si="24"/>
        <v>4</v>
      </c>
      <c r="AB25" s="5">
        <f t="shared" si="25"/>
        <v>6</v>
      </c>
      <c r="AC25" s="175" t="str">
        <f t="shared" si="26"/>
        <v>Bajo</v>
      </c>
    </row>
    <row r="26" spans="1:29" ht="42" customHeight="1" x14ac:dyDescent="0.25">
      <c r="A26" s="172" t="str">
        <f>+'PRIORIZACIÓN (2)'!B28</f>
        <v>Auditoria proceso administrativo 1 (Esquema Fiduciario)</v>
      </c>
      <c r="B26" s="180" t="str">
        <f>+IF('PRIORIZACIÓN (2)'!I28&gt;0%,"YA CUENTA CON PONDERACIÓN DE RIESGOS, NO DILIGENCIAR ANALISIS OCI", "DILIGENCIE ANALISIS OCI PARA ESTA UNIDAD AUDITABLE")</f>
        <v>YA CUENTA CON PONDERACIÓN DE RIESGOS, NO DILIGENCIAR ANALISIS OCI</v>
      </c>
      <c r="C26" s="176" t="s">
        <v>345</v>
      </c>
      <c r="D26" s="1"/>
      <c r="E26" s="1" t="s">
        <v>485</v>
      </c>
      <c r="F26" s="1"/>
      <c r="G26" s="177" t="s">
        <v>345</v>
      </c>
      <c r="H26" s="1"/>
      <c r="I26" s="177" t="s">
        <v>345</v>
      </c>
      <c r="J26" s="1"/>
      <c r="K26" s="1" t="s">
        <v>488</v>
      </c>
      <c r="L26" s="1"/>
      <c r="M26" s="1" t="s">
        <v>345</v>
      </c>
      <c r="N26" s="1"/>
      <c r="O26" s="1" t="s">
        <v>489</v>
      </c>
      <c r="P26" s="174" t="str">
        <f t="shared" si="14"/>
        <v>M</v>
      </c>
      <c r="Q26" s="1">
        <f t="shared" si="4"/>
        <v>0</v>
      </c>
      <c r="R26" s="1" t="str">
        <f t="shared" si="0"/>
        <v>B</v>
      </c>
      <c r="S26" s="1">
        <f t="shared" si="1"/>
        <v>0</v>
      </c>
      <c r="T26" s="1">
        <f t="shared" si="5"/>
        <v>0</v>
      </c>
      <c r="U26" s="1" t="str">
        <f t="shared" si="2"/>
        <v>A</v>
      </c>
      <c r="V26" s="1">
        <f t="shared" si="13"/>
        <v>0</v>
      </c>
      <c r="W26" s="173" t="str">
        <f t="shared" si="6"/>
        <v>M</v>
      </c>
      <c r="X26" s="5">
        <f t="shared" si="21"/>
        <v>0</v>
      </c>
      <c r="Y26" s="1">
        <f t="shared" si="22"/>
        <v>1</v>
      </c>
      <c r="Z26" s="1">
        <f t="shared" si="23"/>
        <v>1</v>
      </c>
      <c r="AA26" s="174">
        <f t="shared" si="24"/>
        <v>1</v>
      </c>
      <c r="AB26" s="5">
        <f t="shared" si="25"/>
        <v>3</v>
      </c>
      <c r="AC26" s="175" t="str">
        <f t="shared" si="26"/>
        <v>Alto</v>
      </c>
    </row>
    <row r="27" spans="1:29" ht="45" x14ac:dyDescent="0.25">
      <c r="A27" s="172" t="str">
        <f>+'PRIORIZACIÓN (2)'!B29</f>
        <v>Alcaldía los Mártires - Avance Obra - Cumplimiento cronogramas y ejecución presupuestal</v>
      </c>
      <c r="B27" s="180" t="str">
        <f>+IF('PRIORIZACIÓN (2)'!I29&gt;0%,"YA CUENTA CON PONDERACIÓN DE RIESGOS, NO DILIGENCIAR ANALISIS OCI", "DILIGENCIE ANALISIS OCI PARA ESTA UNIDAD AUDITABLE")</f>
        <v>YA CUENTA CON PONDERACIÓN DE RIESGOS, NO DILIGENCIAR ANALISIS OCI</v>
      </c>
      <c r="C27" s="176" t="s">
        <v>345</v>
      </c>
      <c r="D27" s="1"/>
      <c r="E27" s="1" t="s">
        <v>485</v>
      </c>
      <c r="F27" s="1"/>
      <c r="G27" s="177" t="s">
        <v>345</v>
      </c>
      <c r="H27" s="1"/>
      <c r="I27" s="177" t="s">
        <v>345</v>
      </c>
      <c r="J27" s="1"/>
      <c r="K27" s="1" t="s">
        <v>486</v>
      </c>
      <c r="L27" s="1"/>
      <c r="M27" s="1" t="s">
        <v>344</v>
      </c>
      <c r="N27" s="1"/>
      <c r="O27" s="1" t="s">
        <v>487</v>
      </c>
      <c r="P27" s="174" t="str">
        <f t="shared" si="14"/>
        <v>B</v>
      </c>
      <c r="Q27" s="1">
        <f t="shared" si="4"/>
        <v>0</v>
      </c>
      <c r="R27" s="1" t="str">
        <f t="shared" si="0"/>
        <v>B</v>
      </c>
      <c r="S27" s="1">
        <f t="shared" si="1"/>
        <v>0</v>
      </c>
      <c r="T27" s="1">
        <f t="shared" si="5"/>
        <v>0</v>
      </c>
      <c r="U27" s="1" t="str">
        <f t="shared" si="2"/>
        <v>E</v>
      </c>
      <c r="V27" s="1" t="str">
        <f t="shared" si="13"/>
        <v>M</v>
      </c>
      <c r="W27" s="173" t="str">
        <f t="shared" si="6"/>
        <v>B</v>
      </c>
      <c r="X27" s="5">
        <f t="shared" si="21"/>
        <v>1</v>
      </c>
      <c r="Y27" s="1">
        <f t="shared" si="22"/>
        <v>0</v>
      </c>
      <c r="Z27" s="1">
        <f t="shared" si="23"/>
        <v>1</v>
      </c>
      <c r="AA27" s="174">
        <f t="shared" si="24"/>
        <v>2</v>
      </c>
      <c r="AB27" s="5">
        <f t="shared" si="25"/>
        <v>4</v>
      </c>
      <c r="AC27" s="175" t="str">
        <f t="shared" si="26"/>
        <v>Extremo</v>
      </c>
    </row>
    <row r="28" spans="1:29" ht="45" x14ac:dyDescent="0.25">
      <c r="A28" s="172" t="str">
        <f>+'PRIORIZACIÓN (2)'!B30</f>
        <v>Bronx Distrito Creativo  - Avance Obra - Cumplimiento cronogramas y ejecución presupuestal</v>
      </c>
      <c r="B28" s="180" t="str">
        <f>+IF('PRIORIZACIÓN (2)'!I30&gt;0%,"YA CUENTA CON PONDERACIÓN DE RIESGOS, NO DILIGENCIAR ANALISIS OCI", "DILIGENCIE ANALISIS OCI PARA ESTA UNIDAD AUDITABLE")</f>
        <v>YA CUENTA CON PONDERACIÓN DE RIESGOS, NO DILIGENCIAR ANALISIS OCI</v>
      </c>
      <c r="C28" s="176" t="s">
        <v>345</v>
      </c>
      <c r="D28" s="1"/>
      <c r="E28" s="1" t="s">
        <v>485</v>
      </c>
      <c r="F28" s="1"/>
      <c r="G28" s="177" t="s">
        <v>345</v>
      </c>
      <c r="H28" s="1"/>
      <c r="I28" s="177" t="s">
        <v>345</v>
      </c>
      <c r="J28" s="1"/>
      <c r="K28" s="1" t="s">
        <v>488</v>
      </c>
      <c r="L28" s="1"/>
      <c r="M28" s="1" t="s">
        <v>345</v>
      </c>
      <c r="N28" s="1"/>
      <c r="O28" s="1" t="s">
        <v>489</v>
      </c>
      <c r="P28" s="174" t="str">
        <f t="shared" si="14"/>
        <v>M</v>
      </c>
      <c r="Q28" s="1">
        <f t="shared" si="4"/>
        <v>0</v>
      </c>
      <c r="R28" s="1" t="str">
        <f t="shared" si="0"/>
        <v>B</v>
      </c>
      <c r="S28" s="1">
        <f t="shared" si="1"/>
        <v>0</v>
      </c>
      <c r="T28" s="1">
        <f t="shared" si="5"/>
        <v>0</v>
      </c>
      <c r="U28" s="1" t="str">
        <f t="shared" si="2"/>
        <v>A</v>
      </c>
      <c r="V28" s="1">
        <f t="shared" si="13"/>
        <v>0</v>
      </c>
      <c r="W28" s="173" t="str">
        <f t="shared" si="6"/>
        <v>M</v>
      </c>
      <c r="X28" s="5">
        <f t="shared" si="21"/>
        <v>0</v>
      </c>
      <c r="Y28" s="1">
        <f t="shared" si="22"/>
        <v>1</v>
      </c>
      <c r="Z28" s="1">
        <f t="shared" si="23"/>
        <v>1</v>
      </c>
      <c r="AA28" s="174">
        <f t="shared" si="24"/>
        <v>1</v>
      </c>
      <c r="AB28" s="5">
        <f t="shared" si="25"/>
        <v>3</v>
      </c>
      <c r="AC28" s="175" t="str">
        <f t="shared" si="26"/>
        <v>Alto</v>
      </c>
    </row>
    <row r="29" spans="1:29" ht="45" x14ac:dyDescent="0.25">
      <c r="A29" s="172" t="str">
        <f>+'PRIORIZACIÓN (2)'!B31</f>
        <v>Centro de Formación para el trabajo (SENA)  - Avance Obra - Cumplimiento cronogramas y ejecución presupuestal</v>
      </c>
      <c r="B29" s="180" t="str">
        <f>+IF('PRIORIZACIÓN (2)'!I31&gt;0%,"YA CUENTA CON PONDERACIÓN DE RIESGOS, NO DILIGENCIAR ANALISIS OCI", "DILIGENCIE ANALISIS OCI PARA ESTA UNIDAD AUDITABLE")</f>
        <v>YA CUENTA CON PONDERACIÓN DE RIESGOS, NO DILIGENCIAR ANALISIS OCI</v>
      </c>
      <c r="C29" s="176" t="s">
        <v>345</v>
      </c>
      <c r="D29" s="1"/>
      <c r="E29" s="1" t="s">
        <v>485</v>
      </c>
      <c r="F29" s="1"/>
      <c r="G29" s="177" t="s">
        <v>345</v>
      </c>
      <c r="H29" s="1"/>
      <c r="I29" s="177" t="s">
        <v>345</v>
      </c>
      <c r="J29" s="1"/>
      <c r="K29" s="1" t="s">
        <v>488</v>
      </c>
      <c r="L29" s="1"/>
      <c r="M29" s="1" t="s">
        <v>345</v>
      </c>
      <c r="N29" s="1"/>
      <c r="O29" s="1" t="s">
        <v>489</v>
      </c>
      <c r="P29" s="174" t="str">
        <f t="shared" si="14"/>
        <v>M</v>
      </c>
      <c r="Q29" s="1">
        <f t="shared" si="4"/>
        <v>0</v>
      </c>
      <c r="R29" s="1" t="str">
        <f t="shared" si="0"/>
        <v>B</v>
      </c>
      <c r="S29" s="1">
        <f t="shared" si="1"/>
        <v>0</v>
      </c>
      <c r="T29" s="1">
        <f t="shared" si="5"/>
        <v>0</v>
      </c>
      <c r="U29" s="1" t="str">
        <f t="shared" si="2"/>
        <v>A</v>
      </c>
      <c r="V29" s="1">
        <f t="shared" si="13"/>
        <v>0</v>
      </c>
      <c r="W29" s="173" t="str">
        <f t="shared" si="6"/>
        <v>M</v>
      </c>
      <c r="X29" s="5">
        <f t="shared" si="21"/>
        <v>0</v>
      </c>
      <c r="Y29" s="1">
        <f t="shared" si="22"/>
        <v>1</v>
      </c>
      <c r="Z29" s="1">
        <f t="shared" si="23"/>
        <v>1</v>
      </c>
      <c r="AA29" s="174">
        <f t="shared" si="24"/>
        <v>1</v>
      </c>
      <c r="AB29" s="5">
        <f t="shared" si="25"/>
        <v>3</v>
      </c>
      <c r="AC29" s="175" t="str">
        <f t="shared" si="26"/>
        <v>Alto</v>
      </c>
    </row>
    <row r="30" spans="1:29" ht="30" x14ac:dyDescent="0.25">
      <c r="A30" s="172" t="str">
        <f>+'PRIORIZACIÓN (2)'!B32</f>
        <v>Direccionamiento Estratégico y Gobierno Corporativo</v>
      </c>
      <c r="B30" s="180" t="str">
        <f>+IF('PRIORIZACIÓN (2)'!I32&gt;0%,"YA CUENTA CON PONDERACIÓN DE RIESGOS, NO DILIGENCIAR ANALISIS OCI", "DILIGENCIE ANALISIS OCI PARA ESTA UNIDAD AUDITABLE")</f>
        <v>YA CUENTA CON PONDERACIÓN DE RIESGOS, NO DILIGENCIAR ANALISIS OCI</v>
      </c>
      <c r="C30" s="176" t="s">
        <v>345</v>
      </c>
      <c r="D30" s="1"/>
      <c r="E30" s="1" t="s">
        <v>485</v>
      </c>
      <c r="F30" s="1"/>
      <c r="G30" s="177" t="s">
        <v>345</v>
      </c>
      <c r="H30" s="1"/>
      <c r="I30" s="177" t="s">
        <v>343</v>
      </c>
      <c r="J30" s="1"/>
      <c r="K30" s="1" t="s">
        <v>490</v>
      </c>
      <c r="L30" s="1"/>
      <c r="M30" s="1" t="s">
        <v>345</v>
      </c>
      <c r="N30" s="1"/>
      <c r="O30" s="1" t="s">
        <v>489</v>
      </c>
      <c r="P30" s="174" t="str">
        <f t="shared" si="14"/>
        <v>M</v>
      </c>
      <c r="Q30" s="1">
        <f t="shared" si="4"/>
        <v>0</v>
      </c>
      <c r="R30" s="1" t="str">
        <f t="shared" si="0"/>
        <v>B</v>
      </c>
      <c r="S30" s="1">
        <f t="shared" si="1"/>
        <v>0</v>
      </c>
      <c r="T30" s="1" t="str">
        <f t="shared" si="5"/>
        <v>B</v>
      </c>
      <c r="U30" s="1" t="str">
        <f t="shared" si="2"/>
        <v>M</v>
      </c>
      <c r="V30" s="1">
        <f t="shared" si="13"/>
        <v>0</v>
      </c>
      <c r="W30" s="173" t="str">
        <f t="shared" si="6"/>
        <v>M</v>
      </c>
      <c r="X30" s="5">
        <f t="shared" si="21"/>
        <v>0</v>
      </c>
      <c r="Y30" s="1">
        <f t="shared" si="22"/>
        <v>0</v>
      </c>
      <c r="Z30" s="1">
        <f t="shared" si="23"/>
        <v>2</v>
      </c>
      <c r="AA30" s="174">
        <f t="shared" si="24"/>
        <v>2</v>
      </c>
      <c r="AB30" s="5">
        <f t="shared" si="25"/>
        <v>4</v>
      </c>
      <c r="AC30" s="175" t="str">
        <f t="shared" si="26"/>
        <v>Moderado</v>
      </c>
    </row>
    <row r="31" spans="1:29" ht="30" x14ac:dyDescent="0.25">
      <c r="A31" s="172" t="str">
        <f>+'PRIORIZACIÓN (2)'!B33</f>
        <v>Seguimiento Cumplimiento Norma Archivística ERU</v>
      </c>
      <c r="B31" s="180" t="str">
        <f>+IF('PRIORIZACIÓN (2)'!I33&gt;0%,"YA CUENTA CON PONDERACIÓN DE RIESGOS, NO DILIGENCIAR ANALISIS OCI", "DILIGENCIE ANALISIS OCI PARA ESTA UNIDAD AUDITABLE")</f>
        <v>YA CUENTA CON PONDERACIÓN DE RIESGOS, NO DILIGENCIAR ANALISIS OCI</v>
      </c>
      <c r="C31" s="176" t="s">
        <v>345</v>
      </c>
      <c r="D31" s="1"/>
      <c r="E31" s="1" t="s">
        <v>485</v>
      </c>
      <c r="F31" s="1"/>
      <c r="G31" s="177" t="s">
        <v>345</v>
      </c>
      <c r="H31" s="1"/>
      <c r="I31" s="177" t="s">
        <v>343</v>
      </c>
      <c r="J31" s="1"/>
      <c r="K31" s="1" t="s">
        <v>486</v>
      </c>
      <c r="L31" s="1"/>
      <c r="M31" s="1" t="s">
        <v>345</v>
      </c>
      <c r="N31" s="1"/>
      <c r="O31" s="1" t="s">
        <v>487</v>
      </c>
      <c r="P31" s="174" t="str">
        <f t="shared" si="14"/>
        <v>B</v>
      </c>
      <c r="Q31" s="1">
        <f t="shared" si="4"/>
        <v>0</v>
      </c>
      <c r="R31" s="1" t="str">
        <f t="shared" si="0"/>
        <v>B</v>
      </c>
      <c r="S31" s="1">
        <f t="shared" si="1"/>
        <v>0</v>
      </c>
      <c r="T31" s="1" t="str">
        <f t="shared" si="5"/>
        <v>B</v>
      </c>
      <c r="U31" s="1" t="str">
        <f t="shared" si="2"/>
        <v>E</v>
      </c>
      <c r="V31" s="1">
        <f t="shared" si="13"/>
        <v>0</v>
      </c>
      <c r="W31" s="173" t="str">
        <f t="shared" si="6"/>
        <v>B</v>
      </c>
      <c r="X31" s="5">
        <f t="shared" si="21"/>
        <v>1</v>
      </c>
      <c r="Y31" s="1">
        <f t="shared" si="22"/>
        <v>0</v>
      </c>
      <c r="Z31" s="1">
        <f t="shared" si="23"/>
        <v>0</v>
      </c>
      <c r="AA31" s="174">
        <f t="shared" si="24"/>
        <v>3</v>
      </c>
      <c r="AB31" s="5">
        <f t="shared" si="25"/>
        <v>4</v>
      </c>
      <c r="AC31" s="175" t="str">
        <f t="shared" si="26"/>
        <v>Extremo</v>
      </c>
    </row>
    <row r="32" spans="1:29" ht="30" x14ac:dyDescent="0.25">
      <c r="A32" s="172" t="str">
        <f>+'PRIORIZACIÓN (2)'!B34</f>
        <v xml:space="preserve">Auditoria Gestión Suelo </v>
      </c>
      <c r="B32" s="180" t="str">
        <f>+IF('PRIORIZACIÓN (2)'!I34&gt;0%,"YA CUENTA CON PONDERACIÓN DE RIESGOS, NO DILIGENCIAR ANALISIS OCI", "DILIGENCIE ANALISIS OCI PARA ESTA UNIDAD AUDITABLE")</f>
        <v>YA CUENTA CON PONDERACIÓN DE RIESGOS, NO DILIGENCIAR ANALISIS OCI</v>
      </c>
      <c r="C32" s="176" t="s">
        <v>345</v>
      </c>
      <c r="D32" s="1"/>
      <c r="E32" s="1" t="s">
        <v>485</v>
      </c>
      <c r="F32" s="1"/>
      <c r="G32" s="177" t="s">
        <v>343</v>
      </c>
      <c r="H32" s="1"/>
      <c r="I32" s="177" t="s">
        <v>343</v>
      </c>
      <c r="J32" s="1"/>
      <c r="K32" s="1" t="s">
        <v>486</v>
      </c>
      <c r="L32" s="1"/>
      <c r="M32" s="1" t="s">
        <v>345</v>
      </c>
      <c r="N32" s="1"/>
      <c r="O32" s="1" t="s">
        <v>487</v>
      </c>
      <c r="P32" s="174" t="str">
        <f t="shared" si="14"/>
        <v>B</v>
      </c>
      <c r="Q32" s="1">
        <f t="shared" si="4"/>
        <v>0</v>
      </c>
      <c r="R32" s="1" t="str">
        <f t="shared" si="0"/>
        <v>B</v>
      </c>
      <c r="S32" s="1" t="str">
        <f t="shared" si="1"/>
        <v>B</v>
      </c>
      <c r="T32" s="1" t="str">
        <f t="shared" si="5"/>
        <v>B</v>
      </c>
      <c r="U32" s="1" t="str">
        <f t="shared" si="2"/>
        <v>E</v>
      </c>
      <c r="V32" s="1">
        <f t="shared" si="13"/>
        <v>0</v>
      </c>
      <c r="W32" s="173" t="str">
        <f t="shared" si="6"/>
        <v>B</v>
      </c>
      <c r="X32" s="5">
        <f t="shared" si="21"/>
        <v>1</v>
      </c>
      <c r="Y32" s="1">
        <f t="shared" si="22"/>
        <v>0</v>
      </c>
      <c r="Z32" s="1">
        <f t="shared" si="23"/>
        <v>0</v>
      </c>
      <c r="AA32" s="174">
        <f t="shared" si="24"/>
        <v>4</v>
      </c>
      <c r="AB32" s="5">
        <f t="shared" si="25"/>
        <v>5</v>
      </c>
      <c r="AC32" s="175" t="str">
        <f t="shared" si="26"/>
        <v>Extremo</v>
      </c>
    </row>
    <row r="33" spans="1:29" ht="30" x14ac:dyDescent="0.25">
      <c r="A33" s="172" t="str">
        <f>+'PRIORIZACIÓN (2)'!B35</f>
        <v xml:space="preserve">Sistema de Información Misional </v>
      </c>
      <c r="B33" s="180" t="str">
        <f>+IF('PRIORIZACIÓN (2)'!I35&gt;0%,"YA CUENTA CON PONDERACIÓN DE RIESGOS, NO DILIGENCIAR ANALISIS OCI", "DILIGENCIE ANALISIS OCI PARA ESTA UNIDAD AUDITABLE")</f>
        <v>YA CUENTA CON PONDERACIÓN DE RIESGOS, NO DILIGENCIAR ANALISIS OCI</v>
      </c>
      <c r="C33" s="176" t="s">
        <v>345</v>
      </c>
      <c r="D33" s="1"/>
      <c r="E33" s="1" t="s">
        <v>511</v>
      </c>
      <c r="F33" s="1"/>
      <c r="G33" s="177" t="s">
        <v>344</v>
      </c>
      <c r="H33" s="1"/>
      <c r="I33" s="177" t="s">
        <v>343</v>
      </c>
      <c r="J33" s="1"/>
      <c r="K33" s="1" t="s">
        <v>488</v>
      </c>
      <c r="L33" s="1"/>
      <c r="M33" s="1" t="s">
        <v>343</v>
      </c>
      <c r="N33" s="1"/>
      <c r="O33" s="1" t="s">
        <v>489</v>
      </c>
      <c r="P33" s="174" t="str">
        <f t="shared" si="14"/>
        <v>M</v>
      </c>
      <c r="Q33" s="1">
        <f t="shared" si="4"/>
        <v>0</v>
      </c>
      <c r="R33" s="1" t="str">
        <f t="shared" si="0"/>
        <v>A</v>
      </c>
      <c r="S33" s="1" t="str">
        <f t="shared" si="1"/>
        <v>M</v>
      </c>
      <c r="T33" s="1" t="str">
        <f t="shared" si="5"/>
        <v>B</v>
      </c>
      <c r="U33" s="1" t="str">
        <f t="shared" si="2"/>
        <v>A</v>
      </c>
      <c r="V33" s="1" t="str">
        <f t="shared" si="13"/>
        <v>B</v>
      </c>
      <c r="W33" s="173" t="str">
        <f t="shared" si="6"/>
        <v>M</v>
      </c>
      <c r="X33" s="5">
        <f t="shared" si="21"/>
        <v>0</v>
      </c>
      <c r="Y33" s="1">
        <f t="shared" si="22"/>
        <v>2</v>
      </c>
      <c r="Z33" s="1">
        <f t="shared" si="23"/>
        <v>2</v>
      </c>
      <c r="AA33" s="174">
        <f t="shared" si="24"/>
        <v>2</v>
      </c>
      <c r="AB33" s="5">
        <f t="shared" si="25"/>
        <v>6</v>
      </c>
      <c r="AC33" s="175" t="str">
        <f t="shared" si="26"/>
        <v>Alto</v>
      </c>
    </row>
    <row r="34" spans="1:29" ht="45" x14ac:dyDescent="0.25">
      <c r="A34" s="172" t="str">
        <f>+'PRIORIZACIÓN (2)'!B36</f>
        <v>Contratación transversal (Incluye San Victorino y Optimización Nuevo Manual de Contratación)</v>
      </c>
      <c r="B34" s="180" t="str">
        <f>+IF('PRIORIZACIÓN (2)'!I36&gt;0%,"YA CUENTA CON PONDERACIÓN DE RIESGOS, NO DILIGENCIAR ANALISIS OCI", "DILIGENCIE ANALISIS OCI PARA ESTA UNIDAD AUDITABLE")</f>
        <v>YA CUENTA CON PONDERACIÓN DE RIESGOS, NO DILIGENCIAR ANALISIS OCI</v>
      </c>
      <c r="C34" s="176" t="s">
        <v>345</v>
      </c>
      <c r="D34" s="1"/>
      <c r="E34" s="1" t="s">
        <v>485</v>
      </c>
      <c r="F34" s="1"/>
      <c r="G34" s="177" t="s">
        <v>345</v>
      </c>
      <c r="H34" s="1"/>
      <c r="I34" s="177" t="s">
        <v>344</v>
      </c>
      <c r="J34" s="1"/>
      <c r="K34" s="1" t="s">
        <v>490</v>
      </c>
      <c r="L34" s="1"/>
      <c r="M34" s="1" t="s">
        <v>345</v>
      </c>
      <c r="N34" s="1"/>
      <c r="O34" s="1" t="s">
        <v>489</v>
      </c>
      <c r="P34" s="174" t="str">
        <f t="shared" si="14"/>
        <v>M</v>
      </c>
      <c r="Q34" s="1">
        <f t="shared" si="4"/>
        <v>0</v>
      </c>
      <c r="R34" s="1" t="str">
        <f t="shared" si="0"/>
        <v>B</v>
      </c>
      <c r="S34" s="1">
        <f t="shared" si="1"/>
        <v>0</v>
      </c>
      <c r="T34" s="1" t="str">
        <f t="shared" si="5"/>
        <v>M</v>
      </c>
      <c r="U34" s="1" t="str">
        <f t="shared" si="2"/>
        <v>M</v>
      </c>
      <c r="V34" s="1">
        <f t="shared" si="13"/>
        <v>0</v>
      </c>
      <c r="W34" s="173" t="str">
        <f t="shared" si="6"/>
        <v>M</v>
      </c>
      <c r="X34" s="5">
        <f>COUNTIFS(Q34:W34,"E")</f>
        <v>0</v>
      </c>
      <c r="Y34" s="1">
        <f>COUNTIF(Q34:W34,"A")</f>
        <v>0</v>
      </c>
      <c r="Z34" s="1">
        <f>COUNTIF(Q34:W34,"M")</f>
        <v>3</v>
      </c>
      <c r="AA34" s="174">
        <f>COUNTIF(Q34:W34,"B")</f>
        <v>1</v>
      </c>
      <c r="AB34" s="5">
        <f>SUM(X34:AA34)</f>
        <v>4</v>
      </c>
      <c r="AC34" s="175" t="str">
        <f>+IF((X34/AB34)&gt;=0.2,"Extremo",+IF(((X34/AB34)+(Y34/AB34))&gt;=0.3,"Alto",+IF(((X34/AB34)+(Y34/AB34)+(Z34/AB34))&gt;=0.4,"Moderado",+IF((X34/AB34)+(Y34/AB34)+(Z34/AB34)+(AA34/AB34)&gt;=0.5,"Bajo",""))))</f>
        <v>Moderado</v>
      </c>
    </row>
    <row r="35" spans="1:29" ht="30" x14ac:dyDescent="0.25">
      <c r="A35" s="172" t="str">
        <f>+'PRIORIZACIÓN (2)'!B37</f>
        <v>Seguimiento Ejecución y avance de proyectos</v>
      </c>
      <c r="B35" s="180" t="str">
        <f>+IF('PRIORIZACIÓN (2)'!I37&gt;0%,"YA CUENTA CON PONDERACIÓN DE RIESGOS, NO DILIGENCIAR ANALISIS OCI", "DILIGENCIE ANALISIS OCI PARA ESTA UNIDAD AUDITABLE")</f>
        <v>YA CUENTA CON PONDERACIÓN DE RIESGOS, NO DILIGENCIAR ANALISIS OCI</v>
      </c>
      <c r="C35" s="176" t="s">
        <v>343</v>
      </c>
      <c r="D35" s="1"/>
      <c r="E35" s="1" t="s">
        <v>485</v>
      </c>
      <c r="F35" s="1"/>
      <c r="G35" s="177" t="s">
        <v>345</v>
      </c>
      <c r="H35" s="1"/>
      <c r="I35" s="177" t="s">
        <v>345</v>
      </c>
      <c r="J35" s="1"/>
      <c r="K35" s="1" t="s">
        <v>512</v>
      </c>
      <c r="L35" s="1"/>
      <c r="M35" s="1" t="s">
        <v>345</v>
      </c>
      <c r="N35" s="1"/>
      <c r="O35" s="1" t="s">
        <v>489</v>
      </c>
      <c r="P35" s="174" t="str">
        <f t="shared" si="14"/>
        <v>M</v>
      </c>
      <c r="Q35" s="1" t="str">
        <f t="shared" si="4"/>
        <v>B</v>
      </c>
      <c r="R35" s="1" t="str">
        <f t="shared" si="0"/>
        <v>B</v>
      </c>
      <c r="S35" s="1">
        <f t="shared" si="1"/>
        <v>0</v>
      </c>
      <c r="T35" s="1">
        <f t="shared" si="5"/>
        <v>0</v>
      </c>
      <c r="U35" s="1" t="str">
        <f t="shared" si="2"/>
        <v>B</v>
      </c>
      <c r="V35" s="1">
        <f t="shared" si="13"/>
        <v>0</v>
      </c>
      <c r="W35" s="173" t="str">
        <f t="shared" si="6"/>
        <v>M</v>
      </c>
      <c r="X35" s="5">
        <f>COUNTIFS(Q35:W35,"E")</f>
        <v>0</v>
      </c>
      <c r="Y35" s="1">
        <f>COUNTIF(Q35:W35,"A")</f>
        <v>0</v>
      </c>
      <c r="Z35" s="1">
        <f>COUNTIF(Q35:W35,"M")</f>
        <v>1</v>
      </c>
      <c r="AA35" s="174">
        <f>COUNTIF(Q35:W35,"B")</f>
        <v>3</v>
      </c>
      <c r="AB35" s="5">
        <f>SUM(X35:AA35)</f>
        <v>4</v>
      </c>
      <c r="AC35" s="175" t="str">
        <f>+IF((X35/AB35)&gt;=0.2,"Extremo",+IF(((X35/AB35)+(Y35/AB35))&gt;=0.3,"Alto",+IF(((X35/AB35)+(Y35/AB35)+(Z35/AB35))&gt;=0.4,"Moderado",+IF((X35/AB35)+(Y35/AB35)+(Z35/AB35)+(AA35/AB35)&gt;=0.5,"Bajo",""))))</f>
        <v>Bajo</v>
      </c>
    </row>
    <row r="36" spans="1:29" ht="30" x14ac:dyDescent="0.25">
      <c r="A36" s="172" t="str">
        <f>+'PRIORIZACIÓN (2)'!B38</f>
        <v>Auditoria Contratos arrendamiento - Predios San Victorino</v>
      </c>
      <c r="B36" s="180" t="str">
        <f>+IF('PRIORIZACIÓN (2)'!I38&gt;0%,"YA CUENTA CON PONDERACIÓN DE RIESGOS, NO DILIGENCIAR ANALISIS OCI", "DILIGENCIE ANALISIS OCI PARA ESTA UNIDAD AUDITABLE")</f>
        <v>YA CUENTA CON PONDERACIÓN DE RIESGOS, NO DILIGENCIAR ANALISIS OCI</v>
      </c>
      <c r="C36" s="176" t="s">
        <v>345</v>
      </c>
      <c r="D36" s="1"/>
      <c r="E36" s="1" t="s">
        <v>485</v>
      </c>
      <c r="F36" s="1"/>
      <c r="G36" s="177" t="s">
        <v>345</v>
      </c>
      <c r="H36" s="1"/>
      <c r="I36" s="177" t="s">
        <v>345</v>
      </c>
      <c r="J36" s="1"/>
      <c r="K36" s="1" t="s">
        <v>512</v>
      </c>
      <c r="L36" s="1"/>
      <c r="M36" s="1" t="s">
        <v>345</v>
      </c>
      <c r="N36" s="1"/>
      <c r="O36" s="1" t="s">
        <v>487</v>
      </c>
      <c r="P36" s="174" t="str">
        <f t="shared" ref="P36:P90" si="27">IF($O36="Critica no recuperable","E",IF($O36="Critica con recuperación parcial","A",IF($O36="Falta de oportunidad para atención usuarios","M",IF($O36="Falta de oportunidad para gestión de los procesos","B",0))))</f>
        <v>B</v>
      </c>
      <c r="Q36" s="1">
        <f t="shared" si="4"/>
        <v>0</v>
      </c>
      <c r="R36" s="1" t="str">
        <f t="shared" si="0"/>
        <v>B</v>
      </c>
      <c r="S36" s="1">
        <f t="shared" si="1"/>
        <v>0</v>
      </c>
      <c r="T36" s="1">
        <f t="shared" si="5"/>
        <v>0</v>
      </c>
      <c r="U36" s="1" t="str">
        <f t="shared" si="2"/>
        <v>B</v>
      </c>
      <c r="V36" s="1">
        <f t="shared" si="13"/>
        <v>0</v>
      </c>
      <c r="W36" s="173" t="str">
        <f t="shared" si="6"/>
        <v>B</v>
      </c>
      <c r="X36" s="5">
        <f t="shared" ref="X36:X43" si="28">COUNTIFS(Q36:W36,"E")</f>
        <v>0</v>
      </c>
      <c r="Y36" s="1">
        <f t="shared" ref="Y36:Y43" si="29">COUNTIF(Q36:W36,"A")</f>
        <v>0</v>
      </c>
      <c r="Z36" s="1">
        <f t="shared" ref="Z36:Z43" si="30">COUNTIF(Q36:W36,"M")</f>
        <v>0</v>
      </c>
      <c r="AA36" s="174">
        <f t="shared" ref="AA36:AA43" si="31">COUNTIF(Q36:W36,"B")</f>
        <v>3</v>
      </c>
      <c r="AB36" s="5">
        <f t="shared" ref="AB36:AB43" si="32">SUM(X36:AA36)</f>
        <v>3</v>
      </c>
      <c r="AC36" s="175" t="str">
        <f t="shared" ref="AC36:AC43" si="33">+IF((X36/AB36)&gt;=0.2,"Extremo",+IF(((X36/AB36)+(Y36/AB36))&gt;=0.3,"Alto",+IF(((X36/AB36)+(Y36/AB36)+(Z36/AB36))&gt;=0.4,"Moderado",+IF((X36/AB36)+(Y36/AB36)+(Z36/AB36)+(AA36/AB36)&gt;=0.5,"Bajo",""))))</f>
        <v>Bajo</v>
      </c>
    </row>
    <row r="37" spans="1:29" ht="30" x14ac:dyDescent="0.25">
      <c r="A37" s="172" t="str">
        <f>+'PRIORIZACIÓN (2)'!B39</f>
        <v>Voto Nacional (Incluye Edificio Formación para el Trabajo)</v>
      </c>
      <c r="B37" s="180" t="str">
        <f>+IF('PRIORIZACIÓN (2)'!I39&gt;0%,"YA CUENTA CON PONDERACIÓN DE RIESGOS, NO DILIGENCIAR ANALISIS OCI", "DILIGENCIE ANALISIS OCI PARA ESTA UNIDAD AUDITABLE")</f>
        <v>YA CUENTA CON PONDERACIÓN DE RIESGOS, NO DILIGENCIAR ANALISIS OCI</v>
      </c>
      <c r="C37" s="176" t="s">
        <v>343</v>
      </c>
      <c r="D37" s="1"/>
      <c r="E37" s="1" t="s">
        <v>485</v>
      </c>
      <c r="F37" s="1"/>
      <c r="G37" s="177" t="s">
        <v>346</v>
      </c>
      <c r="H37" s="1"/>
      <c r="I37" s="177" t="s">
        <v>344</v>
      </c>
      <c r="J37" s="1"/>
      <c r="K37" s="1" t="s">
        <v>488</v>
      </c>
      <c r="L37" s="1"/>
      <c r="M37" s="1" t="s">
        <v>345</v>
      </c>
      <c r="N37" s="1"/>
      <c r="O37" s="1" t="s">
        <v>487</v>
      </c>
      <c r="P37" s="174" t="str">
        <f t="shared" si="27"/>
        <v>B</v>
      </c>
      <c r="Q37" s="1" t="str">
        <f t="shared" si="4"/>
        <v>B</v>
      </c>
      <c r="R37" s="1" t="str">
        <f t="shared" si="0"/>
        <v>B</v>
      </c>
      <c r="S37" s="1" t="str">
        <f t="shared" si="1"/>
        <v>E</v>
      </c>
      <c r="T37" s="1" t="str">
        <f t="shared" si="5"/>
        <v>M</v>
      </c>
      <c r="U37" s="1" t="str">
        <f t="shared" si="2"/>
        <v>A</v>
      </c>
      <c r="V37" s="1">
        <f t="shared" si="13"/>
        <v>0</v>
      </c>
      <c r="W37" s="173" t="str">
        <f t="shared" si="6"/>
        <v>B</v>
      </c>
      <c r="X37" s="5">
        <f t="shared" si="28"/>
        <v>1</v>
      </c>
      <c r="Y37" s="1">
        <f t="shared" si="29"/>
        <v>1</v>
      </c>
      <c r="Z37" s="1">
        <f t="shared" si="30"/>
        <v>1</v>
      </c>
      <c r="AA37" s="174">
        <f t="shared" si="31"/>
        <v>3</v>
      </c>
      <c r="AB37" s="5">
        <f t="shared" si="32"/>
        <v>6</v>
      </c>
      <c r="AC37" s="175" t="str">
        <f t="shared" si="33"/>
        <v>Alto</v>
      </c>
    </row>
    <row r="38" spans="1:29" ht="30" x14ac:dyDescent="0.25">
      <c r="A38" s="172" t="str">
        <f>+'PRIORIZACIÓN (2)'!B40</f>
        <v>Auditoria Proceso Terceros Concurrentes</v>
      </c>
      <c r="B38" s="180" t="str">
        <f>+IF('PRIORIZACIÓN (2)'!I40&gt;0%,"YA CUENTA CON PONDERACIÓN DE RIESGOS, NO DILIGENCIAR ANALISIS OCI", "DILIGENCIE ANALISIS OCI PARA ESTA UNIDAD AUDITABLE")</f>
        <v>YA CUENTA CON PONDERACIÓN DE RIESGOS, NO DILIGENCIAR ANALISIS OCI</v>
      </c>
      <c r="C38" s="176" t="s">
        <v>343</v>
      </c>
      <c r="D38" s="1"/>
      <c r="E38" s="1" t="s">
        <v>485</v>
      </c>
      <c r="F38" s="1"/>
      <c r="G38" s="177" t="s">
        <v>346</v>
      </c>
      <c r="H38" s="1"/>
      <c r="I38" s="177" t="s">
        <v>344</v>
      </c>
      <c r="J38" s="1"/>
      <c r="K38" s="1" t="s">
        <v>488</v>
      </c>
      <c r="L38" s="1"/>
      <c r="M38" s="1" t="s">
        <v>345</v>
      </c>
      <c r="N38" s="1"/>
      <c r="O38" s="1" t="s">
        <v>487</v>
      </c>
      <c r="P38" s="174" t="str">
        <f t="shared" si="27"/>
        <v>B</v>
      </c>
      <c r="Q38" s="1" t="str">
        <f t="shared" si="4"/>
        <v>B</v>
      </c>
      <c r="R38" s="1" t="str">
        <f t="shared" si="0"/>
        <v>B</v>
      </c>
      <c r="S38" s="1" t="str">
        <f t="shared" si="1"/>
        <v>E</v>
      </c>
      <c r="T38" s="1" t="str">
        <f t="shared" si="5"/>
        <v>M</v>
      </c>
      <c r="U38" s="1" t="str">
        <f t="shared" si="2"/>
        <v>A</v>
      </c>
      <c r="V38" s="1">
        <f t="shared" si="13"/>
        <v>0</v>
      </c>
      <c r="W38" s="173" t="str">
        <f t="shared" si="6"/>
        <v>B</v>
      </c>
      <c r="X38" s="5">
        <f t="shared" si="28"/>
        <v>1</v>
      </c>
      <c r="Y38" s="1">
        <f t="shared" si="29"/>
        <v>1</v>
      </c>
      <c r="Z38" s="1">
        <f t="shared" si="30"/>
        <v>1</v>
      </c>
      <c r="AA38" s="174">
        <f t="shared" si="31"/>
        <v>3</v>
      </c>
      <c r="AB38" s="5">
        <f t="shared" si="32"/>
        <v>6</v>
      </c>
      <c r="AC38" s="175" t="str">
        <f t="shared" si="33"/>
        <v>Alto</v>
      </c>
    </row>
    <row r="39" spans="1:29" ht="30" x14ac:dyDescent="0.25">
      <c r="A39" s="172" t="str">
        <f>+'PRIORIZACIÓN (2)'!B41</f>
        <v>Sistemas de Información Misionales de la Empresa (Contratación)</v>
      </c>
      <c r="B39" s="180" t="str">
        <f>+IF('PRIORIZACIÓN (2)'!I41&gt;0%,"YA CUENTA CON PONDERACIÓN DE RIESGOS, NO DILIGENCIAR ANALISIS OCI", "DILIGENCIE ANALISIS OCI PARA ESTA UNIDAD AUDITABLE")</f>
        <v>YA CUENTA CON PONDERACIÓN DE RIESGOS, NO DILIGENCIAR ANALISIS OCI</v>
      </c>
      <c r="C39" s="176" t="s">
        <v>343</v>
      </c>
      <c r="D39" s="1"/>
      <c r="E39" s="1" t="s">
        <v>485</v>
      </c>
      <c r="F39" s="1"/>
      <c r="G39" s="177" t="s">
        <v>346</v>
      </c>
      <c r="H39" s="1"/>
      <c r="I39" s="177" t="s">
        <v>343</v>
      </c>
      <c r="J39" s="1"/>
      <c r="K39" s="1" t="s">
        <v>488</v>
      </c>
      <c r="L39" s="1"/>
      <c r="M39" s="1" t="s">
        <v>345</v>
      </c>
      <c r="N39" s="1"/>
      <c r="O39" s="1" t="s">
        <v>487</v>
      </c>
      <c r="P39" s="174" t="str">
        <f t="shared" si="27"/>
        <v>B</v>
      </c>
      <c r="Q39" s="1" t="str">
        <f t="shared" si="4"/>
        <v>B</v>
      </c>
      <c r="R39" s="1" t="str">
        <f t="shared" si="0"/>
        <v>B</v>
      </c>
      <c r="S39" s="1" t="str">
        <f t="shared" si="1"/>
        <v>E</v>
      </c>
      <c r="T39" s="1" t="str">
        <f t="shared" si="5"/>
        <v>B</v>
      </c>
      <c r="U39" s="1" t="str">
        <f t="shared" si="2"/>
        <v>A</v>
      </c>
      <c r="V39" s="1">
        <f t="shared" si="13"/>
        <v>0</v>
      </c>
      <c r="W39" s="173" t="str">
        <f t="shared" si="6"/>
        <v>B</v>
      </c>
      <c r="X39" s="5">
        <f t="shared" si="28"/>
        <v>1</v>
      </c>
      <c r="Y39" s="1">
        <f t="shared" si="29"/>
        <v>1</v>
      </c>
      <c r="Z39" s="1">
        <f t="shared" si="30"/>
        <v>0</v>
      </c>
      <c r="AA39" s="174">
        <f t="shared" si="31"/>
        <v>4</v>
      </c>
      <c r="AB39" s="5">
        <f t="shared" si="32"/>
        <v>6</v>
      </c>
      <c r="AC39" s="175" t="str">
        <f t="shared" si="33"/>
        <v>Alto</v>
      </c>
    </row>
    <row r="40" spans="1:29" ht="45" x14ac:dyDescent="0.25">
      <c r="A40" s="172" t="str">
        <f>+'PRIORIZACIÓN (2)'!B42</f>
        <v>Servicios Administrativos y de apoyo - PIGA - Talento Humano -  Servicios Logísticos</v>
      </c>
      <c r="B40" s="180" t="str">
        <f>+IF('PRIORIZACIÓN (2)'!I42&gt;0%,"YA CUENTA CON PONDERACIÓN DE RIESGOS, NO DILIGENCIAR ANALISIS OCI", "DILIGENCIE ANALISIS OCI PARA ESTA UNIDAD AUDITABLE")</f>
        <v>YA CUENTA CON PONDERACIÓN DE RIESGOS, NO DILIGENCIAR ANALISIS OCI</v>
      </c>
      <c r="C40" s="176" t="s">
        <v>344</v>
      </c>
      <c r="D40" s="1"/>
      <c r="E40" s="1" t="s">
        <v>485</v>
      </c>
      <c r="F40" s="1"/>
      <c r="G40" s="177" t="s">
        <v>346</v>
      </c>
      <c r="H40" s="1"/>
      <c r="I40" s="177" t="s">
        <v>343</v>
      </c>
      <c r="J40" s="1"/>
      <c r="K40" s="1" t="s">
        <v>488</v>
      </c>
      <c r="L40" s="1"/>
      <c r="M40" s="1" t="s">
        <v>345</v>
      </c>
      <c r="N40" s="1"/>
      <c r="O40" s="1" t="s">
        <v>489</v>
      </c>
      <c r="P40" s="174" t="str">
        <f t="shared" si="27"/>
        <v>M</v>
      </c>
      <c r="Q40" s="1" t="str">
        <f t="shared" si="4"/>
        <v>M</v>
      </c>
      <c r="R40" s="1" t="str">
        <f t="shared" si="0"/>
        <v>B</v>
      </c>
      <c r="S40" s="1" t="str">
        <f t="shared" si="1"/>
        <v>E</v>
      </c>
      <c r="T40" s="1" t="str">
        <f t="shared" si="5"/>
        <v>B</v>
      </c>
      <c r="U40" s="1" t="str">
        <f t="shared" si="2"/>
        <v>A</v>
      </c>
      <c r="V40" s="1">
        <f t="shared" si="13"/>
        <v>0</v>
      </c>
      <c r="W40" s="173" t="str">
        <f t="shared" si="6"/>
        <v>M</v>
      </c>
      <c r="X40" s="5">
        <f t="shared" si="28"/>
        <v>1</v>
      </c>
      <c r="Y40" s="1">
        <f t="shared" si="29"/>
        <v>1</v>
      </c>
      <c r="Z40" s="1">
        <f t="shared" si="30"/>
        <v>2</v>
      </c>
      <c r="AA40" s="174">
        <f t="shared" si="31"/>
        <v>2</v>
      </c>
      <c r="AB40" s="5">
        <f t="shared" si="32"/>
        <v>6</v>
      </c>
      <c r="AC40" s="175" t="str">
        <f t="shared" si="33"/>
        <v>Alto</v>
      </c>
    </row>
    <row r="41" spans="1:29" ht="30" x14ac:dyDescent="0.25">
      <c r="A41" s="172" t="str">
        <f>+'PRIORIZACIÓN (2)'!B43</f>
        <v>Costeo de los proyectos y rentabilidad de la Empresa</v>
      </c>
      <c r="B41" s="180" t="str">
        <f>+IF('PRIORIZACIÓN (2)'!I43&gt;0%,"YA CUENTA CON PONDERACIÓN DE RIESGOS, NO DILIGENCIAR ANALISIS OCI", "DILIGENCIE ANALISIS OCI PARA ESTA UNIDAD AUDITABLE")</f>
        <v>YA CUENTA CON PONDERACIÓN DE RIESGOS, NO DILIGENCIAR ANALISIS OCI</v>
      </c>
      <c r="C41" s="176" t="s">
        <v>343</v>
      </c>
      <c r="D41" s="1"/>
      <c r="E41" s="1" t="s">
        <v>485</v>
      </c>
      <c r="F41" s="1"/>
      <c r="G41" s="177" t="s">
        <v>346</v>
      </c>
      <c r="H41" s="1"/>
      <c r="I41" s="177" t="s">
        <v>343</v>
      </c>
      <c r="J41" s="1"/>
      <c r="K41" s="1" t="s">
        <v>488</v>
      </c>
      <c r="L41" s="1"/>
      <c r="M41" s="1" t="s">
        <v>345</v>
      </c>
      <c r="N41" s="1"/>
      <c r="O41" s="1" t="s">
        <v>489</v>
      </c>
      <c r="P41" s="174" t="str">
        <f t="shared" si="27"/>
        <v>M</v>
      </c>
      <c r="Q41" s="1" t="str">
        <f t="shared" si="4"/>
        <v>B</v>
      </c>
      <c r="R41" s="1" t="str">
        <f t="shared" si="0"/>
        <v>B</v>
      </c>
      <c r="S41" s="1" t="str">
        <f t="shared" si="1"/>
        <v>E</v>
      </c>
      <c r="T41" s="1" t="str">
        <f t="shared" si="5"/>
        <v>B</v>
      </c>
      <c r="U41" s="1" t="str">
        <f t="shared" si="2"/>
        <v>A</v>
      </c>
      <c r="V41" s="1">
        <f t="shared" si="13"/>
        <v>0</v>
      </c>
      <c r="W41" s="173" t="str">
        <f t="shared" si="6"/>
        <v>M</v>
      </c>
      <c r="X41" s="5">
        <f t="shared" si="28"/>
        <v>1</v>
      </c>
      <c r="Y41" s="1">
        <f t="shared" si="29"/>
        <v>1</v>
      </c>
      <c r="Z41" s="1">
        <f t="shared" si="30"/>
        <v>1</v>
      </c>
      <c r="AA41" s="174">
        <f t="shared" si="31"/>
        <v>3</v>
      </c>
      <c r="AB41" s="5">
        <f t="shared" si="32"/>
        <v>6</v>
      </c>
      <c r="AC41" s="175" t="str">
        <f t="shared" si="33"/>
        <v>Alto</v>
      </c>
    </row>
    <row r="42" spans="1:29" ht="30" x14ac:dyDescent="0.25">
      <c r="A42" s="172" t="str">
        <f>+'PRIORIZACIÓN (2)'!B44</f>
        <v>Seguimiento Resolución 1519 de 2021  y acceso a la Información</v>
      </c>
      <c r="B42" s="180" t="str">
        <f>+IF('PRIORIZACIÓN (2)'!I44&gt;0%,"YA CUENTA CON PONDERACIÓN DE RIESGOS, NO DILIGENCIAR ANALISIS OCI", "DILIGENCIE ANALISIS OCI PARA ESTA UNIDAD AUDITABLE")</f>
        <v>YA CUENTA CON PONDERACIÓN DE RIESGOS, NO DILIGENCIAR ANALISIS OCI</v>
      </c>
      <c r="C42" s="176" t="s">
        <v>343</v>
      </c>
      <c r="D42" s="1"/>
      <c r="E42" s="1" t="s">
        <v>485</v>
      </c>
      <c r="F42" s="1"/>
      <c r="G42" s="177" t="s">
        <v>345</v>
      </c>
      <c r="H42" s="1"/>
      <c r="I42" s="177" t="s">
        <v>345</v>
      </c>
      <c r="J42" s="1"/>
      <c r="K42" s="1" t="s">
        <v>488</v>
      </c>
      <c r="L42" s="1"/>
      <c r="M42" s="1" t="s">
        <v>344</v>
      </c>
      <c r="N42" s="1"/>
      <c r="O42" s="1" t="s">
        <v>489</v>
      </c>
      <c r="P42" s="174" t="str">
        <f t="shared" si="27"/>
        <v>M</v>
      </c>
      <c r="Q42" s="1" t="str">
        <f t="shared" si="4"/>
        <v>B</v>
      </c>
      <c r="R42" s="1" t="str">
        <f t="shared" si="0"/>
        <v>B</v>
      </c>
      <c r="S42" s="1">
        <f t="shared" si="1"/>
        <v>0</v>
      </c>
      <c r="T42" s="1">
        <f t="shared" si="5"/>
        <v>0</v>
      </c>
      <c r="U42" s="1" t="str">
        <f t="shared" si="2"/>
        <v>A</v>
      </c>
      <c r="V42" s="1" t="str">
        <f t="shared" si="13"/>
        <v>M</v>
      </c>
      <c r="W42" s="173" t="str">
        <f t="shared" si="6"/>
        <v>M</v>
      </c>
      <c r="X42" s="5">
        <f t="shared" si="28"/>
        <v>0</v>
      </c>
      <c r="Y42" s="1">
        <f t="shared" si="29"/>
        <v>1</v>
      </c>
      <c r="Z42" s="1">
        <f t="shared" si="30"/>
        <v>2</v>
      </c>
      <c r="AA42" s="174">
        <f t="shared" si="31"/>
        <v>2</v>
      </c>
      <c r="AB42" s="5">
        <f t="shared" si="32"/>
        <v>5</v>
      </c>
      <c r="AC42" s="175" t="str">
        <f t="shared" si="33"/>
        <v>Moderado</v>
      </c>
    </row>
    <row r="43" spans="1:29" ht="60" x14ac:dyDescent="0.25">
      <c r="A43" s="172" t="str">
        <f>+'PRIORIZACIÓN (2)'!B45</f>
        <v>Seguimiento Auditoria de Fiducias (Plan de Mejoramiento y Contratación por vencimiento de términos Fiducias actuales)</v>
      </c>
      <c r="B43" s="180" t="str">
        <f>+IF('PRIORIZACIÓN (2)'!I45&gt;0%,"YA CUENTA CON PONDERACIÓN DE RIESGOS, NO DILIGENCIAR ANALISIS OCI", "DILIGENCIE ANALISIS OCI PARA ESTA UNIDAD AUDITABLE")</f>
        <v>YA CUENTA CON PONDERACIÓN DE RIESGOS, NO DILIGENCIAR ANALISIS OCI</v>
      </c>
      <c r="C43" s="176" t="s">
        <v>345</v>
      </c>
      <c r="D43" s="1"/>
      <c r="E43" s="1" t="s">
        <v>485</v>
      </c>
      <c r="F43" s="1"/>
      <c r="G43" s="177" t="s">
        <v>345</v>
      </c>
      <c r="H43" s="1"/>
      <c r="I43" s="177" t="s">
        <v>345</v>
      </c>
      <c r="J43" s="1"/>
      <c r="K43" s="1" t="s">
        <v>488</v>
      </c>
      <c r="L43" s="1"/>
      <c r="M43" s="1" t="s">
        <v>345</v>
      </c>
      <c r="N43" s="1"/>
      <c r="O43" s="1" t="s">
        <v>489</v>
      </c>
      <c r="P43" s="174" t="str">
        <f t="shared" si="27"/>
        <v>M</v>
      </c>
      <c r="Q43" s="1">
        <f t="shared" si="4"/>
        <v>0</v>
      </c>
      <c r="R43" s="1" t="str">
        <f t="shared" si="0"/>
        <v>B</v>
      </c>
      <c r="S43" s="1">
        <f t="shared" si="1"/>
        <v>0</v>
      </c>
      <c r="T43" s="1">
        <f t="shared" si="5"/>
        <v>0</v>
      </c>
      <c r="U43" s="1" t="str">
        <f t="shared" si="2"/>
        <v>A</v>
      </c>
      <c r="V43" s="1">
        <f t="shared" si="13"/>
        <v>0</v>
      </c>
      <c r="W43" s="173" t="str">
        <f t="shared" si="6"/>
        <v>M</v>
      </c>
      <c r="X43" s="5">
        <f t="shared" si="28"/>
        <v>0</v>
      </c>
      <c r="Y43" s="1">
        <f t="shared" si="29"/>
        <v>1</v>
      </c>
      <c r="Z43" s="1">
        <f t="shared" si="30"/>
        <v>1</v>
      </c>
      <c r="AA43" s="174">
        <f t="shared" si="31"/>
        <v>1</v>
      </c>
      <c r="AB43" s="5">
        <f t="shared" si="32"/>
        <v>3</v>
      </c>
      <c r="AC43" s="175" t="str">
        <f t="shared" si="33"/>
        <v>Alto</v>
      </c>
    </row>
    <row r="44" spans="1:29" ht="45" x14ac:dyDescent="0.25">
      <c r="A44" s="172" t="str">
        <f>+'PRIORIZACIÓN (2)'!B46</f>
        <v>Seguimiento Comités Institucionales (Actividad pendiente de finalizar de la Vigencia 2021)</v>
      </c>
      <c r="B44" s="180" t="str">
        <f>+IF('PRIORIZACIÓN (2)'!I46&gt;0%,"YA CUENTA CON PONDERACIÓN DE RIESGOS, NO DILIGENCIAR ANALISIS OCI", "DILIGENCIE ANALISIS OCI PARA ESTA UNIDAD AUDITABLE")</f>
        <v>YA CUENTA CON PONDERACIÓN DE RIESGOS, NO DILIGENCIAR ANALISIS OCI</v>
      </c>
      <c r="C44" s="176" t="s">
        <v>343</v>
      </c>
      <c r="D44" s="1"/>
      <c r="E44" s="1" t="s">
        <v>511</v>
      </c>
      <c r="F44" s="1"/>
      <c r="G44" s="177" t="s">
        <v>345</v>
      </c>
      <c r="H44" s="1"/>
      <c r="I44" s="177" t="s">
        <v>343</v>
      </c>
      <c r="J44" s="1"/>
      <c r="K44" s="1" t="s">
        <v>488</v>
      </c>
      <c r="L44" s="1"/>
      <c r="M44" s="1" t="s">
        <v>344</v>
      </c>
      <c r="N44" s="1"/>
      <c r="O44" s="1" t="s">
        <v>489</v>
      </c>
      <c r="P44" s="174" t="str">
        <f t="shared" si="27"/>
        <v>M</v>
      </c>
      <c r="Q44" s="1" t="str">
        <f t="shared" si="4"/>
        <v>B</v>
      </c>
      <c r="R44" s="1" t="str">
        <f t="shared" si="0"/>
        <v>A</v>
      </c>
      <c r="S44" s="1">
        <f t="shared" si="1"/>
        <v>0</v>
      </c>
      <c r="T44" s="1" t="str">
        <f t="shared" si="5"/>
        <v>B</v>
      </c>
      <c r="U44" s="1" t="str">
        <f t="shared" si="2"/>
        <v>A</v>
      </c>
      <c r="V44" s="1" t="str">
        <f t="shared" si="13"/>
        <v>M</v>
      </c>
      <c r="W44" s="173" t="str">
        <f t="shared" si="6"/>
        <v>M</v>
      </c>
      <c r="X44" s="5">
        <f t="shared" ref="X44:X88" si="34">COUNTIFS(Q44:W44,"E")</f>
        <v>0</v>
      </c>
      <c r="Y44" s="1">
        <f t="shared" ref="Y44:Y88" si="35">COUNTIF(Q44:W44,"A")</f>
        <v>2</v>
      </c>
      <c r="Z44" s="1">
        <f t="shared" ref="Z44:Z88" si="36">COUNTIF(Q44:W44,"M")</f>
        <v>2</v>
      </c>
      <c r="AA44" s="174">
        <f t="shared" ref="AA44:AA88" si="37">COUNTIF(Q44:W44,"B")</f>
        <v>2</v>
      </c>
      <c r="AB44" s="5">
        <f t="shared" ref="AB44:AB88" si="38">SUM(X44:AA44)</f>
        <v>6</v>
      </c>
      <c r="AC44" s="175" t="str">
        <f t="shared" ref="AC44:AC88" si="39">+IF((X44/AB44)&gt;=0.2,"Extremo",+IF(((X44/AB44)+(Y44/AB44))&gt;=0.3,"Alto",+IF(((X44/AB44)+(Y44/AB44)+(Z44/AB44))&gt;=0.4,"Moderado",+IF((X44/AB44)+(Y44/AB44)+(Z44/AB44)+(AA44/AB44)&gt;=0.5,"Bajo",""))))</f>
        <v>Alto</v>
      </c>
    </row>
    <row r="45" spans="1:29" ht="30" x14ac:dyDescent="0.25">
      <c r="A45" s="172" t="str">
        <f>+'PRIORIZACIÓN (2)'!B47</f>
        <v>Seguimiento Plan de Mejoramiento Archivística</v>
      </c>
      <c r="B45" s="180" t="str">
        <f>+IF('PRIORIZACIÓN (2)'!I47&gt;0%,"YA CUENTA CON PONDERACIÓN DE RIESGOS, NO DILIGENCIAR ANALISIS OCI", "DILIGENCIE ANALISIS OCI PARA ESTA UNIDAD AUDITABLE")</f>
        <v>YA CUENTA CON PONDERACIÓN DE RIESGOS, NO DILIGENCIAR ANALISIS OCI</v>
      </c>
      <c r="C45" s="176" t="s">
        <v>345</v>
      </c>
      <c r="D45" s="1"/>
      <c r="E45" s="1" t="s">
        <v>485</v>
      </c>
      <c r="F45" s="1"/>
      <c r="G45" s="177" t="s">
        <v>343</v>
      </c>
      <c r="H45" s="1"/>
      <c r="I45" s="177" t="s">
        <v>343</v>
      </c>
      <c r="J45" s="1"/>
      <c r="K45" s="1" t="s">
        <v>488</v>
      </c>
      <c r="L45" s="1"/>
      <c r="M45" s="1" t="s">
        <v>345</v>
      </c>
      <c r="N45" s="1"/>
      <c r="O45" s="1" t="s">
        <v>489</v>
      </c>
      <c r="P45" s="174" t="str">
        <f t="shared" si="27"/>
        <v>M</v>
      </c>
      <c r="Q45" s="1">
        <f t="shared" si="4"/>
        <v>0</v>
      </c>
      <c r="R45" s="1" t="str">
        <f t="shared" si="0"/>
        <v>B</v>
      </c>
      <c r="S45" s="1" t="str">
        <f t="shared" si="1"/>
        <v>B</v>
      </c>
      <c r="T45" s="1" t="str">
        <f t="shared" si="5"/>
        <v>B</v>
      </c>
      <c r="U45" s="1" t="str">
        <f t="shared" si="2"/>
        <v>A</v>
      </c>
      <c r="V45" s="1">
        <f t="shared" si="13"/>
        <v>0</v>
      </c>
      <c r="W45" s="173" t="str">
        <f t="shared" si="6"/>
        <v>M</v>
      </c>
      <c r="X45" s="5">
        <f t="shared" si="34"/>
        <v>0</v>
      </c>
      <c r="Y45" s="1">
        <f t="shared" si="35"/>
        <v>1</v>
      </c>
      <c r="Z45" s="1">
        <f t="shared" si="36"/>
        <v>1</v>
      </c>
      <c r="AA45" s="174">
        <f t="shared" si="37"/>
        <v>3</v>
      </c>
      <c r="AB45" s="5">
        <f t="shared" si="38"/>
        <v>5</v>
      </c>
      <c r="AC45" s="175" t="str">
        <f t="shared" si="39"/>
        <v>Moderado</v>
      </c>
    </row>
    <row r="46" spans="1:29" ht="45" x14ac:dyDescent="0.25">
      <c r="A46" s="172" t="str">
        <f>+'PRIORIZACIÓN (2)'!B48</f>
        <v>Evaluación del Estatuto de Auditoria, Código de Ética del Auditor y Plan de Mejoramiento de las Auditorias Cruzadas</v>
      </c>
      <c r="B46" s="180" t="str">
        <f>+IF('PRIORIZACIÓN (2)'!I48&gt;0%,"YA CUENTA CON PONDERACIÓN DE RIESGOS, NO DILIGENCIAR ANALISIS OCI", "DILIGENCIE ANALISIS OCI PARA ESTA UNIDAD AUDITABLE")</f>
        <v>YA CUENTA CON PONDERACIÓN DE RIESGOS, NO DILIGENCIAR ANALISIS OCI</v>
      </c>
      <c r="C46" s="176" t="s">
        <v>343</v>
      </c>
      <c r="D46" s="1" t="str">
        <f>IF($C46="EXTREMA","E",IF($C46="ALTA","A",IF($C46="MEDIA","M",IF($C46="BAJA","B",0))))</f>
        <v>B</v>
      </c>
      <c r="E46" s="1" t="s">
        <v>485</v>
      </c>
      <c r="F46" s="1" t="str">
        <f>IF($E46="3 días","E",IF($E46="2 días","A",IF($E46="1 días","M",IF($E46="Varias horas","B",0))))</f>
        <v>B</v>
      </c>
      <c r="G46" s="177" t="s">
        <v>345</v>
      </c>
      <c r="H46" s="1">
        <f>IF($G46="EXTREMA","E",IF($G46="ALTA","A",IF($G46="MEDIA","M",IF($G46="BAJA","B",0))))</f>
        <v>0</v>
      </c>
      <c r="I46" s="177" t="s">
        <v>345</v>
      </c>
      <c r="J46" s="1">
        <f>IF($I46="EXTREMA","E",IF($I46="ALTA","A",IF($I46="MEDIA","M",IF($I46="BAJA","B",0))))</f>
        <v>0</v>
      </c>
      <c r="K46" s="1" t="s">
        <v>490</v>
      </c>
      <c r="L46" s="1" t="str">
        <f>IF($K46="Hechos de Corrupción","E",IF($K46="Incumplimiento de servicios","A",IF($K46="Retrasos en los servicios","M",IF($K46="Quejas por incumplimientos o retrasos","B",0))))</f>
        <v>M</v>
      </c>
      <c r="M46" s="1" t="s">
        <v>344</v>
      </c>
      <c r="N46" s="1" t="str">
        <f>IF($M46="EXTREMA","E",IF($M46="ALTA","A",IF($M46="MEDIA","M",IF($M46="BAJA","B",0))))</f>
        <v>M</v>
      </c>
      <c r="O46" s="1" t="s">
        <v>513</v>
      </c>
      <c r="P46" s="174" t="str">
        <f t="shared" si="27"/>
        <v>A</v>
      </c>
      <c r="Q46" s="1" t="str">
        <f t="shared" si="4"/>
        <v>B</v>
      </c>
      <c r="R46" s="1" t="str">
        <f t="shared" si="0"/>
        <v>B</v>
      </c>
      <c r="S46" s="1">
        <f t="shared" si="1"/>
        <v>0</v>
      </c>
      <c r="T46" s="1">
        <f t="shared" si="5"/>
        <v>0</v>
      </c>
      <c r="U46" s="1" t="str">
        <f t="shared" si="2"/>
        <v>M</v>
      </c>
      <c r="V46" s="1" t="str">
        <f t="shared" si="13"/>
        <v>M</v>
      </c>
      <c r="W46" s="173" t="str">
        <f t="shared" si="6"/>
        <v>A</v>
      </c>
      <c r="X46" s="5">
        <f t="shared" si="34"/>
        <v>0</v>
      </c>
      <c r="Y46" s="1">
        <f t="shared" si="35"/>
        <v>1</v>
      </c>
      <c r="Z46" s="1">
        <f t="shared" si="36"/>
        <v>2</v>
      </c>
      <c r="AA46" s="174">
        <f t="shared" si="37"/>
        <v>2</v>
      </c>
      <c r="AB46" s="5">
        <f t="shared" si="38"/>
        <v>5</v>
      </c>
      <c r="AC46" s="175" t="str">
        <f t="shared" si="39"/>
        <v>Moderado</v>
      </c>
    </row>
    <row r="47" spans="1:29" ht="45" x14ac:dyDescent="0.25">
      <c r="A47" s="172" t="str">
        <f>+'PRIORIZACIÓN (2)'!B49</f>
        <v>Factores de Gestión Prioritarias para la Empresa (análisis OCI) y Fortalecimiento Institucional</v>
      </c>
      <c r="B47" s="180" t="str">
        <f>+IF('PRIORIZACIÓN (2)'!I49&gt;0%,"YA CUENTA CON PONDERACIÓN DE RIESGOS, NO DILIGENCIAR ANALISIS OCI", "DILIGENCIE ANALISIS OCI PARA ESTA UNIDAD AUDITABLE")</f>
        <v>YA CUENTA CON PONDERACIÓN DE RIESGOS, NO DILIGENCIAR ANALISIS OCI</v>
      </c>
      <c r="C47" s="176" t="s">
        <v>343</v>
      </c>
      <c r="D47" s="1"/>
      <c r="E47" s="1" t="s">
        <v>485</v>
      </c>
      <c r="F47" s="1"/>
      <c r="G47" s="177" t="s">
        <v>345</v>
      </c>
      <c r="H47" s="1"/>
      <c r="I47" s="177" t="s">
        <v>345</v>
      </c>
      <c r="J47" s="1"/>
      <c r="K47" s="1" t="s">
        <v>490</v>
      </c>
      <c r="L47" s="1"/>
      <c r="M47" s="1" t="s">
        <v>345</v>
      </c>
      <c r="N47" s="1"/>
      <c r="O47" s="1" t="s">
        <v>489</v>
      </c>
      <c r="P47" s="174" t="str">
        <f t="shared" si="27"/>
        <v>M</v>
      </c>
      <c r="Q47" s="1" t="str">
        <f t="shared" si="4"/>
        <v>B</v>
      </c>
      <c r="R47" s="1" t="str">
        <f t="shared" si="0"/>
        <v>B</v>
      </c>
      <c r="S47" s="1">
        <f t="shared" si="1"/>
        <v>0</v>
      </c>
      <c r="T47" s="1">
        <f t="shared" si="5"/>
        <v>0</v>
      </c>
      <c r="U47" s="1" t="str">
        <f t="shared" si="2"/>
        <v>M</v>
      </c>
      <c r="V47" s="1">
        <f t="shared" si="13"/>
        <v>0</v>
      </c>
      <c r="W47" s="173" t="str">
        <f t="shared" si="6"/>
        <v>M</v>
      </c>
      <c r="X47" s="5">
        <f t="shared" si="34"/>
        <v>0</v>
      </c>
      <c r="Y47" s="1">
        <f t="shared" si="35"/>
        <v>0</v>
      </c>
      <c r="Z47" s="1">
        <f t="shared" si="36"/>
        <v>2</v>
      </c>
      <c r="AA47" s="174">
        <f t="shared" si="37"/>
        <v>2</v>
      </c>
      <c r="AB47" s="5">
        <f t="shared" si="38"/>
        <v>4</v>
      </c>
      <c r="AC47" s="175" t="str">
        <f t="shared" si="39"/>
        <v>Moderado</v>
      </c>
    </row>
    <row r="48" spans="1:29" ht="30" x14ac:dyDescent="0.25">
      <c r="A48" s="172" t="str">
        <f>+'PRIORIZACIÓN (2)'!B50</f>
        <v>Auditoria de Fiducias. Alcance por muestra confiable.</v>
      </c>
      <c r="B48" s="180" t="str">
        <f>+IF('PRIORIZACIÓN (2)'!I50&gt;0%,"YA CUENTA CON PONDERACIÓN DE RIESGOS, NO DILIGENCIAR ANALISIS OCI", "DILIGENCIE ANALISIS OCI PARA ESTA UNIDAD AUDITABLE")</f>
        <v>YA CUENTA CON PONDERACIÓN DE RIESGOS, NO DILIGENCIAR ANALISIS OCI</v>
      </c>
      <c r="C48" s="176" t="s">
        <v>345</v>
      </c>
      <c r="D48" s="1"/>
      <c r="E48" s="1" t="s">
        <v>485</v>
      </c>
      <c r="F48" s="1"/>
      <c r="G48" s="177" t="s">
        <v>345</v>
      </c>
      <c r="H48" s="1"/>
      <c r="I48" s="177" t="s">
        <v>345</v>
      </c>
      <c r="J48" s="1"/>
      <c r="K48" s="1" t="s">
        <v>488</v>
      </c>
      <c r="L48" s="1"/>
      <c r="M48" s="1" t="s">
        <v>345</v>
      </c>
      <c r="N48" s="1"/>
      <c r="O48" s="1" t="s">
        <v>489</v>
      </c>
      <c r="P48" s="174" t="str">
        <f t="shared" si="27"/>
        <v>M</v>
      </c>
      <c r="Q48" s="1">
        <f t="shared" si="4"/>
        <v>0</v>
      </c>
      <c r="R48" s="1" t="str">
        <f t="shared" si="0"/>
        <v>B</v>
      </c>
      <c r="S48" s="1">
        <f t="shared" si="1"/>
        <v>0</v>
      </c>
      <c r="T48" s="1">
        <f t="shared" si="5"/>
        <v>0</v>
      </c>
      <c r="U48" s="1" t="str">
        <f t="shared" si="2"/>
        <v>A</v>
      </c>
      <c r="V48" s="1">
        <f t="shared" si="13"/>
        <v>0</v>
      </c>
      <c r="W48" s="173" t="str">
        <f t="shared" si="6"/>
        <v>M</v>
      </c>
      <c r="X48" s="5">
        <f t="shared" si="34"/>
        <v>0</v>
      </c>
      <c r="Y48" s="1">
        <f t="shared" si="35"/>
        <v>1</v>
      </c>
      <c r="Z48" s="1">
        <f t="shared" si="36"/>
        <v>1</v>
      </c>
      <c r="AA48" s="174">
        <f t="shared" si="37"/>
        <v>1</v>
      </c>
      <c r="AB48" s="5">
        <f t="shared" si="38"/>
        <v>3</v>
      </c>
      <c r="AC48" s="175" t="str">
        <f t="shared" si="39"/>
        <v>Alto</v>
      </c>
    </row>
    <row r="49" spans="1:29" ht="30" x14ac:dyDescent="0.25">
      <c r="A49" s="172" t="str">
        <f>+'PRIORIZACIÓN (2)'!B51</f>
        <v>Auditoria Plan estratégico y gestión Tecnología y Comunicaciones</v>
      </c>
      <c r="B49" s="180" t="str">
        <f>+IF('PRIORIZACIÓN (2)'!I51&gt;0%,"YA CUENTA CON PONDERACIÓN DE RIESGOS, NO DILIGENCIAR ANALISIS OCI", "DILIGENCIE ANALISIS OCI PARA ESTA UNIDAD AUDITABLE")</f>
        <v>YA CUENTA CON PONDERACIÓN DE RIESGOS, NO DILIGENCIAR ANALISIS OCI</v>
      </c>
      <c r="C49" s="176" t="s">
        <v>343</v>
      </c>
      <c r="D49" s="1"/>
      <c r="E49" s="1" t="s">
        <v>511</v>
      </c>
      <c r="F49" s="1"/>
      <c r="G49" s="177" t="s">
        <v>345</v>
      </c>
      <c r="H49" s="1"/>
      <c r="I49" s="177" t="s">
        <v>343</v>
      </c>
      <c r="J49" s="1"/>
      <c r="K49" s="1" t="s">
        <v>488</v>
      </c>
      <c r="L49" s="1"/>
      <c r="M49" s="1" t="s">
        <v>344</v>
      </c>
      <c r="N49" s="1"/>
      <c r="O49" s="1" t="s">
        <v>489</v>
      </c>
      <c r="P49" s="174" t="str">
        <f t="shared" si="27"/>
        <v>M</v>
      </c>
      <c r="Q49" s="1" t="str">
        <f t="shared" si="4"/>
        <v>B</v>
      </c>
      <c r="R49" s="1" t="str">
        <f t="shared" si="0"/>
        <v>A</v>
      </c>
      <c r="S49" s="1">
        <f t="shared" si="1"/>
        <v>0</v>
      </c>
      <c r="T49" s="1" t="str">
        <f t="shared" si="5"/>
        <v>B</v>
      </c>
      <c r="U49" s="1" t="str">
        <f t="shared" si="2"/>
        <v>A</v>
      </c>
      <c r="V49" s="1" t="str">
        <f t="shared" si="13"/>
        <v>M</v>
      </c>
      <c r="W49" s="173" t="str">
        <f t="shared" si="6"/>
        <v>M</v>
      </c>
      <c r="X49" s="5">
        <f t="shared" si="34"/>
        <v>0</v>
      </c>
      <c r="Y49" s="1">
        <f t="shared" si="35"/>
        <v>2</v>
      </c>
      <c r="Z49" s="1">
        <f t="shared" si="36"/>
        <v>2</v>
      </c>
      <c r="AA49" s="174">
        <f t="shared" si="37"/>
        <v>2</v>
      </c>
      <c r="AB49" s="5">
        <f t="shared" si="38"/>
        <v>6</v>
      </c>
      <c r="AC49" s="175" t="str">
        <f t="shared" si="39"/>
        <v>Alto</v>
      </c>
    </row>
    <row r="50" spans="1:29" ht="60" x14ac:dyDescent="0.25">
      <c r="A50" s="172" t="str">
        <f>+'PRIORIZACIÓN (2)'!B52</f>
        <v>Proyecto: Formulación, Gestión y Estructuración de Proyectos de Desarrollo, Revitalización o Renovación Urbana. Incluido aspecto contractual</v>
      </c>
      <c r="B50" s="180" t="str">
        <f>+IF('PRIORIZACIÓN (2)'!I52&gt;0%,"YA CUENTA CON PONDERACIÓN DE RIESGOS, NO DILIGENCIAR ANALISIS OCI", "DILIGENCIE ANALISIS OCI PARA ESTA UNIDAD AUDITABLE")</f>
        <v>YA CUENTA CON PONDERACIÓN DE RIESGOS, NO DILIGENCIAR ANALISIS OCI</v>
      </c>
      <c r="C50" s="176" t="s">
        <v>345</v>
      </c>
      <c r="D50" s="1"/>
      <c r="E50" s="1" t="s">
        <v>485</v>
      </c>
      <c r="F50" s="1"/>
      <c r="G50" s="177" t="s">
        <v>343</v>
      </c>
      <c r="H50" s="1"/>
      <c r="I50" s="177" t="s">
        <v>343</v>
      </c>
      <c r="J50" s="1"/>
      <c r="K50" s="1" t="s">
        <v>488</v>
      </c>
      <c r="L50" s="1"/>
      <c r="M50" s="1" t="s">
        <v>345</v>
      </c>
      <c r="N50" s="1"/>
      <c r="O50" s="1" t="s">
        <v>489</v>
      </c>
      <c r="P50" s="174" t="str">
        <f t="shared" si="27"/>
        <v>M</v>
      </c>
      <c r="Q50" s="1">
        <f t="shared" si="4"/>
        <v>0</v>
      </c>
      <c r="R50" s="1" t="str">
        <f t="shared" si="0"/>
        <v>B</v>
      </c>
      <c r="S50" s="1" t="str">
        <f t="shared" si="1"/>
        <v>B</v>
      </c>
      <c r="T50" s="1" t="str">
        <f t="shared" si="5"/>
        <v>B</v>
      </c>
      <c r="U50" s="1" t="str">
        <f t="shared" si="2"/>
        <v>A</v>
      </c>
      <c r="V50" s="1">
        <f t="shared" si="13"/>
        <v>0</v>
      </c>
      <c r="W50" s="173" t="str">
        <f t="shared" si="6"/>
        <v>M</v>
      </c>
      <c r="X50" s="5">
        <f t="shared" si="34"/>
        <v>0</v>
      </c>
      <c r="Y50" s="1">
        <f t="shared" si="35"/>
        <v>1</v>
      </c>
      <c r="Z50" s="1">
        <f t="shared" si="36"/>
        <v>1</v>
      </c>
      <c r="AA50" s="174">
        <f t="shared" si="37"/>
        <v>3</v>
      </c>
      <c r="AB50" s="5">
        <f t="shared" si="38"/>
        <v>5</v>
      </c>
      <c r="AC50" s="175" t="str">
        <f t="shared" si="39"/>
        <v>Moderado</v>
      </c>
    </row>
    <row r="51" spans="1:29" ht="30" x14ac:dyDescent="0.25">
      <c r="A51" s="172" t="str">
        <f>+'PRIORIZACIÓN (2)'!B53</f>
        <v>Auditoria Gestión Social asociada a la Adquisición Predial y grupos de interés</v>
      </c>
      <c r="B51" s="180" t="str">
        <f>+IF('PRIORIZACIÓN (2)'!I53&gt;0%,"YA CUENTA CON PONDERACIÓN DE RIESGOS, NO DILIGENCIAR ANALISIS OCI", "DILIGENCIE ANALISIS OCI PARA ESTA UNIDAD AUDITABLE")</f>
        <v>YA CUENTA CON PONDERACIÓN DE RIESGOS, NO DILIGENCIAR ANALISIS OCI</v>
      </c>
      <c r="C51" s="176" t="s">
        <v>343</v>
      </c>
      <c r="D51" s="1" t="str">
        <f>IF($C51="EXTREMA","E",IF($C51="ALTA","A",IF($C51="MEDIA","M",IF($C51="BAJA","B",0))))</f>
        <v>B</v>
      </c>
      <c r="E51" s="1" t="s">
        <v>485</v>
      </c>
      <c r="F51" s="1" t="str">
        <f>IF($E51="3 días","E",IF($E51="2 días","A",IF($E51="1 días","M",IF($E51="Varias horas","B",0))))</f>
        <v>B</v>
      </c>
      <c r="G51" s="177" t="s">
        <v>345</v>
      </c>
      <c r="H51" s="1">
        <f>IF($G51="EXTREMA","E",IF($G51="ALTA","A",IF($G51="MEDIA","M",IF($G51="BAJA","B",0))))</f>
        <v>0</v>
      </c>
      <c r="I51" s="177" t="s">
        <v>345</v>
      </c>
      <c r="J51" s="1">
        <f>IF($I51="EXTREMA","E",IF($I51="ALTA","A",IF($I51="MEDIA","M",IF($I51="BAJA","B",0))))</f>
        <v>0</v>
      </c>
      <c r="K51" s="1" t="s">
        <v>490</v>
      </c>
      <c r="L51" s="1" t="str">
        <f>IF($K51="Hechos de Corrupción","E",IF($K51="Incumplimiento de servicios","A",IF($K51="Retrasos en los servicios","M",IF($K51="Quejas por incumplimientos o retrasos","B",0))))</f>
        <v>M</v>
      </c>
      <c r="M51" s="1" t="s">
        <v>344</v>
      </c>
      <c r="N51" s="1" t="str">
        <f>IF($M51="EXTREMA","E",IF($M51="ALTA","A",IF($M51="MEDIA","M",IF($M51="BAJA","B",0))))</f>
        <v>M</v>
      </c>
      <c r="O51" s="1" t="s">
        <v>513</v>
      </c>
      <c r="P51" s="174" t="str">
        <f t="shared" si="27"/>
        <v>A</v>
      </c>
      <c r="Q51" s="1" t="str">
        <f t="shared" si="4"/>
        <v>B</v>
      </c>
      <c r="R51" s="1" t="str">
        <f t="shared" si="0"/>
        <v>B</v>
      </c>
      <c r="S51" s="1">
        <f t="shared" si="1"/>
        <v>0</v>
      </c>
      <c r="T51" s="1">
        <f t="shared" si="5"/>
        <v>0</v>
      </c>
      <c r="U51" s="1" t="str">
        <f t="shared" si="2"/>
        <v>M</v>
      </c>
      <c r="V51" s="1" t="str">
        <f t="shared" si="13"/>
        <v>M</v>
      </c>
      <c r="W51" s="173" t="str">
        <f t="shared" si="6"/>
        <v>A</v>
      </c>
      <c r="X51" s="5">
        <f t="shared" si="34"/>
        <v>0</v>
      </c>
      <c r="Y51" s="1">
        <f t="shared" si="35"/>
        <v>1</v>
      </c>
      <c r="Z51" s="1">
        <f t="shared" si="36"/>
        <v>2</v>
      </c>
      <c r="AA51" s="174">
        <f t="shared" si="37"/>
        <v>2</v>
      </c>
      <c r="AB51" s="5">
        <f t="shared" si="38"/>
        <v>5</v>
      </c>
      <c r="AC51" s="175" t="str">
        <f t="shared" si="39"/>
        <v>Moderado</v>
      </c>
    </row>
    <row r="52" spans="1:29" ht="60" x14ac:dyDescent="0.25">
      <c r="A52" s="172" t="str">
        <f>+'PRIORIZACIÓN (2)'!B54</f>
        <v>Auditoria Proceso Evaluación y seguimiento - Normas Internacionales de Auditoria - Oficina PAD
Auditorias cruzadas OCI - Alcaldia.</v>
      </c>
      <c r="B52" s="180" t="str">
        <f>+IF('PRIORIZACIÓN (2)'!I54&gt;0%,"YA CUENTA CON PONDERACIÓN DE RIESGOS, NO DILIGENCIAR ANALISIS OCI", "DILIGENCIE ANALISIS OCI PARA ESTA UNIDAD AUDITABLE")</f>
        <v>YA CUENTA CON PONDERACIÓN DE RIESGOS, NO DILIGENCIAR ANALISIS OCI</v>
      </c>
      <c r="C52" s="176" t="s">
        <v>343</v>
      </c>
      <c r="D52" s="1"/>
      <c r="E52" s="1" t="s">
        <v>485</v>
      </c>
      <c r="F52" s="1"/>
      <c r="G52" s="177" t="s">
        <v>345</v>
      </c>
      <c r="H52" s="1"/>
      <c r="I52" s="177" t="s">
        <v>345</v>
      </c>
      <c r="J52" s="1"/>
      <c r="K52" s="1" t="s">
        <v>490</v>
      </c>
      <c r="L52" s="1"/>
      <c r="M52" s="1" t="s">
        <v>345</v>
      </c>
      <c r="N52" s="1"/>
      <c r="O52" s="1" t="s">
        <v>489</v>
      </c>
      <c r="P52" s="174" t="str">
        <f t="shared" si="27"/>
        <v>M</v>
      </c>
      <c r="Q52" s="1" t="str">
        <f t="shared" si="4"/>
        <v>B</v>
      </c>
      <c r="R52" s="1" t="str">
        <f t="shared" si="0"/>
        <v>B</v>
      </c>
      <c r="S52" s="1">
        <f t="shared" si="1"/>
        <v>0</v>
      </c>
      <c r="T52" s="1">
        <f t="shared" si="5"/>
        <v>0</v>
      </c>
      <c r="U52" s="1" t="str">
        <f t="shared" si="2"/>
        <v>M</v>
      </c>
      <c r="V52" s="1">
        <f t="shared" si="13"/>
        <v>0</v>
      </c>
      <c r="W52" s="173" t="str">
        <f t="shared" si="6"/>
        <v>M</v>
      </c>
      <c r="X52" s="5">
        <f t="shared" si="34"/>
        <v>0</v>
      </c>
      <c r="Y52" s="1">
        <f t="shared" si="35"/>
        <v>0</v>
      </c>
      <c r="Z52" s="1">
        <f t="shared" si="36"/>
        <v>2</v>
      </c>
      <c r="AA52" s="174">
        <f t="shared" si="37"/>
        <v>2</v>
      </c>
      <c r="AB52" s="5">
        <f t="shared" si="38"/>
        <v>4</v>
      </c>
      <c r="AC52" s="175" t="str">
        <f t="shared" si="39"/>
        <v>Moderado</v>
      </c>
    </row>
    <row r="53" spans="1:29" ht="30" x14ac:dyDescent="0.25">
      <c r="A53" s="172" t="str">
        <f>+'PRIORIZACIÓN (2)'!B55</f>
        <v>Unidad Auditable 43</v>
      </c>
      <c r="B53" s="180" t="str">
        <f>+IF('PRIORIZACIÓN (2)'!I55&gt;0%,"YA CUENTA CON PONDERACIÓN DE RIESGOS, NO DILIGENCIAR ANALISIS OCI", "DILIGENCIE ANALISIS OCI PARA ESTA UNIDAD AUDITABLE")</f>
        <v>DILIGENCIE ANALISIS OCI PARA ESTA UNIDAD AUDITABLE</v>
      </c>
      <c r="C53" s="176"/>
      <c r="D53" s="1">
        <f t="shared" ref="D53:D73" si="40">IF($C53="EXTREMA","E",IF($C53="ALTA","A",IF($C53="MEDIA","M",IF($C53="BAJA","B",0))))</f>
        <v>0</v>
      </c>
      <c r="E53" s="1"/>
      <c r="F53" s="1">
        <f t="shared" ref="F53:F90" si="41">IF($E53="3 días","E",IF($E53="2 días","A",IF($E53="1 días","M",IF($E53="Varias horas","B",0))))</f>
        <v>0</v>
      </c>
      <c r="G53" s="177"/>
      <c r="H53" s="1">
        <f t="shared" ref="H53:H73" si="42">IF($G53="EXTREMA","E",IF($G53="ALTA","A",IF($G53="MEDIA","M",IF($G53="BAJA","B",0))))</f>
        <v>0</v>
      </c>
      <c r="I53" s="177"/>
      <c r="J53" s="1">
        <f t="shared" ref="J53:J73" si="43">IF($I53="EXTREMA","E",IF($I53="ALTA","A",IF($I53="MEDIA","M",IF($I53="BAJA","B",0))))</f>
        <v>0</v>
      </c>
      <c r="K53" s="1"/>
      <c r="L53" s="1">
        <f t="shared" ref="L53:L90" si="44">IF($K53="Hechos de Corrupción","E",IF($K53="Incumplimiento de servicios","A",IF($K53="Retrasos en los servicios","M",IF($K53="Quejas por incumplimientos o retrasos","B",0))))</f>
        <v>0</v>
      </c>
      <c r="M53" s="1"/>
      <c r="N53" s="1">
        <f t="shared" ref="N53:N73" si="45">IF($M53="EXTREMA","E",IF($M53="ALTA","A",IF($M53="MEDIA","M",IF($M53="BAJA","B",0))))</f>
        <v>0</v>
      </c>
      <c r="O53" s="1"/>
      <c r="P53" s="174">
        <f t="shared" si="27"/>
        <v>0</v>
      </c>
      <c r="Q53" s="1">
        <f t="shared" si="4"/>
        <v>0</v>
      </c>
      <c r="R53" s="1">
        <f t="shared" si="0"/>
        <v>0</v>
      </c>
      <c r="S53" s="1">
        <f t="shared" si="1"/>
        <v>0</v>
      </c>
      <c r="T53" s="1">
        <f t="shared" si="5"/>
        <v>0</v>
      </c>
      <c r="U53" s="1">
        <f t="shared" si="2"/>
        <v>0</v>
      </c>
      <c r="V53" s="1">
        <f t="shared" si="13"/>
        <v>0</v>
      </c>
      <c r="W53" s="173">
        <f t="shared" si="6"/>
        <v>0</v>
      </c>
      <c r="X53" s="5">
        <f t="shared" si="34"/>
        <v>0</v>
      </c>
      <c r="Y53" s="1">
        <f t="shared" si="35"/>
        <v>0</v>
      </c>
      <c r="Z53" s="1">
        <f t="shared" si="36"/>
        <v>0</v>
      </c>
      <c r="AA53" s="174">
        <f t="shared" si="37"/>
        <v>0</v>
      </c>
      <c r="AB53" s="5">
        <f t="shared" si="38"/>
        <v>0</v>
      </c>
      <c r="AC53" s="175" t="e">
        <f t="shared" si="39"/>
        <v>#DIV/0!</v>
      </c>
    </row>
    <row r="54" spans="1:29" ht="30" x14ac:dyDescent="0.25">
      <c r="A54" s="172" t="str">
        <f>+'PRIORIZACIÓN (2)'!B56</f>
        <v>Unidad Auditable 44</v>
      </c>
      <c r="B54" s="180" t="str">
        <f>+IF('PRIORIZACIÓN (2)'!I56&gt;0%,"YA CUENTA CON PONDERACIÓN DE RIESGOS, NO DILIGENCIAR ANALISIS OCI", "DILIGENCIE ANALISIS OCI PARA ESTA UNIDAD AUDITABLE")</f>
        <v>DILIGENCIE ANALISIS OCI PARA ESTA UNIDAD AUDITABLE</v>
      </c>
      <c r="C54" s="176"/>
      <c r="D54" s="1">
        <f t="shared" si="40"/>
        <v>0</v>
      </c>
      <c r="E54" s="1"/>
      <c r="F54" s="1">
        <f t="shared" si="41"/>
        <v>0</v>
      </c>
      <c r="G54" s="177"/>
      <c r="H54" s="1">
        <f t="shared" si="42"/>
        <v>0</v>
      </c>
      <c r="I54" s="177"/>
      <c r="J54" s="1">
        <f t="shared" si="43"/>
        <v>0</v>
      </c>
      <c r="K54" s="1"/>
      <c r="L54" s="1">
        <f t="shared" si="44"/>
        <v>0</v>
      </c>
      <c r="M54" s="1"/>
      <c r="N54" s="1">
        <f t="shared" si="45"/>
        <v>0</v>
      </c>
      <c r="O54" s="1"/>
      <c r="P54" s="174">
        <f t="shared" si="27"/>
        <v>0</v>
      </c>
      <c r="Q54" s="1">
        <f t="shared" si="4"/>
        <v>0</v>
      </c>
      <c r="R54" s="1">
        <f t="shared" si="0"/>
        <v>0</v>
      </c>
      <c r="S54" s="1">
        <f t="shared" si="1"/>
        <v>0</v>
      </c>
      <c r="T54" s="1">
        <f t="shared" si="5"/>
        <v>0</v>
      </c>
      <c r="U54" s="1">
        <f t="shared" si="2"/>
        <v>0</v>
      </c>
      <c r="V54" s="1">
        <f t="shared" si="13"/>
        <v>0</v>
      </c>
      <c r="W54" s="173">
        <f t="shared" si="6"/>
        <v>0</v>
      </c>
      <c r="X54" s="5">
        <f t="shared" si="34"/>
        <v>0</v>
      </c>
      <c r="Y54" s="1">
        <f t="shared" si="35"/>
        <v>0</v>
      </c>
      <c r="Z54" s="1">
        <f t="shared" si="36"/>
        <v>0</v>
      </c>
      <c r="AA54" s="174">
        <f t="shared" si="37"/>
        <v>0</v>
      </c>
      <c r="AB54" s="5">
        <f t="shared" si="38"/>
        <v>0</v>
      </c>
      <c r="AC54" s="175" t="e">
        <f t="shared" si="39"/>
        <v>#DIV/0!</v>
      </c>
    </row>
    <row r="55" spans="1:29" ht="30" x14ac:dyDescent="0.25">
      <c r="A55" s="172" t="str">
        <f>+'PRIORIZACIÓN (2)'!B57</f>
        <v>Unidad Auditable 45</v>
      </c>
      <c r="B55" s="180" t="str">
        <f>+IF('PRIORIZACIÓN (2)'!I57&gt;0%,"YA CUENTA CON PONDERACIÓN DE RIESGOS, NO DILIGENCIAR ANALISIS OCI", "DILIGENCIE ANALISIS OCI PARA ESTA UNIDAD AUDITABLE")</f>
        <v>DILIGENCIE ANALISIS OCI PARA ESTA UNIDAD AUDITABLE</v>
      </c>
      <c r="C55" s="176"/>
      <c r="D55" s="1">
        <f t="shared" si="40"/>
        <v>0</v>
      </c>
      <c r="E55" s="1"/>
      <c r="F55" s="1">
        <f t="shared" si="41"/>
        <v>0</v>
      </c>
      <c r="G55" s="177"/>
      <c r="H55" s="1">
        <f t="shared" si="42"/>
        <v>0</v>
      </c>
      <c r="I55" s="177"/>
      <c r="J55" s="1">
        <f t="shared" si="43"/>
        <v>0</v>
      </c>
      <c r="K55" s="1"/>
      <c r="L55" s="1">
        <f t="shared" si="44"/>
        <v>0</v>
      </c>
      <c r="M55" s="1"/>
      <c r="N55" s="1">
        <f t="shared" si="45"/>
        <v>0</v>
      </c>
      <c r="O55" s="1"/>
      <c r="P55" s="174">
        <f t="shared" si="27"/>
        <v>0</v>
      </c>
      <c r="Q55" s="1">
        <f t="shared" si="4"/>
        <v>0</v>
      </c>
      <c r="R55" s="1">
        <f t="shared" si="0"/>
        <v>0</v>
      </c>
      <c r="S55" s="1">
        <f t="shared" si="1"/>
        <v>0</v>
      </c>
      <c r="T55" s="1">
        <f t="shared" si="5"/>
        <v>0</v>
      </c>
      <c r="U55" s="1">
        <f t="shared" si="2"/>
        <v>0</v>
      </c>
      <c r="V55" s="1">
        <f t="shared" si="13"/>
        <v>0</v>
      </c>
      <c r="W55" s="173">
        <f t="shared" si="6"/>
        <v>0</v>
      </c>
      <c r="X55" s="5">
        <f t="shared" si="34"/>
        <v>0</v>
      </c>
      <c r="Y55" s="1">
        <f t="shared" si="35"/>
        <v>0</v>
      </c>
      <c r="Z55" s="1">
        <f t="shared" si="36"/>
        <v>0</v>
      </c>
      <c r="AA55" s="174">
        <f t="shared" si="37"/>
        <v>0</v>
      </c>
      <c r="AB55" s="5">
        <f t="shared" si="38"/>
        <v>0</v>
      </c>
      <c r="AC55" s="175" t="e">
        <f t="shared" si="39"/>
        <v>#DIV/0!</v>
      </c>
    </row>
    <row r="56" spans="1:29" ht="30" x14ac:dyDescent="0.25">
      <c r="A56" s="172" t="str">
        <f>+'PRIORIZACIÓN (2)'!B58</f>
        <v>Unidad Auditable 46</v>
      </c>
      <c r="B56" s="180" t="str">
        <f>+IF('PRIORIZACIÓN (2)'!I58&gt;0%,"YA CUENTA CON PONDERACIÓN DE RIESGOS, NO DILIGENCIAR ANALISIS OCI", "DILIGENCIE ANALISIS OCI PARA ESTA UNIDAD AUDITABLE")</f>
        <v>DILIGENCIE ANALISIS OCI PARA ESTA UNIDAD AUDITABLE</v>
      </c>
      <c r="C56" s="176"/>
      <c r="D56" s="1">
        <f t="shared" si="40"/>
        <v>0</v>
      </c>
      <c r="E56" s="1"/>
      <c r="F56" s="1">
        <f t="shared" si="41"/>
        <v>0</v>
      </c>
      <c r="G56" s="177"/>
      <c r="H56" s="1">
        <f t="shared" si="42"/>
        <v>0</v>
      </c>
      <c r="I56" s="177"/>
      <c r="J56" s="1">
        <f t="shared" si="43"/>
        <v>0</v>
      </c>
      <c r="K56" s="1"/>
      <c r="L56" s="1">
        <f t="shared" si="44"/>
        <v>0</v>
      </c>
      <c r="M56" s="1"/>
      <c r="N56" s="1">
        <f t="shared" si="45"/>
        <v>0</v>
      </c>
      <c r="O56" s="1"/>
      <c r="P56" s="174">
        <f t="shared" si="27"/>
        <v>0</v>
      </c>
      <c r="Q56" s="1">
        <f t="shared" si="4"/>
        <v>0</v>
      </c>
      <c r="R56" s="1">
        <f t="shared" si="0"/>
        <v>0</v>
      </c>
      <c r="S56" s="1">
        <f t="shared" si="1"/>
        <v>0</v>
      </c>
      <c r="T56" s="1">
        <f t="shared" si="5"/>
        <v>0</v>
      </c>
      <c r="U56" s="1">
        <f t="shared" si="2"/>
        <v>0</v>
      </c>
      <c r="V56" s="1">
        <f t="shared" si="13"/>
        <v>0</v>
      </c>
      <c r="W56" s="173">
        <f t="shared" si="6"/>
        <v>0</v>
      </c>
      <c r="X56" s="5">
        <f t="shared" si="34"/>
        <v>0</v>
      </c>
      <c r="Y56" s="1">
        <f t="shared" si="35"/>
        <v>0</v>
      </c>
      <c r="Z56" s="1">
        <f t="shared" si="36"/>
        <v>0</v>
      </c>
      <c r="AA56" s="174">
        <f t="shared" si="37"/>
        <v>0</v>
      </c>
      <c r="AB56" s="5">
        <f t="shared" si="38"/>
        <v>0</v>
      </c>
      <c r="AC56" s="175" t="e">
        <f t="shared" si="39"/>
        <v>#DIV/0!</v>
      </c>
    </row>
    <row r="57" spans="1:29" ht="30" x14ac:dyDescent="0.25">
      <c r="A57" s="172" t="str">
        <f>+'PRIORIZACIÓN (2)'!B59</f>
        <v>Unidad Auditable 47</v>
      </c>
      <c r="B57" s="180" t="str">
        <f>+IF('PRIORIZACIÓN (2)'!I59&gt;0%,"YA CUENTA CON PONDERACIÓN DE RIESGOS, NO DILIGENCIAR ANALISIS OCI", "DILIGENCIE ANALISIS OCI PARA ESTA UNIDAD AUDITABLE")</f>
        <v>DILIGENCIE ANALISIS OCI PARA ESTA UNIDAD AUDITABLE</v>
      </c>
      <c r="C57" s="176"/>
      <c r="D57" s="1">
        <f t="shared" si="40"/>
        <v>0</v>
      </c>
      <c r="E57" s="1"/>
      <c r="F57" s="1">
        <f t="shared" si="41"/>
        <v>0</v>
      </c>
      <c r="G57" s="177"/>
      <c r="H57" s="1">
        <f t="shared" si="42"/>
        <v>0</v>
      </c>
      <c r="I57" s="177"/>
      <c r="J57" s="1">
        <f t="shared" si="43"/>
        <v>0</v>
      </c>
      <c r="K57" s="1"/>
      <c r="L57" s="1">
        <f t="shared" si="44"/>
        <v>0</v>
      </c>
      <c r="M57" s="1"/>
      <c r="N57" s="1">
        <f t="shared" si="45"/>
        <v>0</v>
      </c>
      <c r="O57" s="1"/>
      <c r="P57" s="174">
        <f t="shared" si="27"/>
        <v>0</v>
      </c>
      <c r="Q57" s="1">
        <f t="shared" si="4"/>
        <v>0</v>
      </c>
      <c r="R57" s="1">
        <f t="shared" si="0"/>
        <v>0</v>
      </c>
      <c r="S57" s="1">
        <f t="shared" si="1"/>
        <v>0</v>
      </c>
      <c r="T57" s="1">
        <f t="shared" si="5"/>
        <v>0</v>
      </c>
      <c r="U57" s="1">
        <f t="shared" si="2"/>
        <v>0</v>
      </c>
      <c r="V57" s="1">
        <f t="shared" si="13"/>
        <v>0</v>
      </c>
      <c r="W57" s="173">
        <f t="shared" si="6"/>
        <v>0</v>
      </c>
      <c r="X57" s="5">
        <f t="shared" si="34"/>
        <v>0</v>
      </c>
      <c r="Y57" s="1">
        <f t="shared" si="35"/>
        <v>0</v>
      </c>
      <c r="Z57" s="1">
        <f t="shared" si="36"/>
        <v>0</v>
      </c>
      <c r="AA57" s="174">
        <f t="shared" si="37"/>
        <v>0</v>
      </c>
      <c r="AB57" s="5">
        <f t="shared" si="38"/>
        <v>0</v>
      </c>
      <c r="AC57" s="175" t="e">
        <f t="shared" si="39"/>
        <v>#DIV/0!</v>
      </c>
    </row>
    <row r="58" spans="1:29" ht="30" x14ac:dyDescent="0.25">
      <c r="A58" s="172" t="str">
        <f>+'PRIORIZACIÓN (2)'!B60</f>
        <v>Unidad Auditable 48</v>
      </c>
      <c r="B58" s="180" t="str">
        <f>+IF('PRIORIZACIÓN (2)'!I60&gt;0%,"YA CUENTA CON PONDERACIÓN DE RIESGOS, NO DILIGENCIAR ANALISIS OCI", "DILIGENCIE ANALISIS OCI PARA ESTA UNIDAD AUDITABLE")</f>
        <v>DILIGENCIE ANALISIS OCI PARA ESTA UNIDAD AUDITABLE</v>
      </c>
      <c r="C58" s="176"/>
      <c r="D58" s="1">
        <f t="shared" si="40"/>
        <v>0</v>
      </c>
      <c r="E58" s="1"/>
      <c r="F58" s="1">
        <f t="shared" si="41"/>
        <v>0</v>
      </c>
      <c r="G58" s="177"/>
      <c r="H58" s="1">
        <f t="shared" si="42"/>
        <v>0</v>
      </c>
      <c r="I58" s="177"/>
      <c r="J58" s="1">
        <f t="shared" si="43"/>
        <v>0</v>
      </c>
      <c r="K58" s="1"/>
      <c r="L58" s="1">
        <f t="shared" si="44"/>
        <v>0</v>
      </c>
      <c r="M58" s="1"/>
      <c r="N58" s="1">
        <f t="shared" si="45"/>
        <v>0</v>
      </c>
      <c r="O58" s="1"/>
      <c r="P58" s="174">
        <f t="shared" si="27"/>
        <v>0</v>
      </c>
      <c r="Q58" s="1">
        <f t="shared" si="4"/>
        <v>0</v>
      </c>
      <c r="R58" s="1">
        <f t="shared" si="0"/>
        <v>0</v>
      </c>
      <c r="S58" s="1">
        <f t="shared" si="1"/>
        <v>0</v>
      </c>
      <c r="T58" s="1">
        <f t="shared" si="5"/>
        <v>0</v>
      </c>
      <c r="U58" s="1">
        <f t="shared" si="2"/>
        <v>0</v>
      </c>
      <c r="V58" s="1">
        <f t="shared" si="13"/>
        <v>0</v>
      </c>
      <c r="W58" s="173">
        <f t="shared" si="6"/>
        <v>0</v>
      </c>
      <c r="X58" s="5">
        <f t="shared" si="34"/>
        <v>0</v>
      </c>
      <c r="Y58" s="1">
        <f t="shared" si="35"/>
        <v>0</v>
      </c>
      <c r="Z58" s="1">
        <f t="shared" si="36"/>
        <v>0</v>
      </c>
      <c r="AA58" s="174">
        <f t="shared" si="37"/>
        <v>0</v>
      </c>
      <c r="AB58" s="5">
        <f t="shared" si="38"/>
        <v>0</v>
      </c>
      <c r="AC58" s="175" t="e">
        <f t="shared" si="39"/>
        <v>#DIV/0!</v>
      </c>
    </row>
    <row r="59" spans="1:29" ht="30" x14ac:dyDescent="0.25">
      <c r="A59" s="172" t="str">
        <f>+'PRIORIZACIÓN (2)'!B61</f>
        <v>Unidad Auditable 49</v>
      </c>
      <c r="B59" s="180" t="str">
        <f>+IF('PRIORIZACIÓN (2)'!I61&gt;0%,"YA CUENTA CON PONDERACIÓN DE RIESGOS, NO DILIGENCIAR ANALISIS OCI", "DILIGENCIE ANALISIS OCI PARA ESTA UNIDAD AUDITABLE")</f>
        <v>DILIGENCIE ANALISIS OCI PARA ESTA UNIDAD AUDITABLE</v>
      </c>
      <c r="C59" s="176"/>
      <c r="D59" s="1">
        <f t="shared" si="40"/>
        <v>0</v>
      </c>
      <c r="E59" s="1"/>
      <c r="F59" s="1">
        <f t="shared" si="41"/>
        <v>0</v>
      </c>
      <c r="G59" s="177"/>
      <c r="H59" s="1">
        <f t="shared" si="42"/>
        <v>0</v>
      </c>
      <c r="I59" s="177"/>
      <c r="J59" s="1">
        <f t="shared" si="43"/>
        <v>0</v>
      </c>
      <c r="K59" s="1"/>
      <c r="L59" s="1">
        <f t="shared" si="44"/>
        <v>0</v>
      </c>
      <c r="M59" s="1"/>
      <c r="N59" s="1">
        <f t="shared" si="45"/>
        <v>0</v>
      </c>
      <c r="O59" s="1"/>
      <c r="P59" s="174">
        <f t="shared" si="27"/>
        <v>0</v>
      </c>
      <c r="Q59" s="1">
        <f t="shared" si="4"/>
        <v>0</v>
      </c>
      <c r="R59" s="1">
        <f t="shared" si="0"/>
        <v>0</v>
      </c>
      <c r="S59" s="1">
        <f t="shared" si="1"/>
        <v>0</v>
      </c>
      <c r="T59" s="1">
        <f t="shared" si="5"/>
        <v>0</v>
      </c>
      <c r="U59" s="1">
        <f t="shared" si="2"/>
        <v>0</v>
      </c>
      <c r="V59" s="1">
        <f t="shared" si="13"/>
        <v>0</v>
      </c>
      <c r="W59" s="173">
        <f t="shared" si="6"/>
        <v>0</v>
      </c>
      <c r="X59" s="5">
        <f t="shared" si="34"/>
        <v>0</v>
      </c>
      <c r="Y59" s="1">
        <f t="shared" si="35"/>
        <v>0</v>
      </c>
      <c r="Z59" s="1">
        <f t="shared" si="36"/>
        <v>0</v>
      </c>
      <c r="AA59" s="174">
        <f t="shared" si="37"/>
        <v>0</v>
      </c>
      <c r="AB59" s="5">
        <f t="shared" si="38"/>
        <v>0</v>
      </c>
      <c r="AC59" s="175" t="e">
        <f t="shared" si="39"/>
        <v>#DIV/0!</v>
      </c>
    </row>
    <row r="60" spans="1:29" ht="30" x14ac:dyDescent="0.25">
      <c r="A60" s="172" t="str">
        <f>+'PRIORIZACIÓN (2)'!B62</f>
        <v>Unidad Auditable 50</v>
      </c>
      <c r="B60" s="180" t="str">
        <f>+IF('PRIORIZACIÓN (2)'!I62&gt;0%,"YA CUENTA CON PONDERACIÓN DE RIESGOS, NO DILIGENCIAR ANALISIS OCI", "DILIGENCIE ANALISIS OCI PARA ESTA UNIDAD AUDITABLE")</f>
        <v>DILIGENCIE ANALISIS OCI PARA ESTA UNIDAD AUDITABLE</v>
      </c>
      <c r="C60" s="176"/>
      <c r="D60" s="1">
        <f t="shared" si="40"/>
        <v>0</v>
      </c>
      <c r="E60" s="1"/>
      <c r="F60" s="1">
        <f t="shared" si="41"/>
        <v>0</v>
      </c>
      <c r="G60" s="177"/>
      <c r="H60" s="1">
        <f t="shared" si="42"/>
        <v>0</v>
      </c>
      <c r="I60" s="177"/>
      <c r="J60" s="1">
        <f t="shared" si="43"/>
        <v>0</v>
      </c>
      <c r="K60" s="1"/>
      <c r="L60" s="1">
        <f t="shared" si="44"/>
        <v>0</v>
      </c>
      <c r="M60" s="1"/>
      <c r="N60" s="1">
        <f t="shared" si="45"/>
        <v>0</v>
      </c>
      <c r="O60" s="1"/>
      <c r="P60" s="174">
        <f t="shared" si="27"/>
        <v>0</v>
      </c>
      <c r="Q60" s="1">
        <f t="shared" si="4"/>
        <v>0</v>
      </c>
      <c r="R60" s="1">
        <f t="shared" si="0"/>
        <v>0</v>
      </c>
      <c r="S60" s="1">
        <f t="shared" si="1"/>
        <v>0</v>
      </c>
      <c r="T60" s="1">
        <f t="shared" si="5"/>
        <v>0</v>
      </c>
      <c r="U60" s="1">
        <f t="shared" si="2"/>
        <v>0</v>
      </c>
      <c r="V60" s="1">
        <f t="shared" si="13"/>
        <v>0</v>
      </c>
      <c r="W60" s="173">
        <f t="shared" si="6"/>
        <v>0</v>
      </c>
      <c r="X60" s="5">
        <f t="shared" si="34"/>
        <v>0</v>
      </c>
      <c r="Y60" s="1">
        <f t="shared" si="35"/>
        <v>0</v>
      </c>
      <c r="Z60" s="1">
        <f t="shared" si="36"/>
        <v>0</v>
      </c>
      <c r="AA60" s="174">
        <f t="shared" si="37"/>
        <v>0</v>
      </c>
      <c r="AB60" s="5">
        <f t="shared" si="38"/>
        <v>0</v>
      </c>
      <c r="AC60" s="175" t="e">
        <f t="shared" si="39"/>
        <v>#DIV/0!</v>
      </c>
    </row>
    <row r="61" spans="1:29" ht="30" x14ac:dyDescent="0.25">
      <c r="A61" s="172" t="str">
        <f>+'PRIORIZACIÓN (2)'!B63</f>
        <v>Unidad Auditable 51</v>
      </c>
      <c r="B61" s="180" t="str">
        <f>+IF('PRIORIZACIÓN (2)'!I63&gt;0%,"YA CUENTA CON PONDERACIÓN DE RIESGOS, NO DILIGENCIAR ANALISIS OCI", "DILIGENCIE ANALISIS OCI PARA ESTA UNIDAD AUDITABLE")</f>
        <v>DILIGENCIE ANALISIS OCI PARA ESTA UNIDAD AUDITABLE</v>
      </c>
      <c r="C61" s="176"/>
      <c r="D61" s="1">
        <f t="shared" si="40"/>
        <v>0</v>
      </c>
      <c r="E61" s="1"/>
      <c r="F61" s="1">
        <f t="shared" si="41"/>
        <v>0</v>
      </c>
      <c r="G61" s="177"/>
      <c r="H61" s="1">
        <f t="shared" si="42"/>
        <v>0</v>
      </c>
      <c r="I61" s="177"/>
      <c r="J61" s="1">
        <f t="shared" si="43"/>
        <v>0</v>
      </c>
      <c r="K61" s="1"/>
      <c r="L61" s="1">
        <f t="shared" si="44"/>
        <v>0</v>
      </c>
      <c r="M61" s="1"/>
      <c r="N61" s="1">
        <f t="shared" si="45"/>
        <v>0</v>
      </c>
      <c r="O61" s="1"/>
      <c r="P61" s="174">
        <f t="shared" si="27"/>
        <v>0</v>
      </c>
      <c r="Q61" s="1">
        <f t="shared" si="4"/>
        <v>0</v>
      </c>
      <c r="R61" s="1">
        <f t="shared" si="0"/>
        <v>0</v>
      </c>
      <c r="S61" s="1">
        <f t="shared" si="1"/>
        <v>0</v>
      </c>
      <c r="T61" s="1">
        <f t="shared" si="5"/>
        <v>0</v>
      </c>
      <c r="U61" s="1">
        <f t="shared" si="2"/>
        <v>0</v>
      </c>
      <c r="V61" s="1">
        <f t="shared" si="13"/>
        <v>0</v>
      </c>
      <c r="W61" s="173">
        <f t="shared" si="6"/>
        <v>0</v>
      </c>
      <c r="X61" s="5">
        <f t="shared" si="34"/>
        <v>0</v>
      </c>
      <c r="Y61" s="1">
        <f t="shared" si="35"/>
        <v>0</v>
      </c>
      <c r="Z61" s="1">
        <f t="shared" si="36"/>
        <v>0</v>
      </c>
      <c r="AA61" s="174">
        <f t="shared" si="37"/>
        <v>0</v>
      </c>
      <c r="AB61" s="5">
        <f t="shared" si="38"/>
        <v>0</v>
      </c>
      <c r="AC61" s="175" t="e">
        <f t="shared" si="39"/>
        <v>#DIV/0!</v>
      </c>
    </row>
    <row r="62" spans="1:29" ht="30" x14ac:dyDescent="0.25">
      <c r="A62" s="172" t="str">
        <f>+'PRIORIZACIÓN (2)'!B64</f>
        <v>Unidad Auditable 52</v>
      </c>
      <c r="B62" s="180" t="str">
        <f>+IF('PRIORIZACIÓN (2)'!I64&gt;0%,"YA CUENTA CON PONDERACIÓN DE RIESGOS, NO DILIGENCIAR ANALISIS OCI", "DILIGENCIE ANALISIS OCI PARA ESTA UNIDAD AUDITABLE")</f>
        <v>DILIGENCIE ANALISIS OCI PARA ESTA UNIDAD AUDITABLE</v>
      </c>
      <c r="C62" s="176"/>
      <c r="D62" s="1">
        <f t="shared" si="40"/>
        <v>0</v>
      </c>
      <c r="E62" s="1"/>
      <c r="F62" s="1">
        <f t="shared" si="41"/>
        <v>0</v>
      </c>
      <c r="G62" s="177"/>
      <c r="H62" s="1">
        <f t="shared" si="42"/>
        <v>0</v>
      </c>
      <c r="I62" s="177"/>
      <c r="J62" s="1">
        <f t="shared" si="43"/>
        <v>0</v>
      </c>
      <c r="K62" s="1"/>
      <c r="L62" s="1">
        <f t="shared" si="44"/>
        <v>0</v>
      </c>
      <c r="M62" s="1"/>
      <c r="N62" s="1">
        <f t="shared" si="45"/>
        <v>0</v>
      </c>
      <c r="O62" s="1"/>
      <c r="P62" s="174">
        <f t="shared" si="27"/>
        <v>0</v>
      </c>
      <c r="Q62" s="1">
        <f t="shared" si="4"/>
        <v>0</v>
      </c>
      <c r="R62" s="1">
        <f t="shared" si="0"/>
        <v>0</v>
      </c>
      <c r="S62" s="1">
        <f t="shared" si="1"/>
        <v>0</v>
      </c>
      <c r="T62" s="1">
        <f t="shared" si="5"/>
        <v>0</v>
      </c>
      <c r="U62" s="1">
        <f t="shared" si="2"/>
        <v>0</v>
      </c>
      <c r="V62" s="1">
        <f t="shared" si="13"/>
        <v>0</v>
      </c>
      <c r="W62" s="173">
        <f t="shared" si="6"/>
        <v>0</v>
      </c>
      <c r="X62" s="5">
        <f t="shared" si="34"/>
        <v>0</v>
      </c>
      <c r="Y62" s="1">
        <f t="shared" si="35"/>
        <v>0</v>
      </c>
      <c r="Z62" s="1">
        <f t="shared" si="36"/>
        <v>0</v>
      </c>
      <c r="AA62" s="174">
        <f t="shared" si="37"/>
        <v>0</v>
      </c>
      <c r="AB62" s="5">
        <f t="shared" si="38"/>
        <v>0</v>
      </c>
      <c r="AC62" s="175" t="e">
        <f t="shared" si="39"/>
        <v>#DIV/0!</v>
      </c>
    </row>
    <row r="63" spans="1:29" ht="30" x14ac:dyDescent="0.25">
      <c r="A63" s="172" t="str">
        <f>+'PRIORIZACIÓN (2)'!B65</f>
        <v>Unidad Auditable 53</v>
      </c>
      <c r="B63" s="180" t="str">
        <f>+IF('PRIORIZACIÓN (2)'!I65&gt;0%,"YA CUENTA CON PONDERACIÓN DE RIESGOS, NO DILIGENCIAR ANALISIS OCI", "DILIGENCIE ANALISIS OCI PARA ESTA UNIDAD AUDITABLE")</f>
        <v>DILIGENCIE ANALISIS OCI PARA ESTA UNIDAD AUDITABLE</v>
      </c>
      <c r="C63" s="176"/>
      <c r="D63" s="1">
        <f t="shared" si="40"/>
        <v>0</v>
      </c>
      <c r="E63" s="1"/>
      <c r="F63" s="1">
        <f t="shared" si="41"/>
        <v>0</v>
      </c>
      <c r="G63" s="177"/>
      <c r="H63" s="1">
        <f t="shared" si="42"/>
        <v>0</v>
      </c>
      <c r="I63" s="177"/>
      <c r="J63" s="1">
        <f t="shared" si="43"/>
        <v>0</v>
      </c>
      <c r="K63" s="1"/>
      <c r="L63" s="1">
        <f t="shared" si="44"/>
        <v>0</v>
      </c>
      <c r="M63" s="1"/>
      <c r="N63" s="1">
        <f t="shared" si="45"/>
        <v>0</v>
      </c>
      <c r="O63" s="1"/>
      <c r="P63" s="174">
        <f t="shared" si="27"/>
        <v>0</v>
      </c>
      <c r="Q63" s="1">
        <f t="shared" si="4"/>
        <v>0</v>
      </c>
      <c r="R63" s="1">
        <f t="shared" si="0"/>
        <v>0</v>
      </c>
      <c r="S63" s="1">
        <f t="shared" si="1"/>
        <v>0</v>
      </c>
      <c r="T63" s="1">
        <f t="shared" si="5"/>
        <v>0</v>
      </c>
      <c r="U63" s="1">
        <f t="shared" si="2"/>
        <v>0</v>
      </c>
      <c r="V63" s="1">
        <f t="shared" si="13"/>
        <v>0</v>
      </c>
      <c r="W63" s="173">
        <f t="shared" si="6"/>
        <v>0</v>
      </c>
      <c r="X63" s="5">
        <f t="shared" si="34"/>
        <v>0</v>
      </c>
      <c r="Y63" s="1">
        <f t="shared" si="35"/>
        <v>0</v>
      </c>
      <c r="Z63" s="1">
        <f t="shared" si="36"/>
        <v>0</v>
      </c>
      <c r="AA63" s="174">
        <f t="shared" si="37"/>
        <v>0</v>
      </c>
      <c r="AB63" s="5">
        <f t="shared" si="38"/>
        <v>0</v>
      </c>
      <c r="AC63" s="175" t="e">
        <f t="shared" si="39"/>
        <v>#DIV/0!</v>
      </c>
    </row>
    <row r="64" spans="1:29" ht="30" x14ac:dyDescent="0.25">
      <c r="A64" s="172" t="str">
        <f>+'PRIORIZACIÓN (2)'!B66</f>
        <v>Unidad Auditable 54</v>
      </c>
      <c r="B64" s="180" t="str">
        <f>+IF('PRIORIZACIÓN (2)'!I66&gt;0%,"YA CUENTA CON PONDERACIÓN DE RIESGOS, NO DILIGENCIAR ANALISIS OCI", "DILIGENCIE ANALISIS OCI PARA ESTA UNIDAD AUDITABLE")</f>
        <v>DILIGENCIE ANALISIS OCI PARA ESTA UNIDAD AUDITABLE</v>
      </c>
      <c r="C64" s="176"/>
      <c r="D64" s="1">
        <f t="shared" si="40"/>
        <v>0</v>
      </c>
      <c r="E64" s="1"/>
      <c r="F64" s="1">
        <f t="shared" si="41"/>
        <v>0</v>
      </c>
      <c r="G64" s="177"/>
      <c r="H64" s="1">
        <f t="shared" si="42"/>
        <v>0</v>
      </c>
      <c r="I64" s="177"/>
      <c r="J64" s="1">
        <f t="shared" si="43"/>
        <v>0</v>
      </c>
      <c r="K64" s="1"/>
      <c r="L64" s="1">
        <f t="shared" si="44"/>
        <v>0</v>
      </c>
      <c r="M64" s="1"/>
      <c r="N64" s="1">
        <f t="shared" si="45"/>
        <v>0</v>
      </c>
      <c r="O64" s="1"/>
      <c r="P64" s="174">
        <f t="shared" si="27"/>
        <v>0</v>
      </c>
      <c r="Q64" s="1">
        <f t="shared" si="4"/>
        <v>0</v>
      </c>
      <c r="R64" s="1">
        <f t="shared" si="0"/>
        <v>0</v>
      </c>
      <c r="S64" s="1">
        <f t="shared" si="1"/>
        <v>0</v>
      </c>
      <c r="T64" s="1">
        <f t="shared" si="5"/>
        <v>0</v>
      </c>
      <c r="U64" s="1">
        <f t="shared" si="2"/>
        <v>0</v>
      </c>
      <c r="V64" s="1">
        <f t="shared" si="13"/>
        <v>0</v>
      </c>
      <c r="W64" s="173">
        <f t="shared" si="6"/>
        <v>0</v>
      </c>
      <c r="X64" s="5">
        <f t="shared" si="34"/>
        <v>0</v>
      </c>
      <c r="Y64" s="1">
        <f t="shared" si="35"/>
        <v>0</v>
      </c>
      <c r="Z64" s="1">
        <f t="shared" si="36"/>
        <v>0</v>
      </c>
      <c r="AA64" s="174">
        <f t="shared" si="37"/>
        <v>0</v>
      </c>
      <c r="AB64" s="5">
        <f t="shared" si="38"/>
        <v>0</v>
      </c>
      <c r="AC64" s="175" t="e">
        <f t="shared" si="39"/>
        <v>#DIV/0!</v>
      </c>
    </row>
    <row r="65" spans="1:29" ht="30" x14ac:dyDescent="0.25">
      <c r="A65" s="172" t="str">
        <f>+'PRIORIZACIÓN (2)'!B67</f>
        <v>Unidad Auditable 55</v>
      </c>
      <c r="B65" s="180" t="str">
        <f>+IF('PRIORIZACIÓN (2)'!I67&gt;0%,"YA CUENTA CON PONDERACIÓN DE RIESGOS, NO DILIGENCIAR ANALISIS OCI", "DILIGENCIE ANALISIS OCI PARA ESTA UNIDAD AUDITABLE")</f>
        <v>DILIGENCIE ANALISIS OCI PARA ESTA UNIDAD AUDITABLE</v>
      </c>
      <c r="C65" s="176"/>
      <c r="D65" s="1">
        <f t="shared" si="40"/>
        <v>0</v>
      </c>
      <c r="E65" s="1"/>
      <c r="F65" s="1">
        <f t="shared" si="41"/>
        <v>0</v>
      </c>
      <c r="G65" s="177"/>
      <c r="H65" s="1">
        <f t="shared" si="42"/>
        <v>0</v>
      </c>
      <c r="I65" s="177"/>
      <c r="J65" s="1">
        <f t="shared" si="43"/>
        <v>0</v>
      </c>
      <c r="K65" s="1"/>
      <c r="L65" s="1">
        <f t="shared" si="44"/>
        <v>0</v>
      </c>
      <c r="M65" s="1"/>
      <c r="N65" s="1">
        <f t="shared" si="45"/>
        <v>0</v>
      </c>
      <c r="O65" s="1"/>
      <c r="P65" s="174">
        <f t="shared" si="27"/>
        <v>0</v>
      </c>
      <c r="Q65" s="1">
        <f t="shared" si="4"/>
        <v>0</v>
      </c>
      <c r="R65" s="1">
        <f t="shared" si="0"/>
        <v>0</v>
      </c>
      <c r="S65" s="1">
        <f t="shared" si="1"/>
        <v>0</v>
      </c>
      <c r="T65" s="1">
        <f t="shared" si="5"/>
        <v>0</v>
      </c>
      <c r="U65" s="1">
        <f t="shared" si="2"/>
        <v>0</v>
      </c>
      <c r="V65" s="1">
        <f t="shared" si="13"/>
        <v>0</v>
      </c>
      <c r="W65" s="173">
        <f t="shared" si="6"/>
        <v>0</v>
      </c>
      <c r="X65" s="5">
        <f t="shared" si="34"/>
        <v>0</v>
      </c>
      <c r="Y65" s="1">
        <f t="shared" si="35"/>
        <v>0</v>
      </c>
      <c r="Z65" s="1">
        <f t="shared" si="36"/>
        <v>0</v>
      </c>
      <c r="AA65" s="174">
        <f t="shared" si="37"/>
        <v>0</v>
      </c>
      <c r="AB65" s="5">
        <f t="shared" si="38"/>
        <v>0</v>
      </c>
      <c r="AC65" s="175" t="e">
        <f t="shared" si="39"/>
        <v>#DIV/0!</v>
      </c>
    </row>
    <row r="66" spans="1:29" ht="30" x14ac:dyDescent="0.25">
      <c r="A66" s="172" t="str">
        <f>+'PRIORIZACIÓN (2)'!B68</f>
        <v>Unidad Auditable 56</v>
      </c>
      <c r="B66" s="180" t="str">
        <f>+IF('PRIORIZACIÓN (2)'!I68&gt;0%,"YA CUENTA CON PONDERACIÓN DE RIESGOS, NO DILIGENCIAR ANALISIS OCI", "DILIGENCIE ANALISIS OCI PARA ESTA UNIDAD AUDITABLE")</f>
        <v>DILIGENCIE ANALISIS OCI PARA ESTA UNIDAD AUDITABLE</v>
      </c>
      <c r="C66" s="176"/>
      <c r="D66" s="1">
        <f t="shared" si="40"/>
        <v>0</v>
      </c>
      <c r="E66" s="1"/>
      <c r="F66" s="1">
        <f t="shared" si="41"/>
        <v>0</v>
      </c>
      <c r="G66" s="177"/>
      <c r="H66" s="1">
        <f t="shared" si="42"/>
        <v>0</v>
      </c>
      <c r="I66" s="177"/>
      <c r="J66" s="1">
        <f t="shared" si="43"/>
        <v>0</v>
      </c>
      <c r="K66" s="1"/>
      <c r="L66" s="1">
        <f t="shared" si="44"/>
        <v>0</v>
      </c>
      <c r="M66" s="1"/>
      <c r="N66" s="1">
        <f t="shared" si="45"/>
        <v>0</v>
      </c>
      <c r="O66" s="1"/>
      <c r="P66" s="174">
        <f t="shared" si="27"/>
        <v>0</v>
      </c>
      <c r="Q66" s="1">
        <f t="shared" si="4"/>
        <v>0</v>
      </c>
      <c r="R66" s="1">
        <f t="shared" si="0"/>
        <v>0</v>
      </c>
      <c r="S66" s="1">
        <f t="shared" si="1"/>
        <v>0</v>
      </c>
      <c r="T66" s="1">
        <f t="shared" si="5"/>
        <v>0</v>
      </c>
      <c r="U66" s="1">
        <f t="shared" si="2"/>
        <v>0</v>
      </c>
      <c r="V66" s="1">
        <f t="shared" si="13"/>
        <v>0</v>
      </c>
      <c r="W66" s="173">
        <f t="shared" si="6"/>
        <v>0</v>
      </c>
      <c r="X66" s="5">
        <f t="shared" si="34"/>
        <v>0</v>
      </c>
      <c r="Y66" s="1">
        <f t="shared" si="35"/>
        <v>0</v>
      </c>
      <c r="Z66" s="1">
        <f t="shared" si="36"/>
        <v>0</v>
      </c>
      <c r="AA66" s="174">
        <f t="shared" si="37"/>
        <v>0</v>
      </c>
      <c r="AB66" s="5">
        <f t="shared" si="38"/>
        <v>0</v>
      </c>
      <c r="AC66" s="175" t="e">
        <f t="shared" si="39"/>
        <v>#DIV/0!</v>
      </c>
    </row>
    <row r="67" spans="1:29" ht="30" x14ac:dyDescent="0.25">
      <c r="A67" s="172" t="str">
        <f>+'PRIORIZACIÓN (2)'!B69</f>
        <v>Unidad Auditable 57</v>
      </c>
      <c r="B67" s="180" t="str">
        <f>+IF('PRIORIZACIÓN (2)'!I69&gt;0%,"YA CUENTA CON PONDERACIÓN DE RIESGOS, NO DILIGENCIAR ANALISIS OCI", "DILIGENCIE ANALISIS OCI PARA ESTA UNIDAD AUDITABLE")</f>
        <v>DILIGENCIE ANALISIS OCI PARA ESTA UNIDAD AUDITABLE</v>
      </c>
      <c r="C67" s="176"/>
      <c r="D67" s="1">
        <f t="shared" si="40"/>
        <v>0</v>
      </c>
      <c r="E67" s="1"/>
      <c r="F67" s="1">
        <f t="shared" si="41"/>
        <v>0</v>
      </c>
      <c r="G67" s="177"/>
      <c r="H67" s="1">
        <f t="shared" si="42"/>
        <v>0</v>
      </c>
      <c r="I67" s="177"/>
      <c r="J67" s="1">
        <f t="shared" si="43"/>
        <v>0</v>
      </c>
      <c r="K67" s="1"/>
      <c r="L67" s="1">
        <f t="shared" si="44"/>
        <v>0</v>
      </c>
      <c r="M67" s="1"/>
      <c r="N67" s="1">
        <f t="shared" si="45"/>
        <v>0</v>
      </c>
      <c r="O67" s="1"/>
      <c r="P67" s="174">
        <f t="shared" si="27"/>
        <v>0</v>
      </c>
      <c r="Q67" s="1">
        <f t="shared" si="4"/>
        <v>0</v>
      </c>
      <c r="R67" s="1">
        <f t="shared" si="0"/>
        <v>0</v>
      </c>
      <c r="S67" s="1">
        <f t="shared" si="1"/>
        <v>0</v>
      </c>
      <c r="T67" s="1">
        <f t="shared" si="5"/>
        <v>0</v>
      </c>
      <c r="U67" s="1">
        <f t="shared" si="2"/>
        <v>0</v>
      </c>
      <c r="V67" s="1">
        <f t="shared" si="13"/>
        <v>0</v>
      </c>
      <c r="W67" s="173">
        <f t="shared" si="6"/>
        <v>0</v>
      </c>
      <c r="X67" s="5">
        <f t="shared" si="34"/>
        <v>0</v>
      </c>
      <c r="Y67" s="1">
        <f t="shared" si="35"/>
        <v>0</v>
      </c>
      <c r="Z67" s="1">
        <f t="shared" si="36"/>
        <v>0</v>
      </c>
      <c r="AA67" s="174">
        <f t="shared" si="37"/>
        <v>0</v>
      </c>
      <c r="AB67" s="5">
        <f t="shared" si="38"/>
        <v>0</v>
      </c>
      <c r="AC67" s="175" t="e">
        <f t="shared" si="39"/>
        <v>#DIV/0!</v>
      </c>
    </row>
    <row r="68" spans="1:29" ht="30" x14ac:dyDescent="0.25">
      <c r="A68" s="172" t="str">
        <f>+'PRIORIZACIÓN (2)'!B70</f>
        <v>Unidad Auditable 58</v>
      </c>
      <c r="B68" s="180" t="str">
        <f>+IF('PRIORIZACIÓN (2)'!I70&gt;0%,"YA CUENTA CON PONDERACIÓN DE RIESGOS, NO DILIGENCIAR ANALISIS OCI", "DILIGENCIE ANALISIS OCI PARA ESTA UNIDAD AUDITABLE")</f>
        <v>DILIGENCIE ANALISIS OCI PARA ESTA UNIDAD AUDITABLE</v>
      </c>
      <c r="C68" s="176"/>
      <c r="D68" s="1">
        <f t="shared" si="40"/>
        <v>0</v>
      </c>
      <c r="E68" s="1"/>
      <c r="F68" s="1">
        <f t="shared" si="41"/>
        <v>0</v>
      </c>
      <c r="G68" s="177"/>
      <c r="H68" s="1">
        <f t="shared" si="42"/>
        <v>0</v>
      </c>
      <c r="I68" s="177"/>
      <c r="J68" s="1">
        <f t="shared" si="43"/>
        <v>0</v>
      </c>
      <c r="K68" s="1"/>
      <c r="L68" s="1">
        <f t="shared" si="44"/>
        <v>0</v>
      </c>
      <c r="M68" s="1"/>
      <c r="N68" s="1">
        <f t="shared" si="45"/>
        <v>0</v>
      </c>
      <c r="O68" s="1"/>
      <c r="P68" s="174">
        <f t="shared" si="27"/>
        <v>0</v>
      </c>
      <c r="Q68" s="1">
        <f t="shared" si="4"/>
        <v>0</v>
      </c>
      <c r="R68" s="1">
        <f t="shared" si="0"/>
        <v>0</v>
      </c>
      <c r="S68" s="1">
        <f t="shared" si="1"/>
        <v>0</v>
      </c>
      <c r="T68" s="1">
        <f t="shared" si="5"/>
        <v>0</v>
      </c>
      <c r="U68" s="1">
        <f t="shared" si="2"/>
        <v>0</v>
      </c>
      <c r="V68" s="1">
        <f t="shared" si="13"/>
        <v>0</v>
      </c>
      <c r="W68" s="173">
        <f t="shared" si="6"/>
        <v>0</v>
      </c>
      <c r="X68" s="5">
        <f t="shared" si="34"/>
        <v>0</v>
      </c>
      <c r="Y68" s="1">
        <f t="shared" si="35"/>
        <v>0</v>
      </c>
      <c r="Z68" s="1">
        <f t="shared" si="36"/>
        <v>0</v>
      </c>
      <c r="AA68" s="174">
        <f t="shared" si="37"/>
        <v>0</v>
      </c>
      <c r="AB68" s="5">
        <f t="shared" si="38"/>
        <v>0</v>
      </c>
      <c r="AC68" s="175" t="e">
        <f t="shared" si="39"/>
        <v>#DIV/0!</v>
      </c>
    </row>
    <row r="69" spans="1:29" ht="30" x14ac:dyDescent="0.25">
      <c r="A69" s="172" t="str">
        <f>+'PRIORIZACIÓN (2)'!B71</f>
        <v>Unidad Auditable 59</v>
      </c>
      <c r="B69" s="180" t="str">
        <f>+IF('PRIORIZACIÓN (2)'!I71&gt;0%,"YA CUENTA CON PONDERACIÓN DE RIESGOS, NO DILIGENCIAR ANALISIS OCI", "DILIGENCIE ANALISIS OCI PARA ESTA UNIDAD AUDITABLE")</f>
        <v>DILIGENCIE ANALISIS OCI PARA ESTA UNIDAD AUDITABLE</v>
      </c>
      <c r="C69" s="176"/>
      <c r="D69" s="1">
        <f t="shared" si="40"/>
        <v>0</v>
      </c>
      <c r="E69" s="1"/>
      <c r="F69" s="1">
        <f t="shared" si="41"/>
        <v>0</v>
      </c>
      <c r="G69" s="177"/>
      <c r="H69" s="1">
        <f t="shared" si="42"/>
        <v>0</v>
      </c>
      <c r="I69" s="177"/>
      <c r="J69" s="1">
        <f t="shared" si="43"/>
        <v>0</v>
      </c>
      <c r="K69" s="1"/>
      <c r="L69" s="1">
        <f t="shared" si="44"/>
        <v>0</v>
      </c>
      <c r="M69" s="1"/>
      <c r="N69" s="1">
        <f t="shared" si="45"/>
        <v>0</v>
      </c>
      <c r="O69" s="1"/>
      <c r="P69" s="174">
        <f t="shared" si="27"/>
        <v>0</v>
      </c>
      <c r="Q69" s="1">
        <f t="shared" si="4"/>
        <v>0</v>
      </c>
      <c r="R69" s="1">
        <f t="shared" si="0"/>
        <v>0</v>
      </c>
      <c r="S69" s="1">
        <f t="shared" si="1"/>
        <v>0</v>
      </c>
      <c r="T69" s="1">
        <f t="shared" si="5"/>
        <v>0</v>
      </c>
      <c r="U69" s="1">
        <f t="shared" si="2"/>
        <v>0</v>
      </c>
      <c r="V69" s="1">
        <f t="shared" si="13"/>
        <v>0</v>
      </c>
      <c r="W69" s="173">
        <f t="shared" si="6"/>
        <v>0</v>
      </c>
      <c r="X69" s="5">
        <f t="shared" si="34"/>
        <v>0</v>
      </c>
      <c r="Y69" s="1">
        <f t="shared" si="35"/>
        <v>0</v>
      </c>
      <c r="Z69" s="1">
        <f t="shared" si="36"/>
        <v>0</v>
      </c>
      <c r="AA69" s="174">
        <f t="shared" si="37"/>
        <v>0</v>
      </c>
      <c r="AB69" s="5">
        <f t="shared" si="38"/>
        <v>0</v>
      </c>
      <c r="AC69" s="175" t="e">
        <f t="shared" si="39"/>
        <v>#DIV/0!</v>
      </c>
    </row>
    <row r="70" spans="1:29" ht="30" x14ac:dyDescent="0.25">
      <c r="A70" s="172" t="str">
        <f>+'PRIORIZACIÓN (2)'!B72</f>
        <v>Unidad Auditable 60</v>
      </c>
      <c r="B70" s="180" t="str">
        <f>+IF('PRIORIZACIÓN (2)'!I72&gt;0%,"YA CUENTA CON PONDERACIÓN DE RIESGOS, NO DILIGENCIAR ANALISIS OCI", "DILIGENCIE ANALISIS OCI PARA ESTA UNIDAD AUDITABLE")</f>
        <v>DILIGENCIE ANALISIS OCI PARA ESTA UNIDAD AUDITABLE</v>
      </c>
      <c r="C70" s="176"/>
      <c r="D70" s="1">
        <f t="shared" si="40"/>
        <v>0</v>
      </c>
      <c r="E70" s="1"/>
      <c r="F70" s="1">
        <f t="shared" si="41"/>
        <v>0</v>
      </c>
      <c r="G70" s="177"/>
      <c r="H70" s="1">
        <f t="shared" si="42"/>
        <v>0</v>
      </c>
      <c r="I70" s="177"/>
      <c r="J70" s="1">
        <f t="shared" si="43"/>
        <v>0</v>
      </c>
      <c r="K70" s="1"/>
      <c r="L70" s="1">
        <f t="shared" si="44"/>
        <v>0</v>
      </c>
      <c r="M70" s="1"/>
      <c r="N70" s="1">
        <f t="shared" si="45"/>
        <v>0</v>
      </c>
      <c r="O70" s="1"/>
      <c r="P70" s="174">
        <f t="shared" si="27"/>
        <v>0</v>
      </c>
      <c r="Q70" s="1">
        <f t="shared" si="4"/>
        <v>0</v>
      </c>
      <c r="R70" s="1">
        <f t="shared" si="0"/>
        <v>0</v>
      </c>
      <c r="S70" s="1">
        <f t="shared" si="1"/>
        <v>0</v>
      </c>
      <c r="T70" s="1">
        <f t="shared" si="5"/>
        <v>0</v>
      </c>
      <c r="U70" s="1">
        <f t="shared" si="2"/>
        <v>0</v>
      </c>
      <c r="V70" s="1">
        <f t="shared" si="13"/>
        <v>0</v>
      </c>
      <c r="W70" s="173">
        <f t="shared" si="6"/>
        <v>0</v>
      </c>
      <c r="X70" s="5">
        <f t="shared" si="34"/>
        <v>0</v>
      </c>
      <c r="Y70" s="1">
        <f t="shared" si="35"/>
        <v>0</v>
      </c>
      <c r="Z70" s="1">
        <f t="shared" si="36"/>
        <v>0</v>
      </c>
      <c r="AA70" s="174">
        <f t="shared" si="37"/>
        <v>0</v>
      </c>
      <c r="AB70" s="5">
        <f t="shared" si="38"/>
        <v>0</v>
      </c>
      <c r="AC70" s="175" t="e">
        <f t="shared" si="39"/>
        <v>#DIV/0!</v>
      </c>
    </row>
    <row r="71" spans="1:29" ht="30" x14ac:dyDescent="0.25">
      <c r="A71" s="172" t="str">
        <f>+'PRIORIZACIÓN (2)'!B73</f>
        <v>Unidad Auditable 61</v>
      </c>
      <c r="B71" s="180" t="str">
        <f>+IF('PRIORIZACIÓN (2)'!I73&gt;0%,"YA CUENTA CON PONDERACIÓN DE RIESGOS, NO DILIGENCIAR ANALISIS OCI", "DILIGENCIE ANALISIS OCI PARA ESTA UNIDAD AUDITABLE")</f>
        <v>DILIGENCIE ANALISIS OCI PARA ESTA UNIDAD AUDITABLE</v>
      </c>
      <c r="C71" s="176"/>
      <c r="D71" s="1">
        <f t="shared" si="40"/>
        <v>0</v>
      </c>
      <c r="E71" s="1"/>
      <c r="F71" s="1">
        <f t="shared" si="41"/>
        <v>0</v>
      </c>
      <c r="G71" s="177"/>
      <c r="H71" s="1">
        <f t="shared" si="42"/>
        <v>0</v>
      </c>
      <c r="I71" s="177"/>
      <c r="J71" s="1">
        <f t="shared" si="43"/>
        <v>0</v>
      </c>
      <c r="K71" s="1"/>
      <c r="L71" s="1">
        <f t="shared" si="44"/>
        <v>0</v>
      </c>
      <c r="M71" s="1"/>
      <c r="N71" s="1">
        <f t="shared" si="45"/>
        <v>0</v>
      </c>
      <c r="O71" s="1"/>
      <c r="P71" s="174">
        <f t="shared" si="27"/>
        <v>0</v>
      </c>
      <c r="Q71" s="1">
        <f t="shared" si="4"/>
        <v>0</v>
      </c>
      <c r="R71" s="1">
        <f t="shared" si="0"/>
        <v>0</v>
      </c>
      <c r="S71" s="1">
        <f t="shared" si="1"/>
        <v>0</v>
      </c>
      <c r="T71" s="1">
        <f t="shared" si="5"/>
        <v>0</v>
      </c>
      <c r="U71" s="1">
        <f t="shared" si="2"/>
        <v>0</v>
      </c>
      <c r="V71" s="1">
        <f t="shared" si="13"/>
        <v>0</v>
      </c>
      <c r="W71" s="173">
        <f t="shared" si="6"/>
        <v>0</v>
      </c>
      <c r="X71" s="5">
        <f t="shared" si="34"/>
        <v>0</v>
      </c>
      <c r="Y71" s="1">
        <f t="shared" si="35"/>
        <v>0</v>
      </c>
      <c r="Z71" s="1">
        <f t="shared" si="36"/>
        <v>0</v>
      </c>
      <c r="AA71" s="174">
        <f t="shared" si="37"/>
        <v>0</v>
      </c>
      <c r="AB71" s="5">
        <f t="shared" si="38"/>
        <v>0</v>
      </c>
      <c r="AC71" s="175" t="e">
        <f t="shared" si="39"/>
        <v>#DIV/0!</v>
      </c>
    </row>
    <row r="72" spans="1:29" ht="30" x14ac:dyDescent="0.25">
      <c r="A72" s="172" t="str">
        <f>+'PRIORIZACIÓN (2)'!B74</f>
        <v>Unidad Auditable 62</v>
      </c>
      <c r="B72" s="180" t="str">
        <f>+IF('PRIORIZACIÓN (2)'!I74&gt;0%,"YA CUENTA CON PONDERACIÓN DE RIESGOS, NO DILIGENCIAR ANALISIS OCI", "DILIGENCIE ANALISIS OCI PARA ESTA UNIDAD AUDITABLE")</f>
        <v>DILIGENCIE ANALISIS OCI PARA ESTA UNIDAD AUDITABLE</v>
      </c>
      <c r="C72" s="176"/>
      <c r="D72" s="1">
        <f t="shared" si="40"/>
        <v>0</v>
      </c>
      <c r="E72" s="1"/>
      <c r="F72" s="1">
        <f t="shared" si="41"/>
        <v>0</v>
      </c>
      <c r="G72" s="177"/>
      <c r="H72" s="1">
        <f t="shared" si="42"/>
        <v>0</v>
      </c>
      <c r="I72" s="177"/>
      <c r="J72" s="1">
        <f t="shared" si="43"/>
        <v>0</v>
      </c>
      <c r="K72" s="1"/>
      <c r="L72" s="1">
        <f t="shared" si="44"/>
        <v>0</v>
      </c>
      <c r="M72" s="1"/>
      <c r="N72" s="1">
        <f t="shared" si="45"/>
        <v>0</v>
      </c>
      <c r="O72" s="1"/>
      <c r="P72" s="174">
        <f t="shared" si="27"/>
        <v>0</v>
      </c>
      <c r="Q72" s="1">
        <f t="shared" si="4"/>
        <v>0</v>
      </c>
      <c r="R72" s="1">
        <f t="shared" si="0"/>
        <v>0</v>
      </c>
      <c r="S72" s="1">
        <f t="shared" si="1"/>
        <v>0</v>
      </c>
      <c r="T72" s="1">
        <f t="shared" si="5"/>
        <v>0</v>
      </c>
      <c r="U72" s="1">
        <f t="shared" si="2"/>
        <v>0</v>
      </c>
      <c r="V72" s="1">
        <f t="shared" si="13"/>
        <v>0</v>
      </c>
      <c r="W72" s="173">
        <f t="shared" si="6"/>
        <v>0</v>
      </c>
      <c r="X72" s="5">
        <f t="shared" si="34"/>
        <v>0</v>
      </c>
      <c r="Y72" s="1">
        <f t="shared" si="35"/>
        <v>0</v>
      </c>
      <c r="Z72" s="1">
        <f t="shared" si="36"/>
        <v>0</v>
      </c>
      <c r="AA72" s="174">
        <f t="shared" si="37"/>
        <v>0</v>
      </c>
      <c r="AB72" s="5">
        <f t="shared" si="38"/>
        <v>0</v>
      </c>
      <c r="AC72" s="175" t="e">
        <f t="shared" si="39"/>
        <v>#DIV/0!</v>
      </c>
    </row>
    <row r="73" spans="1:29" ht="30" x14ac:dyDescent="0.25">
      <c r="A73" s="172" t="str">
        <f>+'PRIORIZACIÓN (2)'!B75</f>
        <v>Unidad Auditable 63</v>
      </c>
      <c r="B73" s="180" t="str">
        <f>+IF('PRIORIZACIÓN (2)'!I75&gt;0%,"YA CUENTA CON PONDERACIÓN DE RIESGOS, NO DILIGENCIAR ANALISIS OCI", "DILIGENCIE ANALISIS OCI PARA ESTA UNIDAD AUDITABLE")</f>
        <v>DILIGENCIE ANALISIS OCI PARA ESTA UNIDAD AUDITABLE</v>
      </c>
      <c r="C73" s="176"/>
      <c r="D73" s="1">
        <f t="shared" si="40"/>
        <v>0</v>
      </c>
      <c r="E73" s="1"/>
      <c r="F73" s="1">
        <f t="shared" si="41"/>
        <v>0</v>
      </c>
      <c r="G73" s="177"/>
      <c r="H73" s="1">
        <f t="shared" si="42"/>
        <v>0</v>
      </c>
      <c r="I73" s="177"/>
      <c r="J73" s="1">
        <f t="shared" si="43"/>
        <v>0</v>
      </c>
      <c r="K73" s="1"/>
      <c r="L73" s="1">
        <f t="shared" si="44"/>
        <v>0</v>
      </c>
      <c r="M73" s="1"/>
      <c r="N73" s="1">
        <f t="shared" si="45"/>
        <v>0</v>
      </c>
      <c r="O73" s="1"/>
      <c r="P73" s="174">
        <f t="shared" si="27"/>
        <v>0</v>
      </c>
      <c r="Q73" s="1">
        <f t="shared" si="4"/>
        <v>0</v>
      </c>
      <c r="R73" s="1">
        <f t="shared" ref="R73:R90" si="46">IF($E73="3 días","E",IF($E73="2 días","A",IF($E73="1 días","M",IF($E73="Varias horas","B",0))))</f>
        <v>0</v>
      </c>
      <c r="S73" s="1">
        <f t="shared" si="1"/>
        <v>0</v>
      </c>
      <c r="T73" s="1">
        <f t="shared" si="5"/>
        <v>0</v>
      </c>
      <c r="U73" s="1">
        <f t="shared" ref="U73:U90" si="47">IF($K73="Hechos de Corrupción","E",IF($K73="Incumplimiento de servicios","A",IF($K73="Retrasos en los servicios","M",IF($K73="Quejas por incumplimientos o retrasos","B",0))))</f>
        <v>0</v>
      </c>
      <c r="V73" s="1">
        <f t="shared" si="13"/>
        <v>0</v>
      </c>
      <c r="W73" s="173">
        <f t="shared" si="6"/>
        <v>0</v>
      </c>
      <c r="X73" s="5">
        <f t="shared" si="34"/>
        <v>0</v>
      </c>
      <c r="Y73" s="1">
        <f t="shared" si="35"/>
        <v>0</v>
      </c>
      <c r="Z73" s="1">
        <f t="shared" si="36"/>
        <v>0</v>
      </c>
      <c r="AA73" s="174">
        <f t="shared" si="37"/>
        <v>0</v>
      </c>
      <c r="AB73" s="5">
        <f t="shared" si="38"/>
        <v>0</v>
      </c>
      <c r="AC73" s="175" t="e">
        <f t="shared" si="39"/>
        <v>#DIV/0!</v>
      </c>
    </row>
    <row r="74" spans="1:29" ht="30" x14ac:dyDescent="0.25">
      <c r="A74" s="172" t="str">
        <f>+'PRIORIZACIÓN (2)'!B76</f>
        <v>Unidad Auditable 64</v>
      </c>
      <c r="B74" s="180" t="str">
        <f>+IF('PRIORIZACIÓN (2)'!I76&gt;0%,"YA CUENTA CON PONDERACIÓN DE RIESGOS, NO DILIGENCIAR ANALISIS OCI", "DILIGENCIE ANALISIS OCI PARA ESTA UNIDAD AUDITABLE")</f>
        <v>DILIGENCIE ANALISIS OCI PARA ESTA UNIDAD AUDITABLE</v>
      </c>
      <c r="C74" s="176"/>
      <c r="D74" s="1">
        <f t="shared" ref="D74:D90" si="48">IF($C74="EXTREMA","E",IF($C74="ALTA","A",IF($C74="MEDIA","M",IF($C74="BAJA","B",0))))</f>
        <v>0</v>
      </c>
      <c r="E74" s="1"/>
      <c r="F74" s="1">
        <f t="shared" si="41"/>
        <v>0</v>
      </c>
      <c r="G74" s="177"/>
      <c r="H74" s="1">
        <f t="shared" ref="H74:H90" si="49">IF($G74="EXTREMA","E",IF($G74="ALTA","A",IF($G74="MEDIA","M",IF($G74="BAJA","B",0))))</f>
        <v>0</v>
      </c>
      <c r="I74" s="177"/>
      <c r="J74" s="1">
        <f t="shared" ref="J74:J90" si="50">IF($I74="EXTREMA","E",IF($I74="ALTA","A",IF($I74="MEDIA","M",IF($I74="BAJA","B",0))))</f>
        <v>0</v>
      </c>
      <c r="K74" s="1"/>
      <c r="L74" s="1">
        <f t="shared" si="44"/>
        <v>0</v>
      </c>
      <c r="M74" s="1"/>
      <c r="N74" s="1">
        <f t="shared" ref="N74:N90" si="51">IF($M74="EXTREMA","E",IF($M74="ALTA","A",IF($M74="MEDIA","M",IF($M74="BAJA","B",0))))</f>
        <v>0</v>
      </c>
      <c r="O74" s="1"/>
      <c r="P74" s="174">
        <f t="shared" si="27"/>
        <v>0</v>
      </c>
      <c r="Q74" s="1">
        <f t="shared" ref="Q74:Q90" si="52">IF($C74="EXTREMA","E",IF($C74="ALTA","A",IF($C74="MEDIA","M",IF($C74="BAJA","B",0))))</f>
        <v>0</v>
      </c>
      <c r="R74" s="1">
        <f t="shared" si="46"/>
        <v>0</v>
      </c>
      <c r="S74" s="1">
        <f t="shared" ref="S74:S90" si="53">IF($G74="EXTREMA","E",IF($G74="ALTA","A",IF($G74="MEDIA","M",IF($G74="BAJA","B",0))))</f>
        <v>0</v>
      </c>
      <c r="T74" s="1">
        <f t="shared" ref="T74:T90" si="54">IF($I74="EXTREMA","E",IF($I74="ALTA","A",IF($I74="MEDIA","M",IF($I74="BAJA","B",0))))</f>
        <v>0</v>
      </c>
      <c r="U74" s="1">
        <f t="shared" si="47"/>
        <v>0</v>
      </c>
      <c r="V74" s="1">
        <f t="shared" ref="V74:V90" si="55">IF($M74="EXTREMA","E",IF($M74="ALTA","A",IF($M74="MEDIA","M",IF($M74="BAJA","B",0))))</f>
        <v>0</v>
      </c>
      <c r="W74" s="173">
        <f t="shared" ref="W74:W90" si="56">IF($O74="Critica no recuperable","E",IF($O74="Critica con recuperación parcial","A",IF($O74="Falta de oportunidad para atención usuarios","M",IF($O74="Falta de oportunidad para gestión de los procesos","B",0))))</f>
        <v>0</v>
      </c>
      <c r="X74" s="5">
        <f t="shared" si="34"/>
        <v>0</v>
      </c>
      <c r="Y74" s="1">
        <f t="shared" si="35"/>
        <v>0</v>
      </c>
      <c r="Z74" s="1">
        <f t="shared" si="36"/>
        <v>0</v>
      </c>
      <c r="AA74" s="174">
        <f t="shared" si="37"/>
        <v>0</v>
      </c>
      <c r="AB74" s="5">
        <f t="shared" si="38"/>
        <v>0</v>
      </c>
      <c r="AC74" s="175" t="e">
        <f t="shared" si="39"/>
        <v>#DIV/0!</v>
      </c>
    </row>
    <row r="75" spans="1:29" ht="30" x14ac:dyDescent="0.25">
      <c r="A75" s="172" t="str">
        <f>+'PRIORIZACIÓN (2)'!B77</f>
        <v>Unidad Auditable 65</v>
      </c>
      <c r="B75" s="180" t="str">
        <f>+IF('PRIORIZACIÓN (2)'!I77&gt;0%,"YA CUENTA CON PONDERACIÓN DE RIESGOS, NO DILIGENCIAR ANALISIS OCI", "DILIGENCIE ANALISIS OCI PARA ESTA UNIDAD AUDITABLE")</f>
        <v>DILIGENCIE ANALISIS OCI PARA ESTA UNIDAD AUDITABLE</v>
      </c>
      <c r="C75" s="176"/>
      <c r="D75" s="1">
        <f t="shared" si="48"/>
        <v>0</v>
      </c>
      <c r="E75" s="1"/>
      <c r="F75" s="1">
        <f t="shared" si="41"/>
        <v>0</v>
      </c>
      <c r="G75" s="177"/>
      <c r="H75" s="1">
        <f t="shared" si="49"/>
        <v>0</v>
      </c>
      <c r="I75" s="177"/>
      <c r="J75" s="1">
        <f t="shared" si="50"/>
        <v>0</v>
      </c>
      <c r="K75" s="1"/>
      <c r="L75" s="1">
        <f t="shared" si="44"/>
        <v>0</v>
      </c>
      <c r="M75" s="1"/>
      <c r="N75" s="1">
        <f t="shared" si="51"/>
        <v>0</v>
      </c>
      <c r="O75" s="1"/>
      <c r="P75" s="174">
        <f t="shared" si="27"/>
        <v>0</v>
      </c>
      <c r="Q75" s="1">
        <f t="shared" si="52"/>
        <v>0</v>
      </c>
      <c r="R75" s="1">
        <f t="shared" si="46"/>
        <v>0</v>
      </c>
      <c r="S75" s="1">
        <f t="shared" si="53"/>
        <v>0</v>
      </c>
      <c r="T75" s="1">
        <f t="shared" si="54"/>
        <v>0</v>
      </c>
      <c r="U75" s="1">
        <f t="shared" si="47"/>
        <v>0</v>
      </c>
      <c r="V75" s="1">
        <f t="shared" si="55"/>
        <v>0</v>
      </c>
      <c r="W75" s="173">
        <f t="shared" si="56"/>
        <v>0</v>
      </c>
      <c r="X75" s="5">
        <f t="shared" si="34"/>
        <v>0</v>
      </c>
      <c r="Y75" s="1">
        <f t="shared" si="35"/>
        <v>0</v>
      </c>
      <c r="Z75" s="1">
        <f t="shared" si="36"/>
        <v>0</v>
      </c>
      <c r="AA75" s="174">
        <f t="shared" si="37"/>
        <v>0</v>
      </c>
      <c r="AB75" s="5">
        <f t="shared" si="38"/>
        <v>0</v>
      </c>
      <c r="AC75" s="175" t="e">
        <f t="shared" si="39"/>
        <v>#DIV/0!</v>
      </c>
    </row>
    <row r="76" spans="1:29" ht="30" x14ac:dyDescent="0.25">
      <c r="A76" s="172" t="str">
        <f>+'PRIORIZACIÓN (2)'!B78</f>
        <v>Unidad Auditable 66</v>
      </c>
      <c r="B76" s="180" t="str">
        <f>+IF('PRIORIZACIÓN (2)'!I78&gt;0%,"YA CUENTA CON PONDERACIÓN DE RIESGOS, NO DILIGENCIAR ANALISIS OCI", "DILIGENCIE ANALISIS OCI PARA ESTA UNIDAD AUDITABLE")</f>
        <v>DILIGENCIE ANALISIS OCI PARA ESTA UNIDAD AUDITABLE</v>
      </c>
      <c r="C76" s="176"/>
      <c r="D76" s="1">
        <f t="shared" si="48"/>
        <v>0</v>
      </c>
      <c r="E76" s="1"/>
      <c r="F76" s="1">
        <f t="shared" si="41"/>
        <v>0</v>
      </c>
      <c r="G76" s="177"/>
      <c r="H76" s="1">
        <f t="shared" si="49"/>
        <v>0</v>
      </c>
      <c r="I76" s="177"/>
      <c r="J76" s="1">
        <f t="shared" si="50"/>
        <v>0</v>
      </c>
      <c r="K76" s="1"/>
      <c r="L76" s="1">
        <f t="shared" si="44"/>
        <v>0</v>
      </c>
      <c r="M76" s="1"/>
      <c r="N76" s="1">
        <f t="shared" si="51"/>
        <v>0</v>
      </c>
      <c r="O76" s="1"/>
      <c r="P76" s="174">
        <f t="shared" si="27"/>
        <v>0</v>
      </c>
      <c r="Q76" s="1">
        <f t="shared" si="52"/>
        <v>0</v>
      </c>
      <c r="R76" s="1">
        <f t="shared" si="46"/>
        <v>0</v>
      </c>
      <c r="S76" s="1">
        <f t="shared" si="53"/>
        <v>0</v>
      </c>
      <c r="T76" s="1">
        <f t="shared" si="54"/>
        <v>0</v>
      </c>
      <c r="U76" s="1">
        <f t="shared" si="47"/>
        <v>0</v>
      </c>
      <c r="V76" s="1">
        <f t="shared" si="55"/>
        <v>0</v>
      </c>
      <c r="W76" s="173">
        <f t="shared" si="56"/>
        <v>0</v>
      </c>
      <c r="X76" s="5">
        <f t="shared" si="34"/>
        <v>0</v>
      </c>
      <c r="Y76" s="1">
        <f t="shared" si="35"/>
        <v>0</v>
      </c>
      <c r="Z76" s="1">
        <f t="shared" si="36"/>
        <v>0</v>
      </c>
      <c r="AA76" s="174">
        <f t="shared" si="37"/>
        <v>0</v>
      </c>
      <c r="AB76" s="5">
        <f t="shared" si="38"/>
        <v>0</v>
      </c>
      <c r="AC76" s="175" t="e">
        <f t="shared" si="39"/>
        <v>#DIV/0!</v>
      </c>
    </row>
    <row r="77" spans="1:29" ht="30" x14ac:dyDescent="0.25">
      <c r="A77" s="172" t="str">
        <f>+'PRIORIZACIÓN (2)'!B79</f>
        <v>Unidad Auditable 67</v>
      </c>
      <c r="B77" s="180" t="str">
        <f>+IF('PRIORIZACIÓN (2)'!I79&gt;0%,"YA CUENTA CON PONDERACIÓN DE RIESGOS, NO DILIGENCIAR ANALISIS OCI", "DILIGENCIE ANALISIS OCI PARA ESTA UNIDAD AUDITABLE")</f>
        <v>DILIGENCIE ANALISIS OCI PARA ESTA UNIDAD AUDITABLE</v>
      </c>
      <c r="C77" s="176"/>
      <c r="D77" s="1">
        <f t="shared" si="48"/>
        <v>0</v>
      </c>
      <c r="E77" s="1"/>
      <c r="F77" s="1">
        <f t="shared" si="41"/>
        <v>0</v>
      </c>
      <c r="G77" s="177"/>
      <c r="H77" s="1">
        <f t="shared" si="49"/>
        <v>0</v>
      </c>
      <c r="I77" s="177"/>
      <c r="J77" s="1">
        <f t="shared" si="50"/>
        <v>0</v>
      </c>
      <c r="K77" s="1"/>
      <c r="L77" s="1">
        <f t="shared" si="44"/>
        <v>0</v>
      </c>
      <c r="M77" s="1"/>
      <c r="N77" s="1">
        <f t="shared" si="51"/>
        <v>0</v>
      </c>
      <c r="O77" s="1"/>
      <c r="P77" s="174">
        <f t="shared" si="27"/>
        <v>0</v>
      </c>
      <c r="Q77" s="1">
        <f t="shared" si="52"/>
        <v>0</v>
      </c>
      <c r="R77" s="1">
        <f t="shared" si="46"/>
        <v>0</v>
      </c>
      <c r="S77" s="1">
        <f t="shared" si="53"/>
        <v>0</v>
      </c>
      <c r="T77" s="1">
        <f t="shared" si="54"/>
        <v>0</v>
      </c>
      <c r="U77" s="1">
        <f t="shared" si="47"/>
        <v>0</v>
      </c>
      <c r="V77" s="1">
        <f t="shared" si="55"/>
        <v>0</v>
      </c>
      <c r="W77" s="173">
        <f t="shared" si="56"/>
        <v>0</v>
      </c>
      <c r="X77" s="5">
        <f t="shared" si="34"/>
        <v>0</v>
      </c>
      <c r="Y77" s="1">
        <f t="shared" si="35"/>
        <v>0</v>
      </c>
      <c r="Z77" s="1">
        <f t="shared" si="36"/>
        <v>0</v>
      </c>
      <c r="AA77" s="174">
        <f t="shared" si="37"/>
        <v>0</v>
      </c>
      <c r="AB77" s="5">
        <f t="shared" si="38"/>
        <v>0</v>
      </c>
      <c r="AC77" s="175" t="e">
        <f t="shared" si="39"/>
        <v>#DIV/0!</v>
      </c>
    </row>
    <row r="78" spans="1:29" ht="30" x14ac:dyDescent="0.25">
      <c r="A78" s="172" t="str">
        <f>+'PRIORIZACIÓN (2)'!B80</f>
        <v>Unidad Auditable 68</v>
      </c>
      <c r="B78" s="180" t="str">
        <f>+IF('PRIORIZACIÓN (2)'!I80&gt;0%,"YA CUENTA CON PONDERACIÓN DE RIESGOS, NO DILIGENCIAR ANALISIS OCI", "DILIGENCIE ANALISIS OCI PARA ESTA UNIDAD AUDITABLE")</f>
        <v>DILIGENCIE ANALISIS OCI PARA ESTA UNIDAD AUDITABLE</v>
      </c>
      <c r="C78" s="176"/>
      <c r="D78" s="1">
        <f t="shared" si="48"/>
        <v>0</v>
      </c>
      <c r="E78" s="1"/>
      <c r="F78" s="1">
        <f t="shared" si="41"/>
        <v>0</v>
      </c>
      <c r="G78" s="177"/>
      <c r="H78" s="1">
        <f t="shared" si="49"/>
        <v>0</v>
      </c>
      <c r="I78" s="177"/>
      <c r="J78" s="1">
        <f t="shared" si="50"/>
        <v>0</v>
      </c>
      <c r="K78" s="1"/>
      <c r="L78" s="1">
        <f t="shared" si="44"/>
        <v>0</v>
      </c>
      <c r="M78" s="1"/>
      <c r="N78" s="1">
        <f t="shared" si="51"/>
        <v>0</v>
      </c>
      <c r="O78" s="1"/>
      <c r="P78" s="174">
        <f t="shared" si="27"/>
        <v>0</v>
      </c>
      <c r="Q78" s="1">
        <f t="shared" si="52"/>
        <v>0</v>
      </c>
      <c r="R78" s="1">
        <f t="shared" si="46"/>
        <v>0</v>
      </c>
      <c r="S78" s="1">
        <f t="shared" si="53"/>
        <v>0</v>
      </c>
      <c r="T78" s="1">
        <f t="shared" si="54"/>
        <v>0</v>
      </c>
      <c r="U78" s="1">
        <f t="shared" si="47"/>
        <v>0</v>
      </c>
      <c r="V78" s="1">
        <f t="shared" si="55"/>
        <v>0</v>
      </c>
      <c r="W78" s="173">
        <f t="shared" si="56"/>
        <v>0</v>
      </c>
      <c r="X78" s="5">
        <f t="shared" si="34"/>
        <v>0</v>
      </c>
      <c r="Y78" s="1">
        <f t="shared" si="35"/>
        <v>0</v>
      </c>
      <c r="Z78" s="1">
        <f t="shared" si="36"/>
        <v>0</v>
      </c>
      <c r="AA78" s="174">
        <f t="shared" si="37"/>
        <v>0</v>
      </c>
      <c r="AB78" s="5">
        <f t="shared" si="38"/>
        <v>0</v>
      </c>
      <c r="AC78" s="175" t="e">
        <f t="shared" si="39"/>
        <v>#DIV/0!</v>
      </c>
    </row>
    <row r="79" spans="1:29" ht="30" x14ac:dyDescent="0.25">
      <c r="A79" s="172" t="str">
        <f>+'PRIORIZACIÓN (2)'!B81</f>
        <v>Unidad Auditable 69</v>
      </c>
      <c r="B79" s="180" t="str">
        <f>+IF('PRIORIZACIÓN (2)'!I81&gt;0%,"YA CUENTA CON PONDERACIÓN DE RIESGOS, NO DILIGENCIAR ANALISIS OCI", "DILIGENCIE ANALISIS OCI PARA ESTA UNIDAD AUDITABLE")</f>
        <v>DILIGENCIE ANALISIS OCI PARA ESTA UNIDAD AUDITABLE</v>
      </c>
      <c r="C79" s="176"/>
      <c r="D79" s="1">
        <f t="shared" si="48"/>
        <v>0</v>
      </c>
      <c r="E79" s="1"/>
      <c r="F79" s="1">
        <f t="shared" si="41"/>
        <v>0</v>
      </c>
      <c r="G79" s="177"/>
      <c r="H79" s="1">
        <f t="shared" si="49"/>
        <v>0</v>
      </c>
      <c r="I79" s="177"/>
      <c r="J79" s="1">
        <f t="shared" si="50"/>
        <v>0</v>
      </c>
      <c r="K79" s="1"/>
      <c r="L79" s="1">
        <f t="shared" si="44"/>
        <v>0</v>
      </c>
      <c r="M79" s="1"/>
      <c r="N79" s="1">
        <f t="shared" si="51"/>
        <v>0</v>
      </c>
      <c r="O79" s="1"/>
      <c r="P79" s="174">
        <f t="shared" si="27"/>
        <v>0</v>
      </c>
      <c r="Q79" s="1">
        <f t="shared" si="52"/>
        <v>0</v>
      </c>
      <c r="R79" s="1">
        <f t="shared" si="46"/>
        <v>0</v>
      </c>
      <c r="S79" s="1">
        <f t="shared" si="53"/>
        <v>0</v>
      </c>
      <c r="T79" s="1">
        <f t="shared" si="54"/>
        <v>0</v>
      </c>
      <c r="U79" s="1">
        <f t="shared" si="47"/>
        <v>0</v>
      </c>
      <c r="V79" s="1">
        <f t="shared" si="55"/>
        <v>0</v>
      </c>
      <c r="W79" s="173">
        <f t="shared" si="56"/>
        <v>0</v>
      </c>
      <c r="X79" s="5">
        <f t="shared" si="34"/>
        <v>0</v>
      </c>
      <c r="Y79" s="1">
        <f t="shared" si="35"/>
        <v>0</v>
      </c>
      <c r="Z79" s="1">
        <f t="shared" si="36"/>
        <v>0</v>
      </c>
      <c r="AA79" s="174">
        <f t="shared" si="37"/>
        <v>0</v>
      </c>
      <c r="AB79" s="5">
        <f t="shared" si="38"/>
        <v>0</v>
      </c>
      <c r="AC79" s="175" t="e">
        <f t="shared" si="39"/>
        <v>#DIV/0!</v>
      </c>
    </row>
    <row r="80" spans="1:29" ht="30" x14ac:dyDescent="0.25">
      <c r="A80" s="172" t="str">
        <f>+'PRIORIZACIÓN (2)'!B82</f>
        <v>Unidad Auditable 70</v>
      </c>
      <c r="B80" s="180" t="str">
        <f>+IF('PRIORIZACIÓN (2)'!I82&gt;0%,"YA CUENTA CON PONDERACIÓN DE RIESGOS, NO DILIGENCIAR ANALISIS OCI", "DILIGENCIE ANALISIS OCI PARA ESTA UNIDAD AUDITABLE")</f>
        <v>DILIGENCIE ANALISIS OCI PARA ESTA UNIDAD AUDITABLE</v>
      </c>
      <c r="C80" s="176"/>
      <c r="D80" s="1">
        <f t="shared" si="48"/>
        <v>0</v>
      </c>
      <c r="E80" s="1"/>
      <c r="F80" s="1">
        <f t="shared" si="41"/>
        <v>0</v>
      </c>
      <c r="G80" s="177"/>
      <c r="H80" s="1">
        <f t="shared" si="49"/>
        <v>0</v>
      </c>
      <c r="I80" s="177"/>
      <c r="J80" s="1">
        <f t="shared" si="50"/>
        <v>0</v>
      </c>
      <c r="K80" s="1"/>
      <c r="L80" s="1">
        <f t="shared" si="44"/>
        <v>0</v>
      </c>
      <c r="M80" s="1"/>
      <c r="N80" s="1">
        <f t="shared" si="51"/>
        <v>0</v>
      </c>
      <c r="O80" s="1"/>
      <c r="P80" s="174">
        <f t="shared" si="27"/>
        <v>0</v>
      </c>
      <c r="Q80" s="1">
        <f t="shared" si="52"/>
        <v>0</v>
      </c>
      <c r="R80" s="1">
        <f t="shared" si="46"/>
        <v>0</v>
      </c>
      <c r="S80" s="1">
        <f t="shared" si="53"/>
        <v>0</v>
      </c>
      <c r="T80" s="1">
        <f t="shared" si="54"/>
        <v>0</v>
      </c>
      <c r="U80" s="1">
        <f t="shared" si="47"/>
        <v>0</v>
      </c>
      <c r="V80" s="1">
        <f t="shared" si="55"/>
        <v>0</v>
      </c>
      <c r="W80" s="173">
        <f t="shared" si="56"/>
        <v>0</v>
      </c>
      <c r="X80" s="5">
        <f t="shared" si="34"/>
        <v>0</v>
      </c>
      <c r="Y80" s="1">
        <f t="shared" si="35"/>
        <v>0</v>
      </c>
      <c r="Z80" s="1">
        <f t="shared" si="36"/>
        <v>0</v>
      </c>
      <c r="AA80" s="174">
        <f t="shared" si="37"/>
        <v>0</v>
      </c>
      <c r="AB80" s="5">
        <f t="shared" si="38"/>
        <v>0</v>
      </c>
      <c r="AC80" s="175" t="e">
        <f t="shared" si="39"/>
        <v>#DIV/0!</v>
      </c>
    </row>
    <row r="81" spans="1:29" ht="30" x14ac:dyDescent="0.25">
      <c r="A81" s="172" t="str">
        <f>+'PRIORIZACIÓN (2)'!B83</f>
        <v>Unidad Auditable 71</v>
      </c>
      <c r="B81" s="180" t="str">
        <f>+IF('PRIORIZACIÓN (2)'!I83&gt;0%,"YA CUENTA CON PONDERACIÓN DE RIESGOS, NO DILIGENCIAR ANALISIS OCI", "DILIGENCIE ANALISIS OCI PARA ESTA UNIDAD AUDITABLE")</f>
        <v>DILIGENCIE ANALISIS OCI PARA ESTA UNIDAD AUDITABLE</v>
      </c>
      <c r="C81" s="176"/>
      <c r="D81" s="1">
        <f t="shared" si="48"/>
        <v>0</v>
      </c>
      <c r="E81" s="1"/>
      <c r="F81" s="1">
        <f t="shared" si="41"/>
        <v>0</v>
      </c>
      <c r="G81" s="177"/>
      <c r="H81" s="1">
        <f t="shared" si="49"/>
        <v>0</v>
      </c>
      <c r="I81" s="177"/>
      <c r="J81" s="1">
        <f t="shared" si="50"/>
        <v>0</v>
      </c>
      <c r="K81" s="1"/>
      <c r="L81" s="1">
        <f t="shared" si="44"/>
        <v>0</v>
      </c>
      <c r="M81" s="1"/>
      <c r="N81" s="1">
        <f t="shared" si="51"/>
        <v>0</v>
      </c>
      <c r="O81" s="1"/>
      <c r="P81" s="174">
        <f t="shared" si="27"/>
        <v>0</v>
      </c>
      <c r="Q81" s="1">
        <f t="shared" si="52"/>
        <v>0</v>
      </c>
      <c r="R81" s="1">
        <f t="shared" si="46"/>
        <v>0</v>
      </c>
      <c r="S81" s="1">
        <f t="shared" si="53"/>
        <v>0</v>
      </c>
      <c r="T81" s="1">
        <f t="shared" si="54"/>
        <v>0</v>
      </c>
      <c r="U81" s="1">
        <f t="shared" si="47"/>
        <v>0</v>
      </c>
      <c r="V81" s="1">
        <f t="shared" si="55"/>
        <v>0</v>
      </c>
      <c r="W81" s="173">
        <f t="shared" si="56"/>
        <v>0</v>
      </c>
      <c r="X81" s="5">
        <f t="shared" si="34"/>
        <v>0</v>
      </c>
      <c r="Y81" s="1">
        <f t="shared" si="35"/>
        <v>0</v>
      </c>
      <c r="Z81" s="1">
        <f t="shared" si="36"/>
        <v>0</v>
      </c>
      <c r="AA81" s="174">
        <f t="shared" si="37"/>
        <v>0</v>
      </c>
      <c r="AB81" s="5">
        <f t="shared" si="38"/>
        <v>0</v>
      </c>
      <c r="AC81" s="175" t="e">
        <f t="shared" si="39"/>
        <v>#DIV/0!</v>
      </c>
    </row>
    <row r="82" spans="1:29" ht="30" x14ac:dyDescent="0.25">
      <c r="A82" s="172" t="str">
        <f>+'PRIORIZACIÓN (2)'!B84</f>
        <v>Unidad Auditable 72</v>
      </c>
      <c r="B82" s="180" t="str">
        <f>+IF('PRIORIZACIÓN (2)'!I84&gt;0%,"YA CUENTA CON PONDERACIÓN DE RIESGOS, NO DILIGENCIAR ANALISIS OCI", "DILIGENCIE ANALISIS OCI PARA ESTA UNIDAD AUDITABLE")</f>
        <v>DILIGENCIE ANALISIS OCI PARA ESTA UNIDAD AUDITABLE</v>
      </c>
      <c r="C82" s="176"/>
      <c r="D82" s="1">
        <f t="shared" si="48"/>
        <v>0</v>
      </c>
      <c r="E82" s="1"/>
      <c r="F82" s="1">
        <f t="shared" si="41"/>
        <v>0</v>
      </c>
      <c r="G82" s="177"/>
      <c r="H82" s="1">
        <f t="shared" si="49"/>
        <v>0</v>
      </c>
      <c r="I82" s="177"/>
      <c r="J82" s="1">
        <f t="shared" si="50"/>
        <v>0</v>
      </c>
      <c r="K82" s="1"/>
      <c r="L82" s="1">
        <f t="shared" si="44"/>
        <v>0</v>
      </c>
      <c r="M82" s="1"/>
      <c r="N82" s="1">
        <f t="shared" si="51"/>
        <v>0</v>
      </c>
      <c r="O82" s="1"/>
      <c r="P82" s="174">
        <f t="shared" si="27"/>
        <v>0</v>
      </c>
      <c r="Q82" s="1">
        <f t="shared" si="52"/>
        <v>0</v>
      </c>
      <c r="R82" s="1">
        <f t="shared" si="46"/>
        <v>0</v>
      </c>
      <c r="S82" s="1">
        <f t="shared" si="53"/>
        <v>0</v>
      </c>
      <c r="T82" s="1">
        <f t="shared" si="54"/>
        <v>0</v>
      </c>
      <c r="U82" s="1">
        <f t="shared" si="47"/>
        <v>0</v>
      </c>
      <c r="V82" s="1">
        <f t="shared" si="55"/>
        <v>0</v>
      </c>
      <c r="W82" s="173">
        <f t="shared" si="56"/>
        <v>0</v>
      </c>
      <c r="X82" s="5">
        <f t="shared" si="34"/>
        <v>0</v>
      </c>
      <c r="Y82" s="1">
        <f t="shared" si="35"/>
        <v>0</v>
      </c>
      <c r="Z82" s="1">
        <f t="shared" si="36"/>
        <v>0</v>
      </c>
      <c r="AA82" s="174">
        <f t="shared" si="37"/>
        <v>0</v>
      </c>
      <c r="AB82" s="5">
        <f t="shared" si="38"/>
        <v>0</v>
      </c>
      <c r="AC82" s="175" t="e">
        <f t="shared" si="39"/>
        <v>#DIV/0!</v>
      </c>
    </row>
    <row r="83" spans="1:29" ht="30" x14ac:dyDescent="0.25">
      <c r="A83" s="172" t="str">
        <f>+'PRIORIZACIÓN (2)'!B85</f>
        <v>Unidad Auditable 73</v>
      </c>
      <c r="B83" s="180" t="str">
        <f>+IF('PRIORIZACIÓN (2)'!I85&gt;0%,"YA CUENTA CON PONDERACIÓN DE RIESGOS, NO DILIGENCIAR ANALISIS OCI", "DILIGENCIE ANALISIS OCI PARA ESTA UNIDAD AUDITABLE")</f>
        <v>DILIGENCIE ANALISIS OCI PARA ESTA UNIDAD AUDITABLE</v>
      </c>
      <c r="C83" s="176"/>
      <c r="D83" s="1">
        <f t="shared" si="48"/>
        <v>0</v>
      </c>
      <c r="E83" s="1"/>
      <c r="F83" s="1">
        <f t="shared" si="41"/>
        <v>0</v>
      </c>
      <c r="G83" s="177"/>
      <c r="H83" s="1">
        <f t="shared" si="49"/>
        <v>0</v>
      </c>
      <c r="I83" s="177"/>
      <c r="J83" s="1">
        <f t="shared" si="50"/>
        <v>0</v>
      </c>
      <c r="K83" s="1"/>
      <c r="L83" s="1">
        <f t="shared" si="44"/>
        <v>0</v>
      </c>
      <c r="M83" s="1"/>
      <c r="N83" s="1">
        <f t="shared" si="51"/>
        <v>0</v>
      </c>
      <c r="O83" s="1"/>
      <c r="P83" s="174">
        <f t="shared" si="27"/>
        <v>0</v>
      </c>
      <c r="Q83" s="1">
        <f t="shared" si="52"/>
        <v>0</v>
      </c>
      <c r="R83" s="1">
        <f t="shared" si="46"/>
        <v>0</v>
      </c>
      <c r="S83" s="1">
        <f t="shared" si="53"/>
        <v>0</v>
      </c>
      <c r="T83" s="1">
        <f t="shared" si="54"/>
        <v>0</v>
      </c>
      <c r="U83" s="1">
        <f t="shared" si="47"/>
        <v>0</v>
      </c>
      <c r="V83" s="1">
        <f t="shared" si="55"/>
        <v>0</v>
      </c>
      <c r="W83" s="173">
        <f t="shared" si="56"/>
        <v>0</v>
      </c>
      <c r="X83" s="5">
        <f t="shared" si="34"/>
        <v>0</v>
      </c>
      <c r="Y83" s="1">
        <f t="shared" si="35"/>
        <v>0</v>
      </c>
      <c r="Z83" s="1">
        <f t="shared" si="36"/>
        <v>0</v>
      </c>
      <c r="AA83" s="174">
        <f t="shared" si="37"/>
        <v>0</v>
      </c>
      <c r="AB83" s="5">
        <f t="shared" si="38"/>
        <v>0</v>
      </c>
      <c r="AC83" s="175" t="e">
        <f t="shared" si="39"/>
        <v>#DIV/0!</v>
      </c>
    </row>
    <row r="84" spans="1:29" ht="30" x14ac:dyDescent="0.25">
      <c r="A84" s="172" t="str">
        <f>+'PRIORIZACIÓN (2)'!B86</f>
        <v>Unidad Auditable 74</v>
      </c>
      <c r="B84" s="180" t="str">
        <f>+IF('PRIORIZACIÓN (2)'!I86&gt;0%,"YA CUENTA CON PONDERACIÓN DE RIESGOS, NO DILIGENCIAR ANALISIS OCI", "DILIGENCIE ANALISIS OCI PARA ESTA UNIDAD AUDITABLE")</f>
        <v>DILIGENCIE ANALISIS OCI PARA ESTA UNIDAD AUDITABLE</v>
      </c>
      <c r="C84" s="176"/>
      <c r="D84" s="1">
        <f t="shared" si="48"/>
        <v>0</v>
      </c>
      <c r="E84" s="1"/>
      <c r="F84" s="1">
        <f t="shared" si="41"/>
        <v>0</v>
      </c>
      <c r="G84" s="177"/>
      <c r="H84" s="1">
        <f t="shared" si="49"/>
        <v>0</v>
      </c>
      <c r="I84" s="177"/>
      <c r="J84" s="1">
        <f t="shared" si="50"/>
        <v>0</v>
      </c>
      <c r="K84" s="1"/>
      <c r="L84" s="1">
        <f t="shared" si="44"/>
        <v>0</v>
      </c>
      <c r="M84" s="1"/>
      <c r="N84" s="1">
        <f t="shared" si="51"/>
        <v>0</v>
      </c>
      <c r="O84" s="1"/>
      <c r="P84" s="174">
        <f t="shared" si="27"/>
        <v>0</v>
      </c>
      <c r="Q84" s="1">
        <f t="shared" si="52"/>
        <v>0</v>
      </c>
      <c r="R84" s="1">
        <f t="shared" si="46"/>
        <v>0</v>
      </c>
      <c r="S84" s="1">
        <f t="shared" si="53"/>
        <v>0</v>
      </c>
      <c r="T84" s="1">
        <f t="shared" si="54"/>
        <v>0</v>
      </c>
      <c r="U84" s="1">
        <f t="shared" si="47"/>
        <v>0</v>
      </c>
      <c r="V84" s="1">
        <f t="shared" si="55"/>
        <v>0</v>
      </c>
      <c r="W84" s="173">
        <f t="shared" si="56"/>
        <v>0</v>
      </c>
      <c r="X84" s="5">
        <f t="shared" si="34"/>
        <v>0</v>
      </c>
      <c r="Y84" s="1">
        <f t="shared" si="35"/>
        <v>0</v>
      </c>
      <c r="Z84" s="1">
        <f t="shared" si="36"/>
        <v>0</v>
      </c>
      <c r="AA84" s="174">
        <f t="shared" si="37"/>
        <v>0</v>
      </c>
      <c r="AB84" s="5">
        <f t="shared" si="38"/>
        <v>0</v>
      </c>
      <c r="AC84" s="175" t="e">
        <f t="shared" si="39"/>
        <v>#DIV/0!</v>
      </c>
    </row>
    <row r="85" spans="1:29" ht="30" x14ac:dyDescent="0.25">
      <c r="A85" s="172" t="str">
        <f>+'PRIORIZACIÓN (2)'!B87</f>
        <v>Unidad Auditable 75</v>
      </c>
      <c r="B85" s="180" t="str">
        <f>+IF('PRIORIZACIÓN (2)'!I87&gt;0%,"YA CUENTA CON PONDERACIÓN DE RIESGOS, NO DILIGENCIAR ANALISIS OCI", "DILIGENCIE ANALISIS OCI PARA ESTA UNIDAD AUDITABLE")</f>
        <v>DILIGENCIE ANALISIS OCI PARA ESTA UNIDAD AUDITABLE</v>
      </c>
      <c r="C85" s="176"/>
      <c r="D85" s="1">
        <f t="shared" si="48"/>
        <v>0</v>
      </c>
      <c r="E85" s="1"/>
      <c r="F85" s="1">
        <f t="shared" si="41"/>
        <v>0</v>
      </c>
      <c r="G85" s="177"/>
      <c r="H85" s="1">
        <f t="shared" si="49"/>
        <v>0</v>
      </c>
      <c r="I85" s="177"/>
      <c r="J85" s="1">
        <f t="shared" si="50"/>
        <v>0</v>
      </c>
      <c r="K85" s="1"/>
      <c r="L85" s="1">
        <f t="shared" si="44"/>
        <v>0</v>
      </c>
      <c r="M85" s="1"/>
      <c r="N85" s="1">
        <f t="shared" si="51"/>
        <v>0</v>
      </c>
      <c r="O85" s="1"/>
      <c r="P85" s="174">
        <f t="shared" si="27"/>
        <v>0</v>
      </c>
      <c r="Q85" s="1">
        <f t="shared" si="52"/>
        <v>0</v>
      </c>
      <c r="R85" s="1">
        <f t="shared" si="46"/>
        <v>0</v>
      </c>
      <c r="S85" s="1">
        <f t="shared" si="53"/>
        <v>0</v>
      </c>
      <c r="T85" s="1">
        <f t="shared" si="54"/>
        <v>0</v>
      </c>
      <c r="U85" s="1">
        <f t="shared" si="47"/>
        <v>0</v>
      </c>
      <c r="V85" s="1">
        <f t="shared" si="55"/>
        <v>0</v>
      </c>
      <c r="W85" s="173">
        <f t="shared" si="56"/>
        <v>0</v>
      </c>
      <c r="X85" s="5">
        <f t="shared" si="34"/>
        <v>0</v>
      </c>
      <c r="Y85" s="1">
        <f t="shared" si="35"/>
        <v>0</v>
      </c>
      <c r="Z85" s="1">
        <f t="shared" si="36"/>
        <v>0</v>
      </c>
      <c r="AA85" s="174">
        <f t="shared" si="37"/>
        <v>0</v>
      </c>
      <c r="AB85" s="5">
        <f t="shared" si="38"/>
        <v>0</v>
      </c>
      <c r="AC85" s="175" t="e">
        <f t="shared" si="39"/>
        <v>#DIV/0!</v>
      </c>
    </row>
    <row r="86" spans="1:29" ht="30" x14ac:dyDescent="0.25">
      <c r="A86" s="172" t="str">
        <f>+'PRIORIZACIÓN (2)'!B88</f>
        <v>Unidad Auditable 76</v>
      </c>
      <c r="B86" s="180" t="str">
        <f>+IF('PRIORIZACIÓN (2)'!I88&gt;0%,"YA CUENTA CON PONDERACIÓN DE RIESGOS, NO DILIGENCIAR ANALISIS OCI", "DILIGENCIE ANALISIS OCI PARA ESTA UNIDAD AUDITABLE")</f>
        <v>DILIGENCIE ANALISIS OCI PARA ESTA UNIDAD AUDITABLE</v>
      </c>
      <c r="C86" s="176"/>
      <c r="D86" s="1">
        <f t="shared" si="48"/>
        <v>0</v>
      </c>
      <c r="E86" s="1"/>
      <c r="F86" s="1">
        <f t="shared" si="41"/>
        <v>0</v>
      </c>
      <c r="G86" s="177"/>
      <c r="H86" s="1">
        <f t="shared" si="49"/>
        <v>0</v>
      </c>
      <c r="I86" s="177"/>
      <c r="J86" s="1">
        <f t="shared" si="50"/>
        <v>0</v>
      </c>
      <c r="K86" s="1"/>
      <c r="L86" s="1">
        <f t="shared" si="44"/>
        <v>0</v>
      </c>
      <c r="M86" s="1"/>
      <c r="N86" s="1">
        <f t="shared" si="51"/>
        <v>0</v>
      </c>
      <c r="O86" s="1"/>
      <c r="P86" s="174">
        <f t="shared" si="27"/>
        <v>0</v>
      </c>
      <c r="Q86" s="1">
        <f t="shared" si="52"/>
        <v>0</v>
      </c>
      <c r="R86" s="1">
        <f t="shared" si="46"/>
        <v>0</v>
      </c>
      <c r="S86" s="1">
        <f t="shared" si="53"/>
        <v>0</v>
      </c>
      <c r="T86" s="1">
        <f t="shared" si="54"/>
        <v>0</v>
      </c>
      <c r="U86" s="1">
        <f t="shared" si="47"/>
        <v>0</v>
      </c>
      <c r="V86" s="1">
        <f t="shared" si="55"/>
        <v>0</v>
      </c>
      <c r="W86" s="173">
        <f t="shared" si="56"/>
        <v>0</v>
      </c>
      <c r="X86" s="5">
        <f t="shared" si="34"/>
        <v>0</v>
      </c>
      <c r="Y86" s="1">
        <f t="shared" si="35"/>
        <v>0</v>
      </c>
      <c r="Z86" s="1">
        <f t="shared" si="36"/>
        <v>0</v>
      </c>
      <c r="AA86" s="174">
        <f t="shared" si="37"/>
        <v>0</v>
      </c>
      <c r="AB86" s="5">
        <f t="shared" si="38"/>
        <v>0</v>
      </c>
      <c r="AC86" s="175" t="e">
        <f t="shared" si="39"/>
        <v>#DIV/0!</v>
      </c>
    </row>
    <row r="87" spans="1:29" ht="30" x14ac:dyDescent="0.25">
      <c r="A87" s="172" t="str">
        <f>+'PRIORIZACIÓN (2)'!B89</f>
        <v>Unidad Auditable 77</v>
      </c>
      <c r="B87" s="180" t="str">
        <f>+IF('PRIORIZACIÓN (2)'!I89&gt;0%,"YA CUENTA CON PONDERACIÓN DE RIESGOS, NO DILIGENCIAR ANALISIS OCI", "DILIGENCIE ANALISIS OCI PARA ESTA UNIDAD AUDITABLE")</f>
        <v>DILIGENCIE ANALISIS OCI PARA ESTA UNIDAD AUDITABLE</v>
      </c>
      <c r="C87" s="176"/>
      <c r="D87" s="1">
        <f t="shared" si="48"/>
        <v>0</v>
      </c>
      <c r="E87" s="1"/>
      <c r="F87" s="1">
        <f t="shared" si="41"/>
        <v>0</v>
      </c>
      <c r="G87" s="177"/>
      <c r="H87" s="1">
        <f t="shared" si="49"/>
        <v>0</v>
      </c>
      <c r="I87" s="177"/>
      <c r="J87" s="1">
        <f t="shared" si="50"/>
        <v>0</v>
      </c>
      <c r="K87" s="1"/>
      <c r="L87" s="1">
        <f t="shared" si="44"/>
        <v>0</v>
      </c>
      <c r="M87" s="1"/>
      <c r="N87" s="1">
        <f t="shared" si="51"/>
        <v>0</v>
      </c>
      <c r="O87" s="1"/>
      <c r="P87" s="174">
        <f t="shared" si="27"/>
        <v>0</v>
      </c>
      <c r="Q87" s="1">
        <f t="shared" si="52"/>
        <v>0</v>
      </c>
      <c r="R87" s="1">
        <f t="shared" si="46"/>
        <v>0</v>
      </c>
      <c r="S87" s="1">
        <f t="shared" si="53"/>
        <v>0</v>
      </c>
      <c r="T87" s="1">
        <f t="shared" si="54"/>
        <v>0</v>
      </c>
      <c r="U87" s="1">
        <f t="shared" si="47"/>
        <v>0</v>
      </c>
      <c r="V87" s="1">
        <f t="shared" si="55"/>
        <v>0</v>
      </c>
      <c r="W87" s="173">
        <f t="shared" si="56"/>
        <v>0</v>
      </c>
      <c r="X87" s="5">
        <f t="shared" si="34"/>
        <v>0</v>
      </c>
      <c r="Y87" s="1">
        <f t="shared" si="35"/>
        <v>0</v>
      </c>
      <c r="Z87" s="1">
        <f t="shared" si="36"/>
        <v>0</v>
      </c>
      <c r="AA87" s="174">
        <f t="shared" si="37"/>
        <v>0</v>
      </c>
      <c r="AB87" s="5">
        <f t="shared" si="38"/>
        <v>0</v>
      </c>
      <c r="AC87" s="175" t="e">
        <f t="shared" si="39"/>
        <v>#DIV/0!</v>
      </c>
    </row>
    <row r="88" spans="1:29" ht="30" x14ac:dyDescent="0.25">
      <c r="A88" s="172" t="str">
        <f>+'PRIORIZACIÓN (2)'!B90</f>
        <v>Unidad Auditable 78</v>
      </c>
      <c r="B88" s="180" t="str">
        <f>+IF('PRIORIZACIÓN (2)'!I90&gt;0%,"YA CUENTA CON PONDERACIÓN DE RIESGOS, NO DILIGENCIAR ANALISIS OCI", "DILIGENCIE ANALISIS OCI PARA ESTA UNIDAD AUDITABLE")</f>
        <v>DILIGENCIE ANALISIS OCI PARA ESTA UNIDAD AUDITABLE</v>
      </c>
      <c r="C88" s="176"/>
      <c r="D88" s="1">
        <f t="shared" si="48"/>
        <v>0</v>
      </c>
      <c r="E88" s="1"/>
      <c r="F88" s="1">
        <f t="shared" si="41"/>
        <v>0</v>
      </c>
      <c r="G88" s="177"/>
      <c r="H88" s="1">
        <f t="shared" si="49"/>
        <v>0</v>
      </c>
      <c r="I88" s="177"/>
      <c r="J88" s="1">
        <f t="shared" si="50"/>
        <v>0</v>
      </c>
      <c r="K88" s="1"/>
      <c r="L88" s="1">
        <f t="shared" si="44"/>
        <v>0</v>
      </c>
      <c r="M88" s="1"/>
      <c r="N88" s="1">
        <f t="shared" si="51"/>
        <v>0</v>
      </c>
      <c r="O88" s="1"/>
      <c r="P88" s="174">
        <f t="shared" si="27"/>
        <v>0</v>
      </c>
      <c r="Q88" s="1">
        <f t="shared" si="52"/>
        <v>0</v>
      </c>
      <c r="R88" s="1">
        <f t="shared" si="46"/>
        <v>0</v>
      </c>
      <c r="S88" s="1">
        <f t="shared" si="53"/>
        <v>0</v>
      </c>
      <c r="T88" s="1">
        <f t="shared" si="54"/>
        <v>0</v>
      </c>
      <c r="U88" s="1">
        <f t="shared" si="47"/>
        <v>0</v>
      </c>
      <c r="V88" s="1">
        <f t="shared" si="55"/>
        <v>0</v>
      </c>
      <c r="W88" s="173">
        <f t="shared" si="56"/>
        <v>0</v>
      </c>
      <c r="X88" s="5">
        <f t="shared" si="34"/>
        <v>0</v>
      </c>
      <c r="Y88" s="1">
        <f t="shared" si="35"/>
        <v>0</v>
      </c>
      <c r="Z88" s="1">
        <f t="shared" si="36"/>
        <v>0</v>
      </c>
      <c r="AA88" s="174">
        <f t="shared" si="37"/>
        <v>0</v>
      </c>
      <c r="AB88" s="5">
        <f t="shared" si="38"/>
        <v>0</v>
      </c>
      <c r="AC88" s="175" t="e">
        <f t="shared" si="39"/>
        <v>#DIV/0!</v>
      </c>
    </row>
    <row r="89" spans="1:29" ht="30" x14ac:dyDescent="0.25">
      <c r="A89" s="172" t="str">
        <f>+'PRIORIZACIÓN (2)'!B91</f>
        <v>Unidad Auditable 79</v>
      </c>
      <c r="B89" s="180" t="str">
        <f>+IF('PRIORIZACIÓN (2)'!I91&gt;0%,"YA CUENTA CON PONDERACIÓN DE RIESGOS, NO DILIGENCIAR ANALISIS OCI", "DILIGENCIE ANALISIS OCI PARA ESTA UNIDAD AUDITABLE")</f>
        <v>DILIGENCIE ANALISIS OCI PARA ESTA UNIDAD AUDITABLE</v>
      </c>
      <c r="C89" s="176"/>
      <c r="D89" s="1">
        <f t="shared" si="48"/>
        <v>0</v>
      </c>
      <c r="E89" s="1"/>
      <c r="F89" s="1">
        <f t="shared" si="41"/>
        <v>0</v>
      </c>
      <c r="G89" s="177"/>
      <c r="H89" s="1">
        <f t="shared" si="49"/>
        <v>0</v>
      </c>
      <c r="I89" s="177"/>
      <c r="J89" s="1">
        <f t="shared" si="50"/>
        <v>0</v>
      </c>
      <c r="K89" s="1"/>
      <c r="L89" s="1">
        <f t="shared" si="44"/>
        <v>0</v>
      </c>
      <c r="M89" s="1"/>
      <c r="N89" s="1">
        <f t="shared" si="51"/>
        <v>0</v>
      </c>
      <c r="O89" s="1"/>
      <c r="P89" s="174">
        <f t="shared" si="27"/>
        <v>0</v>
      </c>
      <c r="Q89" s="1">
        <f t="shared" si="52"/>
        <v>0</v>
      </c>
      <c r="R89" s="1">
        <f t="shared" si="46"/>
        <v>0</v>
      </c>
      <c r="S89" s="1">
        <f t="shared" si="53"/>
        <v>0</v>
      </c>
      <c r="T89" s="1">
        <f t="shared" si="54"/>
        <v>0</v>
      </c>
      <c r="U89" s="1">
        <f t="shared" si="47"/>
        <v>0</v>
      </c>
      <c r="V89" s="1">
        <f t="shared" si="55"/>
        <v>0</v>
      </c>
      <c r="W89" s="173">
        <f t="shared" si="56"/>
        <v>0</v>
      </c>
      <c r="X89" s="5">
        <f t="shared" ref="X89:X90" si="57">COUNTIFS(Q89:W89,"E")</f>
        <v>0</v>
      </c>
      <c r="Y89" s="1">
        <f t="shared" ref="Y89:Y90" si="58">COUNTIF(Q89:W89,"A")</f>
        <v>0</v>
      </c>
      <c r="Z89" s="1">
        <f t="shared" ref="Z89:Z90" si="59">COUNTIF(Q89:W89,"M")</f>
        <v>0</v>
      </c>
      <c r="AA89" s="174">
        <f t="shared" ref="AA89:AA90" si="60">COUNTIF(Q89:W89,"B")</f>
        <v>0</v>
      </c>
      <c r="AB89" s="5">
        <f t="shared" ref="AB89:AB90" si="61">SUM(X89:AA89)</f>
        <v>0</v>
      </c>
      <c r="AC89" s="175" t="e">
        <f t="shared" ref="AC89:AC90" si="62">+IF((X89/AB89)&gt;=0.2,"Extremo",+IF(((X89/AB89)+(Y89/AB89))&gt;=0.3,"Alto",+IF(((X89/AB89)+(Y89/AB89)+(Z89/AB89))&gt;=0.4,"Moderado",+IF((X89/AB89)+(Y89/AB89)+(Z89/AB89)+(AA89/AB89)&gt;=0.5,"Bajo",""))))</f>
        <v>#DIV/0!</v>
      </c>
    </row>
    <row r="90" spans="1:29" ht="30" x14ac:dyDescent="0.25">
      <c r="A90" s="172" t="str">
        <f>+'PRIORIZACIÓN (2)'!B92</f>
        <v>Unidad Auditable 80</v>
      </c>
      <c r="B90" s="180" t="str">
        <f>+IF('PRIORIZACIÓN (2)'!I92&gt;0%,"YA CUENTA CON PONDERACIÓN DE RIESGOS, NO DILIGENCIAR ANALISIS OCI", "DILIGENCIE ANALISIS OCI PARA ESTA UNIDAD AUDITABLE")</f>
        <v>DILIGENCIE ANALISIS OCI PARA ESTA UNIDAD AUDITABLE</v>
      </c>
      <c r="C90" s="176"/>
      <c r="D90" s="1">
        <f t="shared" si="48"/>
        <v>0</v>
      </c>
      <c r="E90" s="1"/>
      <c r="F90" s="1">
        <f t="shared" si="41"/>
        <v>0</v>
      </c>
      <c r="G90" s="177"/>
      <c r="H90" s="1">
        <f t="shared" si="49"/>
        <v>0</v>
      </c>
      <c r="I90" s="177"/>
      <c r="J90" s="1">
        <f t="shared" si="50"/>
        <v>0</v>
      </c>
      <c r="K90" s="1"/>
      <c r="L90" s="1">
        <f t="shared" si="44"/>
        <v>0</v>
      </c>
      <c r="M90" s="1"/>
      <c r="N90" s="1">
        <f t="shared" si="51"/>
        <v>0</v>
      </c>
      <c r="O90" s="1"/>
      <c r="P90" s="174">
        <f t="shared" si="27"/>
        <v>0</v>
      </c>
      <c r="Q90" s="1">
        <f t="shared" si="52"/>
        <v>0</v>
      </c>
      <c r="R90" s="1">
        <f t="shared" si="46"/>
        <v>0</v>
      </c>
      <c r="S90" s="1">
        <f t="shared" si="53"/>
        <v>0</v>
      </c>
      <c r="T90" s="1">
        <f t="shared" si="54"/>
        <v>0</v>
      </c>
      <c r="U90" s="1">
        <f t="shared" si="47"/>
        <v>0</v>
      </c>
      <c r="V90" s="1">
        <f t="shared" si="55"/>
        <v>0</v>
      </c>
      <c r="W90" s="173">
        <f t="shared" si="56"/>
        <v>0</v>
      </c>
      <c r="X90" s="5">
        <f t="shared" si="57"/>
        <v>0</v>
      </c>
      <c r="Y90" s="1">
        <f t="shared" si="58"/>
        <v>0</v>
      </c>
      <c r="Z90" s="1">
        <f t="shared" si="59"/>
        <v>0</v>
      </c>
      <c r="AA90" s="174">
        <f t="shared" si="60"/>
        <v>0</v>
      </c>
      <c r="AB90" s="5">
        <f t="shared" si="61"/>
        <v>0</v>
      </c>
      <c r="AC90" s="175" t="e">
        <f t="shared" si="62"/>
        <v>#DIV/0!</v>
      </c>
    </row>
    <row r="96" spans="1:29" x14ac:dyDescent="0.25">
      <c r="A96" s="181" t="s">
        <v>334</v>
      </c>
      <c r="B96" s="182" t="s">
        <v>335</v>
      </c>
      <c r="C96" s="182" t="s">
        <v>336</v>
      </c>
    </row>
    <row r="97" spans="1:3" x14ac:dyDescent="0.25">
      <c r="A97" s="1" t="s">
        <v>343</v>
      </c>
      <c r="B97" s="183">
        <v>0</v>
      </c>
      <c r="C97" s="184" t="s">
        <v>337</v>
      </c>
    </row>
    <row r="98" spans="1:3" x14ac:dyDescent="0.25">
      <c r="A98" s="1" t="s">
        <v>344</v>
      </c>
      <c r="B98" s="184" t="s">
        <v>338</v>
      </c>
      <c r="C98" s="184" t="s">
        <v>339</v>
      </c>
    </row>
    <row r="99" spans="1:3" x14ac:dyDescent="0.25">
      <c r="A99" s="1" t="s">
        <v>345</v>
      </c>
      <c r="B99" s="184" t="s">
        <v>340</v>
      </c>
      <c r="C99" s="184" t="s">
        <v>341</v>
      </c>
    </row>
    <row r="100" spans="1:3" x14ac:dyDescent="0.25">
      <c r="A100" s="1" t="s">
        <v>346</v>
      </c>
      <c r="B100" s="184" t="s">
        <v>342</v>
      </c>
      <c r="C100" s="185"/>
    </row>
  </sheetData>
  <mergeCells count="36">
    <mergeCell ref="AA7:AA8"/>
    <mergeCell ref="AB7:AB8"/>
    <mergeCell ref="AC7:AC8"/>
    <mergeCell ref="C8:D8"/>
    <mergeCell ref="E8:F8"/>
    <mergeCell ref="G8:H8"/>
    <mergeCell ref="I8:J8"/>
    <mergeCell ref="K8:L8"/>
    <mergeCell ref="M8:N8"/>
    <mergeCell ref="O8:P8"/>
    <mergeCell ref="V7:V8"/>
    <mergeCell ref="W7:W8"/>
    <mergeCell ref="X7:X8"/>
    <mergeCell ref="Y7:Y8"/>
    <mergeCell ref="Z7:Z8"/>
    <mergeCell ref="Q7:Q8"/>
    <mergeCell ref="R7:R8"/>
    <mergeCell ref="S7:S8"/>
    <mergeCell ref="T7:T8"/>
    <mergeCell ref="U7:U8"/>
    <mergeCell ref="A7:A8"/>
    <mergeCell ref="C7:D7"/>
    <mergeCell ref="E7:F7"/>
    <mergeCell ref="G7:H7"/>
    <mergeCell ref="I7:J7"/>
    <mergeCell ref="K7:L7"/>
    <mergeCell ref="M7:N7"/>
    <mergeCell ref="O7:P7"/>
    <mergeCell ref="B7:B8"/>
    <mergeCell ref="A2:A5"/>
    <mergeCell ref="AA2:AC5"/>
    <mergeCell ref="Q2:Z2"/>
    <mergeCell ref="Q3:Z3"/>
    <mergeCell ref="Q4:Z4"/>
    <mergeCell ref="Q5:Z5"/>
    <mergeCell ref="B2:O5"/>
  </mergeCells>
  <conditionalFormatting sqref="AC9">
    <cfRule type="containsText" dxfId="126" priority="124" operator="containsText" text="Moderado">
      <formula>NOT(ISERROR(SEARCH(("Moderado"),(AC9))))</formula>
    </cfRule>
  </conditionalFormatting>
  <conditionalFormatting sqref="AC9">
    <cfRule type="containsText" dxfId="125" priority="125" operator="containsText" text="Alto">
      <formula>NOT(ISERROR(SEARCH(("Alto"),(AC9))))</formula>
    </cfRule>
  </conditionalFormatting>
  <conditionalFormatting sqref="AC9">
    <cfRule type="containsText" dxfId="124" priority="126" operator="containsText" text="Muy Alto">
      <formula>NOT(ISERROR(SEARCH(("Muy Alto"),(AC9))))</formula>
    </cfRule>
  </conditionalFormatting>
  <conditionalFormatting sqref="AC9">
    <cfRule type="containsText" dxfId="123" priority="127" operator="containsText" text="Muy Bajo">
      <formula>NOT(ISERROR(SEARCH(("Muy Bajo"),(AC9))))</formula>
    </cfRule>
  </conditionalFormatting>
  <conditionalFormatting sqref="AC9">
    <cfRule type="containsText" dxfId="122" priority="128" operator="containsText" text="Bajo">
      <formula>NOT(ISERROR(SEARCH(("Bajo"),(AC9))))</formula>
    </cfRule>
  </conditionalFormatting>
  <conditionalFormatting sqref="AC9">
    <cfRule type="containsText" dxfId="121" priority="129" operator="containsText" text="Extremo">
      <formula>NOT(ISERROR(SEARCH(("Extremo"),(AC9))))</formula>
    </cfRule>
  </conditionalFormatting>
  <conditionalFormatting sqref="AC36:AC90">
    <cfRule type="containsText" dxfId="120" priority="118" operator="containsText" text="Moderado">
      <formula>NOT(ISERROR(SEARCH(("Moderado"),(AC36))))</formula>
    </cfRule>
  </conditionalFormatting>
  <conditionalFormatting sqref="AC36:AC90">
    <cfRule type="containsText" dxfId="119" priority="119" operator="containsText" text="Alto">
      <formula>NOT(ISERROR(SEARCH(("Alto"),(AC36))))</formula>
    </cfRule>
  </conditionalFormatting>
  <conditionalFormatting sqref="AC36:AC90">
    <cfRule type="containsText" dxfId="118" priority="120" operator="containsText" text="Muy Alto">
      <formula>NOT(ISERROR(SEARCH(("Muy Alto"),(AC36))))</formula>
    </cfRule>
  </conditionalFormatting>
  <conditionalFormatting sqref="AC36:AC90">
    <cfRule type="containsText" dxfId="117" priority="121" operator="containsText" text="Muy Bajo">
      <formula>NOT(ISERROR(SEARCH(("Muy Bajo"),(AC36))))</formula>
    </cfRule>
  </conditionalFormatting>
  <conditionalFormatting sqref="AC36:AC90">
    <cfRule type="containsText" dxfId="116" priority="122" operator="containsText" text="Bajo">
      <formula>NOT(ISERROR(SEARCH(("Bajo"),(AC36))))</formula>
    </cfRule>
  </conditionalFormatting>
  <conditionalFormatting sqref="AC36:AC90">
    <cfRule type="containsText" dxfId="115" priority="123" operator="containsText" text="Extremo">
      <formula>NOT(ISERROR(SEARCH(("Extremo"),(AC36))))</formula>
    </cfRule>
  </conditionalFormatting>
  <conditionalFormatting sqref="AC18:AC23 AC34:AC35">
    <cfRule type="containsText" dxfId="114" priority="112" operator="containsText" text="Moderado">
      <formula>NOT(ISERROR(SEARCH(("Moderado"),(AC18))))</formula>
    </cfRule>
  </conditionalFormatting>
  <conditionalFormatting sqref="AC18:AC23 AC34:AC35">
    <cfRule type="containsText" dxfId="113" priority="113" operator="containsText" text="Alto">
      <formula>NOT(ISERROR(SEARCH(("Alto"),(AC18))))</formula>
    </cfRule>
  </conditionalFormatting>
  <conditionalFormatting sqref="AC18:AC23 AC34:AC35">
    <cfRule type="containsText" dxfId="112" priority="114" operator="containsText" text="Muy Alto">
      <formula>NOT(ISERROR(SEARCH(("Muy Alto"),(AC18))))</formula>
    </cfRule>
  </conditionalFormatting>
  <conditionalFormatting sqref="AC18:AC23 AC34:AC35">
    <cfRule type="containsText" dxfId="111" priority="115" operator="containsText" text="Muy Bajo">
      <formula>NOT(ISERROR(SEARCH(("Muy Bajo"),(AC18))))</formula>
    </cfRule>
  </conditionalFormatting>
  <conditionalFormatting sqref="AC18:AC23 AC34:AC35">
    <cfRule type="containsText" dxfId="110" priority="116" operator="containsText" text="Bajo">
      <formula>NOT(ISERROR(SEARCH(("Bajo"),(AC18))))</formula>
    </cfRule>
  </conditionalFormatting>
  <conditionalFormatting sqref="AC18:AC23 AC34:AC35">
    <cfRule type="containsText" dxfId="109" priority="117" operator="containsText" text="Extremo">
      <formula>NOT(ISERROR(SEARCH(("Extremo"),(AC18))))</formula>
    </cfRule>
  </conditionalFormatting>
  <conditionalFormatting sqref="AC10:AC17">
    <cfRule type="containsText" dxfId="108" priority="106" operator="containsText" text="Moderado">
      <formula>NOT(ISERROR(SEARCH(("Moderado"),(AC10))))</formula>
    </cfRule>
  </conditionalFormatting>
  <conditionalFormatting sqref="AC10:AC17">
    <cfRule type="containsText" dxfId="107" priority="107" operator="containsText" text="Alto">
      <formula>NOT(ISERROR(SEARCH(("Alto"),(AC10))))</formula>
    </cfRule>
  </conditionalFormatting>
  <conditionalFormatting sqref="AC10:AC17">
    <cfRule type="containsText" dxfId="106" priority="108" operator="containsText" text="Muy Alto">
      <formula>NOT(ISERROR(SEARCH(("Muy Alto"),(AC10))))</formula>
    </cfRule>
  </conditionalFormatting>
  <conditionalFormatting sqref="AC10:AC17">
    <cfRule type="containsText" dxfId="105" priority="109" operator="containsText" text="Muy Bajo">
      <formula>NOT(ISERROR(SEARCH(("Muy Bajo"),(AC10))))</formula>
    </cfRule>
  </conditionalFormatting>
  <conditionalFormatting sqref="AC10:AC17">
    <cfRule type="containsText" dxfId="104" priority="110" operator="containsText" text="Bajo">
      <formula>NOT(ISERROR(SEARCH(("Bajo"),(AC10))))</formula>
    </cfRule>
  </conditionalFormatting>
  <conditionalFormatting sqref="AC10:AC17">
    <cfRule type="containsText" dxfId="103" priority="111" operator="containsText" text="Extremo">
      <formula>NOT(ISERROR(SEARCH(("Extremo"),(AC10))))</formula>
    </cfRule>
  </conditionalFormatting>
  <conditionalFormatting sqref="AC26:AC33">
    <cfRule type="containsText" dxfId="102" priority="100" operator="containsText" text="Moderado">
      <formula>NOT(ISERROR(SEARCH(("Moderado"),(AC26))))</formula>
    </cfRule>
  </conditionalFormatting>
  <conditionalFormatting sqref="AC26:AC33">
    <cfRule type="containsText" dxfId="101" priority="101" operator="containsText" text="Alto">
      <formula>NOT(ISERROR(SEARCH(("Alto"),(AC26))))</formula>
    </cfRule>
  </conditionalFormatting>
  <conditionalFormatting sqref="AC26:AC33">
    <cfRule type="containsText" dxfId="100" priority="102" operator="containsText" text="Muy Alto">
      <formula>NOT(ISERROR(SEARCH(("Muy Alto"),(AC26))))</formula>
    </cfRule>
  </conditionalFormatting>
  <conditionalFormatting sqref="AC26:AC33">
    <cfRule type="containsText" dxfId="99" priority="103" operator="containsText" text="Muy Bajo">
      <formula>NOT(ISERROR(SEARCH(("Muy Bajo"),(AC26))))</formula>
    </cfRule>
  </conditionalFormatting>
  <conditionalFormatting sqref="AC26:AC33">
    <cfRule type="containsText" dxfId="98" priority="104" operator="containsText" text="Bajo">
      <formula>NOT(ISERROR(SEARCH(("Bajo"),(AC26))))</formula>
    </cfRule>
  </conditionalFormatting>
  <conditionalFormatting sqref="AC26:AC33">
    <cfRule type="containsText" dxfId="97" priority="105" operator="containsText" text="Extremo">
      <formula>NOT(ISERROR(SEARCH(("Extremo"),(AC26))))</formula>
    </cfRule>
  </conditionalFormatting>
  <conditionalFormatting sqref="AC24:AC25">
    <cfRule type="containsText" dxfId="96" priority="94" operator="containsText" text="Moderado">
      <formula>NOT(ISERROR(SEARCH(("Moderado"),(AC24))))</formula>
    </cfRule>
  </conditionalFormatting>
  <conditionalFormatting sqref="AC24:AC25">
    <cfRule type="containsText" dxfId="95" priority="95" operator="containsText" text="Alto">
      <formula>NOT(ISERROR(SEARCH(("Alto"),(AC24))))</formula>
    </cfRule>
  </conditionalFormatting>
  <conditionalFormatting sqref="AC24:AC25">
    <cfRule type="containsText" dxfId="94" priority="96" operator="containsText" text="Muy Alto">
      <formula>NOT(ISERROR(SEARCH(("Muy Alto"),(AC24))))</formula>
    </cfRule>
  </conditionalFormatting>
  <conditionalFormatting sqref="AC24:AC25">
    <cfRule type="containsText" dxfId="93" priority="97" operator="containsText" text="Muy Bajo">
      <formula>NOT(ISERROR(SEARCH(("Muy Bajo"),(AC24))))</formula>
    </cfRule>
  </conditionalFormatting>
  <conditionalFormatting sqref="AC24:AC25">
    <cfRule type="containsText" dxfId="92" priority="98" operator="containsText" text="Bajo">
      <formula>NOT(ISERROR(SEARCH(("Bajo"),(AC24))))</formula>
    </cfRule>
  </conditionalFormatting>
  <conditionalFormatting sqref="AC24:AC25">
    <cfRule type="containsText" dxfId="91" priority="99" operator="containsText" text="Extremo">
      <formula>NOT(ISERROR(SEARCH(("Extremo"),(AC24))))</formula>
    </cfRule>
  </conditionalFormatting>
  <conditionalFormatting sqref="C15:O15 C9:O12 C53:O90">
    <cfRule type="expression" dxfId="90" priority="91">
      <formula>"(B9=""YA CUENTA CON PONDERACION DE RIESGOS, NO DILIGENCIARANALISIS;B9)"</formula>
    </cfRule>
  </conditionalFormatting>
  <conditionalFormatting sqref="B9:B90">
    <cfRule type="cellIs" dxfId="89" priority="85" operator="equal">
      <formula>$AI$10</formula>
    </cfRule>
    <cfRule type="cellIs" dxfId="88" priority="88" operator="equal">
      <formula>$AI$9</formula>
    </cfRule>
  </conditionalFormatting>
  <conditionalFormatting sqref="Q9">
    <cfRule type="expression" dxfId="87" priority="84">
      <formula>"(B9=""YA CUENTA CON PONDERACION DE RIESGOS, NO DILIGENCIARANALISIS;B9)"</formula>
    </cfRule>
  </conditionalFormatting>
  <conditionalFormatting sqref="R9">
    <cfRule type="expression" dxfId="86" priority="83">
      <formula>"(B9=""YA CUENTA CON PONDERACION DE RIESGOS, NO DILIGENCIARANALISIS;B9)"</formula>
    </cfRule>
  </conditionalFormatting>
  <conditionalFormatting sqref="T9">
    <cfRule type="expression" dxfId="85" priority="81">
      <formula>"(B9=""YA CUENTA CON PONDERACION DE RIESGOS, NO DILIGENCIARANALISIS;B9)"</formula>
    </cfRule>
  </conditionalFormatting>
  <conditionalFormatting sqref="U9">
    <cfRule type="expression" dxfId="84" priority="80">
      <formula>"(B9=""YA CUENTA CON PONDERACION DE RIESGOS, NO DILIGENCIARANALISIS;B9)"</formula>
    </cfRule>
  </conditionalFormatting>
  <conditionalFormatting sqref="V9">
    <cfRule type="expression" dxfId="83" priority="79">
      <formula>"(B9=""YA CUENTA CON PONDERACION DE RIESGOS, NO DILIGENCIARANALISIS;B9)"</formula>
    </cfRule>
  </conditionalFormatting>
  <conditionalFormatting sqref="Q10:Q90">
    <cfRule type="expression" dxfId="82" priority="78">
      <formula>"(B9=""YA CUENTA CON PONDERACION DE RIESGOS, NO DILIGENCIARANALISIS;B9)"</formula>
    </cfRule>
  </conditionalFormatting>
  <conditionalFormatting sqref="R10:R90">
    <cfRule type="expression" dxfId="81" priority="77">
      <formula>"(B9=""YA CUENTA CON PONDERACION DE RIESGOS, NO DILIGENCIARANALISIS;B9)"</formula>
    </cfRule>
  </conditionalFormatting>
  <conditionalFormatting sqref="S9:S90">
    <cfRule type="expression" dxfId="80" priority="76">
      <formula>"(B9=""YA CUENTA CON PONDERACION DE RIESGOS, NO DILIGENCIARANALISIS;B9)"</formula>
    </cfRule>
  </conditionalFormatting>
  <conditionalFormatting sqref="T10:T90">
    <cfRule type="expression" dxfId="79" priority="75">
      <formula>"(B9=""YA CUENTA CON PONDERACION DE RIESGOS, NO DILIGENCIARANALISIS;B9)"</formula>
    </cfRule>
  </conditionalFormatting>
  <conditionalFormatting sqref="U10:U90">
    <cfRule type="expression" dxfId="78" priority="74">
      <formula>"(B9=""YA CUENTA CON PONDERACION DE RIESGOS, NO DILIGENCIARANALISIS;B9)"</formula>
    </cfRule>
  </conditionalFormatting>
  <conditionalFormatting sqref="V10:V90">
    <cfRule type="expression" dxfId="77" priority="73">
      <formula>"(B9=""YA CUENTA CON PONDERACION DE RIESGOS, NO DILIGENCIARANALISIS;B9)"</formula>
    </cfRule>
  </conditionalFormatting>
  <conditionalFormatting sqref="D9:O9">
    <cfRule type="expression" dxfId="76" priority="71">
      <formula>"(B9=""YA CUENTA CON PONDERACION DE RIESGOS, NO DILIGENCIARANALISIS;B9)"</formula>
    </cfRule>
  </conditionalFormatting>
  <conditionalFormatting sqref="C22:O28 C30:O30">
    <cfRule type="expression" dxfId="75" priority="16">
      <formula>"(B9=""YA CUENTA CON PONDERACION DE RIESGOS, NO DILIGENCIARANALISIS;B9)"</formula>
    </cfRule>
  </conditionalFormatting>
  <conditionalFormatting sqref="C15:O15">
    <cfRule type="expression" dxfId="74" priority="38">
      <formula>"(B9=""YA CUENTA CON PONDERACION DE RIESGOS, NO DILIGENCIARANALISIS;B9)"</formula>
    </cfRule>
  </conditionalFormatting>
  <conditionalFormatting sqref="C15:O15">
    <cfRule type="expression" dxfId="73" priority="33">
      <formula>"(B9=""YA CUENTA CON PONDERACION DE RIESGOS, NO DILIGENCIARANALISIS;B9)"</formula>
    </cfRule>
  </conditionalFormatting>
  <conditionalFormatting sqref="C29:O29">
    <cfRule type="expression" dxfId="72" priority="15">
      <formula>"(B9=""YA CUENTA CON PONDERACION DE RIESGOS, NO DILIGENCIARANALISIS;B9)"</formula>
    </cfRule>
  </conditionalFormatting>
  <conditionalFormatting sqref="D27:O27">
    <cfRule type="expression" dxfId="71" priority="17">
      <formula>"(B9=""YA CUENTA CON PONDERACION DE RIESGOS, NO DILIGENCIARANALISIS;B9)"</formula>
    </cfRule>
  </conditionalFormatting>
  <conditionalFormatting sqref="C31:O47">
    <cfRule type="expression" dxfId="70" priority="12">
      <formula>"(B9=""YA CUENTA CON PONDERACION DE RIESGOS, NO DILIGENCIARANALISIS;B9)"</formula>
    </cfRule>
  </conditionalFormatting>
  <conditionalFormatting sqref="D22:O24">
    <cfRule type="expression" dxfId="69" priority="18">
      <formula>"(B9=""YA CUENTA CON PONDERACION DE RIESGOS, NO DILIGENCIARANALISIS;B9)"</formula>
    </cfRule>
  </conditionalFormatting>
  <conditionalFormatting sqref="D31:O31">
    <cfRule type="expression" dxfId="68" priority="14">
      <formula>"(B9=""YA CUENTA CON PONDERACION DE RIESGOS, NO DILIGENCIARANALISIS;B9)"</formula>
    </cfRule>
  </conditionalFormatting>
  <conditionalFormatting sqref="D42:O42">
    <cfRule type="expression" dxfId="67" priority="13">
      <formula>"(B9=""YA CUENTA CON PONDERACION DE RIESGOS, NO DILIGENCIARANALISIS;B9)"</formula>
    </cfRule>
  </conditionalFormatting>
  <conditionalFormatting sqref="C13:O14">
    <cfRule type="expression" dxfId="66" priority="11">
      <formula>"(B9=""YA CUENTA CON PONDERACION DE RIESGOS, NO DILIGENCIARANALISIS;B9)"</formula>
    </cfRule>
  </conditionalFormatting>
  <conditionalFormatting sqref="C16:O17">
    <cfRule type="expression" dxfId="65" priority="10">
      <formula>"(B9=""YA CUENTA CON PONDERACION DE RIESGOS, NO DILIGENCIARANALISIS;B9)"</formula>
    </cfRule>
  </conditionalFormatting>
  <conditionalFormatting sqref="C16:O17">
    <cfRule type="expression" dxfId="64" priority="9">
      <formula>"(B9=""YA CUENTA CON PONDERACION DE RIESGOS, NO DILIGENCIARANALISIS;B9)"</formula>
    </cfRule>
  </conditionalFormatting>
  <conditionalFormatting sqref="C16:O17">
    <cfRule type="expression" dxfId="63" priority="8">
      <formula>"(B9=""YA CUENTA CON PONDERACION DE RIESGOS, NO DILIGENCIARANALISIS;B9)"</formula>
    </cfRule>
  </conditionalFormatting>
  <conditionalFormatting sqref="C18:O18">
    <cfRule type="expression" dxfId="62" priority="7">
      <formula>"(B9=""YA CUENTA CON PONDERACION DE RIESGOS, NO DILIGENCIARANALISIS;B9)"</formula>
    </cfRule>
  </conditionalFormatting>
  <conditionalFormatting sqref="C19:O19">
    <cfRule type="expression" dxfId="61" priority="6">
      <formula>"(B9=""YA CUENTA CON PONDERACION DE RIESGOS, NO DILIGENCIARANALISIS;B9)"</formula>
    </cfRule>
  </conditionalFormatting>
  <conditionalFormatting sqref="C19:O19">
    <cfRule type="expression" dxfId="60" priority="5">
      <formula>"(B9=""YA CUENTA CON PONDERACION DE RIESGOS, NO DILIGENCIARANALISIS;B9)"</formula>
    </cfRule>
  </conditionalFormatting>
  <conditionalFormatting sqref="C19:O19">
    <cfRule type="expression" dxfId="59" priority="4">
      <formula>"(B9=""YA CUENTA CON PONDERACION DE RIESGOS, NO DILIGENCIARANALISIS;B9)"</formula>
    </cfRule>
  </conditionalFormatting>
  <conditionalFormatting sqref="C21:O21">
    <cfRule type="expression" dxfId="58" priority="3">
      <formula>"(B9=""YA CUENTA CON PONDERACION DE RIESGOS, NO DILIGENCIARANALISIS;B9)"</formula>
    </cfRule>
  </conditionalFormatting>
  <conditionalFormatting sqref="C20:O20">
    <cfRule type="expression" dxfId="57" priority="2">
      <formula>"(B9=""YA CUENTA CON PONDERACION DE RIESGOS, NO DILIGENCIARANALISIS;B9)"</formula>
    </cfRule>
  </conditionalFormatting>
  <conditionalFormatting sqref="C48:O52">
    <cfRule type="expression" dxfId="56" priority="1">
      <formula>"(B9=""YA CUENTA CON PONDERACION DE RIESGOS, NO DILIGENCIARANALISIS;B9)"</formula>
    </cfRule>
  </conditionalFormatting>
  <dataValidations count="6">
    <dataValidation type="list" allowBlank="1" showInputMessage="1" showErrorMessage="1" sqref="O9:O90">
      <formula1>"Critica no recuperable, Critica con recuperación parcial, Falta de oportunidad para atención usuarios, Falta de oportunidad para gestión de los procesos"</formula1>
    </dataValidation>
    <dataValidation type="list" allowBlank="1" showInputMessage="1" showErrorMessage="1" sqref="K9:K90">
      <formula1>"Hechos de Corrupción, Incumplimiento de servicios, Retrasos en los servicios, Quejas por incumplimientos o retrasos"</formula1>
    </dataValidation>
    <dataValidation type="list" allowBlank="1" showInputMessage="1" showErrorMessage="1" sqref="E9:E90">
      <formula1>"3 días,2 días, 1 día, Varias horas"</formula1>
    </dataValidation>
    <dataValidation type="list" allowBlank="1" showInputMessage="1" showErrorMessage="1" sqref="M53:M90 I53:I90 G53:G90 C9:C21 M9:M21 I9:I21 G9:G21 G31:G47 I31:I47 M31:M47 C31:C47 C53:C90">
      <formula1>$A$97:$A$100</formula1>
    </dataValidation>
    <dataValidation type="list" allowBlank="1" showInputMessage="1" showErrorMessage="1" sqref="G22:G30 C22:C30 M22:M30 I22:I30">
      <formula1>$A$98:$A$101</formula1>
    </dataValidation>
    <dataValidation type="list" allowBlank="1" showInputMessage="1" showErrorMessage="1" sqref="C48:C52 G48:G52 M48:M52 I48:I52">
      <formula1>$A$95:$A$98</formula1>
    </dataValidation>
  </dataValidations>
  <pageMargins left="0.7" right="0.7" top="0.75" bottom="0.75" header="0.3" footer="0.3"/>
  <pageSetup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19</vt:i4>
      </vt:variant>
    </vt:vector>
  </HeadingPairs>
  <TitlesOfParts>
    <vt:vector size="34" baseType="lpstr">
      <vt:lpstr>MENU CAJA DE HERRAMIENTAS</vt:lpstr>
      <vt:lpstr>Resumen PAA 2023</vt:lpstr>
      <vt:lpstr>Organigrama</vt:lpstr>
      <vt:lpstr>GLOSARIO</vt:lpstr>
      <vt:lpstr>MIPPA 1</vt:lpstr>
      <vt:lpstr>CONOCIMIENTO ENT</vt:lpstr>
      <vt:lpstr>PRIORIZACIÓN (2)</vt:lpstr>
      <vt:lpstr>MIPPA 1.1</vt:lpstr>
      <vt:lpstr>ANALISIS OCI</vt:lpstr>
      <vt:lpstr>MET CALCULO RECURSOS</vt:lpstr>
      <vt:lpstr>1. Horas requeridas PAAI</vt:lpstr>
      <vt:lpstr>MIPPA 2</vt:lpstr>
      <vt:lpstr>2. Días -horas hábiles x vig</vt:lpstr>
      <vt:lpstr>PAA OCI  </vt:lpstr>
      <vt:lpstr>PRIORIZACIÓN</vt:lpstr>
      <vt:lpstr>GLOSARIO!_ftn1</vt:lpstr>
      <vt:lpstr>GLOSARIO!_ftn2</vt:lpstr>
      <vt:lpstr>GLOSARIO!_ftn3</vt:lpstr>
      <vt:lpstr>GLOSARIO!_ftn4</vt:lpstr>
      <vt:lpstr>GLOSARIO!_ftn5</vt:lpstr>
      <vt:lpstr>GLOSARIO!_ftn6</vt:lpstr>
      <vt:lpstr>GLOSARIO!_ftn7</vt:lpstr>
      <vt:lpstr>GLOSARIO!_ftn8</vt:lpstr>
      <vt:lpstr>GLOSARIO!_ftnref1</vt:lpstr>
      <vt:lpstr>GLOSARIO!_ftnref2</vt:lpstr>
      <vt:lpstr>GLOSARIO!_ftnref3</vt:lpstr>
      <vt:lpstr>GLOSARIO!_ftnref4</vt:lpstr>
      <vt:lpstr>GLOSARIO!_ftnref5</vt:lpstr>
      <vt:lpstr>GLOSARIO!_ftnref6</vt:lpstr>
      <vt:lpstr>GLOSARIO!_ftnref7</vt:lpstr>
      <vt:lpstr>GLOSARIO!_ftnref8</vt:lpstr>
      <vt:lpstr>'PAA OCI  '!Área_de_impresión</vt:lpstr>
      <vt:lpstr>DOCUMENTO_RELACIONADO</vt:lpstr>
      <vt:lpstr>'PAA OCI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FERNANDO AVELLA</dc:creator>
  <cp:lastModifiedBy>win 11 ultimate</cp:lastModifiedBy>
  <dcterms:created xsi:type="dcterms:W3CDTF">2019-03-03T03:38:53Z</dcterms:created>
  <dcterms:modified xsi:type="dcterms:W3CDTF">2024-08-01T20:14:47Z</dcterms:modified>
</cp:coreProperties>
</file>