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pivotTables/pivotTable1.xml" ContentType="application/vnd.openxmlformats-officedocument.spreadsheetml.pivotTable+xml"/>
  <Override PartName="/xl/drawings/drawing10.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hidePivotFieldList="1"/>
  <bookViews>
    <workbookView xWindow="-120" yWindow="-120" windowWidth="21840" windowHeight="13740" firstSheet="2" activeTab="15"/>
  </bookViews>
  <sheets>
    <sheet name="MENU CAJA DE HERRAMIENTAS" sheetId="4" state="hidden" r:id="rId1"/>
    <sheet name="Resumen PAA 2020" sheetId="22" r:id="rId2"/>
    <sheet name="Organigrama" sheetId="21" r:id="rId3"/>
    <sheet name="GLOSARIO" sheetId="6" r:id="rId4"/>
    <sheet name="MIPPA 1" sheetId="17" r:id="rId5"/>
    <sheet name="CONOCIMIENTO ENT" sheetId="9" state="hidden" r:id="rId6"/>
    <sheet name="PRIORIZACIÓN (2)" sheetId="20" r:id="rId7"/>
    <sheet name="MIPPA 1.1" sheetId="19" state="hidden" r:id="rId8"/>
    <sheet name="ANALISIS OCI" sheetId="3" state="hidden" r:id="rId9"/>
    <sheet name="MET CALCULO RECURSOS" sheetId="11" state="hidden" r:id="rId10"/>
    <sheet name="1. Horas requeridas PAAI" sheetId="12" state="hidden" r:id="rId11"/>
    <sheet name="MIPPA 2" sheetId="18" state="hidden" r:id="rId12"/>
    <sheet name="2. Días -horas hábiles x vig" sheetId="13" state="hidden" r:id="rId13"/>
    <sheet name="Adquisiciones" sheetId="23" state="hidden" r:id="rId14"/>
    <sheet name="PRIORIZACIÓN" sheetId="1" state="hidden" r:id="rId15"/>
    <sheet name="PAA OCI  " sheetId="5" r:id="rId16"/>
  </sheets>
  <externalReferences>
    <externalReference r:id="rId17"/>
    <externalReference r:id="rId18"/>
  </externalReferences>
  <definedNames>
    <definedName name="_xlnm._FilterDatabase" localSheetId="8" hidden="1">'ANALISIS OCI'!$C$9:$C$88</definedName>
    <definedName name="_xlnm._FilterDatabase" localSheetId="3" hidden="1">GLOSARIO!$A$1:$A$3</definedName>
    <definedName name="_xlnm._FilterDatabase" localSheetId="15" hidden="1">'PAA OCI  '!$A$16:$DA$77</definedName>
    <definedName name="_xlnm._FilterDatabase" localSheetId="14" hidden="1">PRIORIZACIÓN!$Q$12:$Q$29</definedName>
    <definedName name="_ftn1" localSheetId="3">GLOSARIO!$A$19</definedName>
    <definedName name="_ftn2" localSheetId="3">GLOSARIO!$A$21</definedName>
    <definedName name="_ftn3" localSheetId="3">GLOSARIO!$A$22</definedName>
    <definedName name="_ftn4" localSheetId="3">GLOSARIO!$A$23</definedName>
    <definedName name="_ftn5" localSheetId="3">GLOSARIO!$A$24</definedName>
    <definedName name="_ftn6" localSheetId="3">GLOSARIO!$A$25</definedName>
    <definedName name="_ftn7" localSheetId="3">GLOSARIO!$A$26</definedName>
    <definedName name="_ftn8" localSheetId="3">GLOSARIO!$A$27</definedName>
    <definedName name="_ftnref1" localSheetId="3">GLOSARIO!$A$4</definedName>
    <definedName name="_ftnref2" localSheetId="3">GLOSARIO!$A$6</definedName>
    <definedName name="_ftnref3" localSheetId="3">GLOSARIO!$A$7</definedName>
    <definedName name="_ftnref4" localSheetId="3">GLOSARIO!$A$8</definedName>
    <definedName name="_ftnref5" localSheetId="3">GLOSARIO!$A$9</definedName>
    <definedName name="_ftnref6" localSheetId="3">GLOSARIO!$A$11</definedName>
    <definedName name="_ftnref7" localSheetId="3">GLOSARIO!$A$12</definedName>
    <definedName name="_ftnref8" localSheetId="3">GLOSARIO!$A$13</definedName>
    <definedName name="_xlnm.Print_Area" localSheetId="15">'PAA OCI  '!$A$1:$Y$86</definedName>
    <definedName name="DOCUMENTO_RELACIONADO" comment="Registre el documento o soporte del ítem en cuestión. (Físico o Magnético)">'CONOCIMIENTO ENT'!$C$5</definedName>
    <definedName name="riskprob">[1]Lookup!$B$2:$B$5</definedName>
    <definedName name="_xlnm.Print_Titles" localSheetId="15">'PAA OCI  '!$13:$16</definedName>
  </definedNames>
  <calcPr calcId="144525"/>
  <pivotCaches>
    <pivotCache cacheId="2"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0" i="5" l="1"/>
  <c r="C18" i="12"/>
  <c r="C17" i="12"/>
  <c r="C14" i="12"/>
  <c r="C15" i="12"/>
  <c r="C16" i="12"/>
  <c r="C13" i="12"/>
  <c r="B12" i="20"/>
  <c r="B13" i="20"/>
  <c r="B14" i="20"/>
  <c r="B15" i="20"/>
  <c r="B11" i="20"/>
  <c r="B16" i="20"/>
  <c r="N22" i="3"/>
  <c r="L22" i="3"/>
  <c r="J22" i="3"/>
  <c r="H22" i="3"/>
  <c r="F22" i="3"/>
  <c r="D22" i="3"/>
  <c r="N21" i="3"/>
  <c r="L21" i="3"/>
  <c r="J21" i="3"/>
  <c r="H21" i="3"/>
  <c r="F21" i="3"/>
  <c r="D21" i="3"/>
  <c r="N20" i="3"/>
  <c r="L20" i="3"/>
  <c r="J20" i="3"/>
  <c r="H20" i="3"/>
  <c r="F20" i="3"/>
  <c r="D20" i="3"/>
  <c r="N19" i="3"/>
  <c r="L19" i="3"/>
  <c r="J19" i="3"/>
  <c r="H19" i="3"/>
  <c r="F19" i="3"/>
  <c r="D19" i="3"/>
  <c r="N18" i="3"/>
  <c r="L18" i="3"/>
  <c r="J18" i="3"/>
  <c r="H18" i="3"/>
  <c r="F18" i="3"/>
  <c r="D18" i="3"/>
  <c r="N17" i="3"/>
  <c r="L17" i="3"/>
  <c r="J17" i="3"/>
  <c r="H17" i="3"/>
  <c r="F17" i="3"/>
  <c r="D17" i="3"/>
  <c r="N16" i="3"/>
  <c r="L16" i="3"/>
  <c r="J16" i="3"/>
  <c r="H16" i="3"/>
  <c r="F16" i="3"/>
  <c r="D16" i="3"/>
  <c r="N15" i="3"/>
  <c r="L15" i="3"/>
  <c r="J15" i="3"/>
  <c r="H15" i="3"/>
  <c r="F15" i="3"/>
  <c r="D15" i="3"/>
  <c r="C58" i="12" l="1"/>
  <c r="C59" i="12"/>
  <c r="G58" i="12"/>
  <c r="I58" i="12" s="1"/>
  <c r="F25" i="12" l="1"/>
  <c r="E25" i="12"/>
  <c r="C25" i="12"/>
  <c r="G25" i="12" l="1"/>
  <c r="I25" i="12" s="1"/>
  <c r="B23" i="1"/>
  <c r="B24" i="1"/>
  <c r="B25" i="1"/>
  <c r="B26" i="1"/>
  <c r="B27" i="1"/>
  <c r="B28" i="1"/>
  <c r="B29" i="1"/>
  <c r="B30" i="1"/>
  <c r="B31" i="1"/>
  <c r="B32" i="1"/>
  <c r="B33" i="1"/>
  <c r="B34" i="1"/>
  <c r="B35" i="1"/>
  <c r="G19" i="12"/>
  <c r="G20" i="12"/>
  <c r="C20" i="12"/>
  <c r="C19" i="12"/>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19" i="3"/>
  <c r="B20" i="1"/>
  <c r="A18" i="3"/>
  <c r="B13" i="1"/>
  <c r="B14" i="1"/>
  <c r="A12" i="3"/>
  <c r="B16" i="1"/>
  <c r="B17" i="1"/>
  <c r="B18" i="1"/>
  <c r="A16" i="3"/>
  <c r="A15" i="3" l="1"/>
  <c r="A13" i="3"/>
  <c r="A11" i="3"/>
  <c r="B21" i="1"/>
  <c r="B19" i="1"/>
  <c r="B15" i="1"/>
  <c r="A14" i="3"/>
  <c r="A10" i="3"/>
  <c r="B22" i="1"/>
  <c r="A17" i="3"/>
  <c r="U4" i="23"/>
  <c r="U5" i="23"/>
  <c r="U6" i="23"/>
  <c r="U7" i="23"/>
  <c r="U8" i="23"/>
  <c r="U9" i="23"/>
  <c r="U10" i="23"/>
  <c r="U3" i="23"/>
  <c r="Q10" i="23"/>
  <c r="T10" i="23" s="1"/>
  <c r="Q9" i="23"/>
  <c r="T9" i="23" s="1"/>
  <c r="Q8" i="23"/>
  <c r="T8" i="23" s="1"/>
  <c r="Q4" i="23"/>
  <c r="T4" i="23" s="1"/>
  <c r="Q5" i="23"/>
  <c r="T5" i="23" s="1"/>
  <c r="Q6" i="23"/>
  <c r="Q11" i="23" s="1"/>
  <c r="Q7" i="23"/>
  <c r="T7" i="23" s="1"/>
  <c r="Q3" i="23"/>
  <c r="T3" i="23" s="1"/>
  <c r="P6" i="23"/>
  <c r="P11" i="23" s="1"/>
  <c r="P12" i="23" s="1"/>
  <c r="S12" i="23" s="1"/>
  <c r="P7" i="23"/>
  <c r="P4" i="23"/>
  <c r="P5" i="23"/>
  <c r="P10" i="23"/>
  <c r="P8" i="23"/>
  <c r="P9" i="23"/>
  <c r="P3" i="23"/>
  <c r="U13" i="23" l="1"/>
  <c r="T6" i="23"/>
  <c r="Q12" i="23"/>
  <c r="T12" i="23" s="1"/>
  <c r="T11" i="23"/>
  <c r="S11" i="23"/>
  <c r="S13" i="23" s="1"/>
  <c r="F60" i="12"/>
  <c r="D60" i="12"/>
  <c r="C61" i="12"/>
  <c r="C62" i="12"/>
  <c r="G6" i="13"/>
  <c r="F43" i="12"/>
  <c r="E43" i="12"/>
  <c r="F39" i="12"/>
  <c r="E39" i="12"/>
  <c r="F38" i="12"/>
  <c r="E38" i="12"/>
  <c r="D38" i="12"/>
  <c r="D37" i="12"/>
  <c r="F32" i="12"/>
  <c r="E32" i="12"/>
  <c r="D32" i="12"/>
  <c r="F30" i="12"/>
  <c r="E30" i="12"/>
  <c r="F29" i="12"/>
  <c r="E29" i="12"/>
  <c r="F28" i="12"/>
  <c r="E28" i="12"/>
  <c r="F26" i="12"/>
  <c r="E26" i="12"/>
  <c r="D26" i="12"/>
  <c r="F24" i="12"/>
  <c r="E24" i="12"/>
  <c r="E23" i="12"/>
  <c r="D23" i="12"/>
  <c r="E22" i="12"/>
  <c r="D22" i="12"/>
  <c r="T13" i="23" l="1"/>
  <c r="U14" i="23" s="1"/>
  <c r="C63" i="12"/>
  <c r="C60" i="12"/>
  <c r="C55" i="12"/>
  <c r="C56" i="12"/>
  <c r="C57" i="12"/>
  <c r="C54" i="12"/>
  <c r="G21" i="12"/>
  <c r="G23" i="12"/>
  <c r="G24" i="12"/>
  <c r="G26" i="12"/>
  <c r="G27" i="12"/>
  <c r="G28" i="12"/>
  <c r="G29" i="12"/>
  <c r="G35" i="12"/>
  <c r="G40" i="12"/>
  <c r="G42" i="12"/>
  <c r="G43" i="12"/>
  <c r="G44" i="12"/>
  <c r="G45" i="12"/>
  <c r="G50" i="12"/>
  <c r="G51" i="12"/>
  <c r="G54" i="12"/>
  <c r="G57"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C50" i="12"/>
  <c r="C51" i="12"/>
  <c r="C52" i="12"/>
  <c r="C53" i="12"/>
  <c r="C49" i="12"/>
  <c r="C48" i="12"/>
  <c r="C22" i="12"/>
  <c r="C23" i="12"/>
  <c r="C24" i="12"/>
  <c r="C26" i="12"/>
  <c r="C27" i="12"/>
  <c r="C28" i="12"/>
  <c r="C29" i="12"/>
  <c r="C30" i="12"/>
  <c r="C31" i="12"/>
  <c r="C32" i="12"/>
  <c r="C33" i="12"/>
  <c r="C34" i="12"/>
  <c r="C35" i="12"/>
  <c r="C36" i="12"/>
  <c r="C37" i="12"/>
  <c r="C38" i="12"/>
  <c r="C39" i="12"/>
  <c r="C40" i="12"/>
  <c r="C41" i="12"/>
  <c r="C42" i="12"/>
  <c r="C43" i="12"/>
  <c r="C44" i="12"/>
  <c r="C45" i="12"/>
  <c r="C46" i="12"/>
  <c r="C47" i="12"/>
  <c r="C21" i="12"/>
  <c r="M20" i="1" l="1"/>
  <c r="N13" i="1"/>
  <c r="N14" i="1"/>
  <c r="O14" i="1" s="1"/>
  <c r="P14" i="1" s="1"/>
  <c r="N15" i="1"/>
  <c r="O15" i="1" s="1"/>
  <c r="P15" i="1" s="1"/>
  <c r="N16" i="1"/>
  <c r="O16" i="1" s="1"/>
  <c r="P16" i="1" s="1"/>
  <c r="N17" i="1"/>
  <c r="O17" i="1" s="1"/>
  <c r="P17" i="1" s="1"/>
  <c r="N18" i="1"/>
  <c r="O18" i="1" s="1"/>
  <c r="P18" i="1" s="1"/>
  <c r="N19" i="1"/>
  <c r="O19" i="1" s="1"/>
  <c r="P19" i="1" s="1"/>
  <c r="N20" i="1"/>
  <c r="N21" i="1"/>
  <c r="N22" i="1"/>
  <c r="N23" i="1"/>
  <c r="O23" i="1" s="1"/>
  <c r="P23" i="1" s="1"/>
  <c r="N24" i="1"/>
  <c r="O24" i="1" s="1"/>
  <c r="P24" i="1" s="1"/>
  <c r="N25" i="1"/>
  <c r="O25" i="1" s="1"/>
  <c r="N26" i="1"/>
  <c r="O26" i="1" s="1"/>
  <c r="P26" i="1" s="1"/>
  <c r="N27" i="1"/>
  <c r="O27" i="1" s="1"/>
  <c r="P27" i="1" s="1"/>
  <c r="N28" i="1"/>
  <c r="N29" i="1"/>
  <c r="N12" i="1"/>
  <c r="O12" i="1" s="1"/>
  <c r="P12" i="1" s="1"/>
  <c r="T12" i="1" s="1"/>
  <c r="B12" i="1"/>
  <c r="Q10" i="3"/>
  <c r="R10" i="3"/>
  <c r="S10" i="3"/>
  <c r="T10" i="3"/>
  <c r="U10" i="3"/>
  <c r="V10" i="3"/>
  <c r="W10" i="3"/>
  <c r="Q11" i="3"/>
  <c r="R11" i="3"/>
  <c r="S11" i="3"/>
  <c r="T11" i="3"/>
  <c r="U11" i="3"/>
  <c r="V11" i="3"/>
  <c r="W11" i="3"/>
  <c r="Q12" i="3"/>
  <c r="R12" i="3"/>
  <c r="S12" i="3"/>
  <c r="T12" i="3"/>
  <c r="U12" i="3"/>
  <c r="V12" i="3"/>
  <c r="W12" i="3"/>
  <c r="Q13" i="3"/>
  <c r="R13" i="3"/>
  <c r="S13" i="3"/>
  <c r="T13" i="3"/>
  <c r="U13" i="3"/>
  <c r="V13" i="3"/>
  <c r="W13" i="3"/>
  <c r="Q14" i="3"/>
  <c r="R14" i="3"/>
  <c r="S14" i="3"/>
  <c r="T14" i="3"/>
  <c r="U14" i="3"/>
  <c r="V14" i="3"/>
  <c r="W14" i="3"/>
  <c r="Q15" i="3"/>
  <c r="R15" i="3"/>
  <c r="S15" i="3"/>
  <c r="T15" i="3"/>
  <c r="U15" i="3"/>
  <c r="V15" i="3"/>
  <c r="W15" i="3"/>
  <c r="Q26" i="3"/>
  <c r="R26" i="3"/>
  <c r="S26" i="3"/>
  <c r="T26" i="3"/>
  <c r="U26" i="3"/>
  <c r="V26" i="3"/>
  <c r="W26" i="3"/>
  <c r="C91" i="20"/>
  <c r="D91" i="20"/>
  <c r="E91" i="20"/>
  <c r="F91" i="20"/>
  <c r="C92" i="20"/>
  <c r="D92" i="20"/>
  <c r="E92" i="20"/>
  <c r="F92" i="20"/>
  <c r="R12" i="20"/>
  <c r="S12" i="20" s="1"/>
  <c r="Q16" i="3"/>
  <c r="R16" i="3"/>
  <c r="S16" i="3"/>
  <c r="T16" i="3"/>
  <c r="U16" i="3"/>
  <c r="V16" i="3"/>
  <c r="W16" i="3"/>
  <c r="Q17" i="3"/>
  <c r="R17" i="3"/>
  <c r="S17" i="3"/>
  <c r="T17" i="3"/>
  <c r="U17" i="3"/>
  <c r="V17" i="3"/>
  <c r="W17" i="3"/>
  <c r="Q18" i="3"/>
  <c r="R18" i="3"/>
  <c r="S18" i="3"/>
  <c r="T18" i="3"/>
  <c r="U18" i="3"/>
  <c r="V18" i="3"/>
  <c r="W18" i="3"/>
  <c r="Q19" i="3"/>
  <c r="R19" i="3"/>
  <c r="S19" i="3"/>
  <c r="T19" i="3"/>
  <c r="U19" i="3"/>
  <c r="V19" i="3"/>
  <c r="W19" i="3"/>
  <c r="Q20" i="3"/>
  <c r="R20" i="3"/>
  <c r="S20" i="3"/>
  <c r="T20" i="3"/>
  <c r="U20" i="3"/>
  <c r="V20" i="3"/>
  <c r="W20" i="3"/>
  <c r="Q21" i="3"/>
  <c r="R21" i="3"/>
  <c r="S21" i="3"/>
  <c r="T21" i="3"/>
  <c r="U21" i="3"/>
  <c r="V21" i="3"/>
  <c r="W21" i="3"/>
  <c r="Q22" i="3"/>
  <c r="R22" i="3"/>
  <c r="S22" i="3"/>
  <c r="T22" i="3"/>
  <c r="U22" i="3"/>
  <c r="V22" i="3"/>
  <c r="W22" i="3"/>
  <c r="Q23" i="3"/>
  <c r="R23" i="3"/>
  <c r="S23" i="3"/>
  <c r="T23" i="3"/>
  <c r="U23" i="3"/>
  <c r="V23" i="3"/>
  <c r="W23" i="3"/>
  <c r="Q24" i="3"/>
  <c r="R24" i="3"/>
  <c r="S24" i="3"/>
  <c r="T24" i="3"/>
  <c r="U24" i="3"/>
  <c r="V24" i="3"/>
  <c r="W24" i="3"/>
  <c r="Q25" i="3"/>
  <c r="R25" i="3"/>
  <c r="S25" i="3"/>
  <c r="T25" i="3"/>
  <c r="U25" i="3"/>
  <c r="V25" i="3"/>
  <c r="W25" i="3"/>
  <c r="Q27" i="3"/>
  <c r="R27" i="3"/>
  <c r="S27" i="3"/>
  <c r="T27" i="3"/>
  <c r="U27" i="3"/>
  <c r="V27" i="3"/>
  <c r="W27" i="3"/>
  <c r="Q28" i="3"/>
  <c r="R28" i="3"/>
  <c r="S28" i="3"/>
  <c r="T28" i="3"/>
  <c r="U28" i="3"/>
  <c r="V28" i="3"/>
  <c r="W28" i="3"/>
  <c r="Q29" i="3"/>
  <c r="R29" i="3"/>
  <c r="S29" i="3"/>
  <c r="T29" i="3"/>
  <c r="U29" i="3"/>
  <c r="V29" i="3"/>
  <c r="W29" i="3"/>
  <c r="Q30" i="3"/>
  <c r="R30" i="3"/>
  <c r="S30" i="3"/>
  <c r="T30" i="3"/>
  <c r="U30" i="3"/>
  <c r="V30" i="3"/>
  <c r="W30" i="3"/>
  <c r="Q31" i="3"/>
  <c r="R31" i="3"/>
  <c r="S31" i="3"/>
  <c r="T31" i="3"/>
  <c r="U31" i="3"/>
  <c r="V31" i="3"/>
  <c r="W31" i="3"/>
  <c r="Q32" i="3"/>
  <c r="R32" i="3"/>
  <c r="S32" i="3"/>
  <c r="T32" i="3"/>
  <c r="U32" i="3"/>
  <c r="V32" i="3"/>
  <c r="W32" i="3"/>
  <c r="Q33" i="3"/>
  <c r="R33" i="3"/>
  <c r="S33" i="3"/>
  <c r="T33" i="3"/>
  <c r="U33" i="3"/>
  <c r="V33" i="3"/>
  <c r="W33" i="3"/>
  <c r="Q34" i="3"/>
  <c r="R34" i="3"/>
  <c r="S34" i="3"/>
  <c r="T34" i="3"/>
  <c r="U34" i="3"/>
  <c r="V34" i="3"/>
  <c r="W34" i="3"/>
  <c r="Q35" i="3"/>
  <c r="R35" i="3"/>
  <c r="S35" i="3"/>
  <c r="T35" i="3"/>
  <c r="U35" i="3"/>
  <c r="V35" i="3"/>
  <c r="W35" i="3"/>
  <c r="Q36" i="3"/>
  <c r="R36" i="3"/>
  <c r="S36" i="3"/>
  <c r="T36" i="3"/>
  <c r="U36" i="3"/>
  <c r="V36" i="3"/>
  <c r="W36" i="3"/>
  <c r="Q37" i="3"/>
  <c r="R37" i="3"/>
  <c r="S37" i="3"/>
  <c r="T37" i="3"/>
  <c r="U37" i="3"/>
  <c r="V37" i="3"/>
  <c r="W37" i="3"/>
  <c r="Q38" i="3"/>
  <c r="R38" i="3"/>
  <c r="S38" i="3"/>
  <c r="T38" i="3"/>
  <c r="U38" i="3"/>
  <c r="V38" i="3"/>
  <c r="W38" i="3"/>
  <c r="Q39" i="3"/>
  <c r="R39" i="3"/>
  <c r="S39" i="3"/>
  <c r="T39" i="3"/>
  <c r="U39" i="3"/>
  <c r="V39" i="3"/>
  <c r="W39" i="3"/>
  <c r="Q40" i="3"/>
  <c r="R40" i="3"/>
  <c r="S40" i="3"/>
  <c r="T40" i="3"/>
  <c r="U40" i="3"/>
  <c r="V40" i="3"/>
  <c r="W40" i="3"/>
  <c r="Q41" i="3"/>
  <c r="R41" i="3"/>
  <c r="S41" i="3"/>
  <c r="T41" i="3"/>
  <c r="U41" i="3"/>
  <c r="V41" i="3"/>
  <c r="W41" i="3"/>
  <c r="Q42" i="3"/>
  <c r="R42" i="3"/>
  <c r="S42" i="3"/>
  <c r="T42" i="3"/>
  <c r="U42" i="3"/>
  <c r="V42" i="3"/>
  <c r="W42" i="3"/>
  <c r="Q43" i="3"/>
  <c r="R43" i="3"/>
  <c r="S43" i="3"/>
  <c r="T43" i="3"/>
  <c r="U43" i="3"/>
  <c r="V43" i="3"/>
  <c r="W43" i="3"/>
  <c r="Q44" i="3"/>
  <c r="R44" i="3"/>
  <c r="S44" i="3"/>
  <c r="T44" i="3"/>
  <c r="U44" i="3"/>
  <c r="V44" i="3"/>
  <c r="W44" i="3"/>
  <c r="Q45" i="3"/>
  <c r="R45" i="3"/>
  <c r="S45" i="3"/>
  <c r="T45" i="3"/>
  <c r="U45" i="3"/>
  <c r="V45" i="3"/>
  <c r="W45" i="3"/>
  <c r="Q46" i="3"/>
  <c r="R46" i="3"/>
  <c r="S46" i="3"/>
  <c r="T46" i="3"/>
  <c r="U46" i="3"/>
  <c r="V46" i="3"/>
  <c r="W46" i="3"/>
  <c r="Q47" i="3"/>
  <c r="R47" i="3"/>
  <c r="S47" i="3"/>
  <c r="T47" i="3"/>
  <c r="U47" i="3"/>
  <c r="V47" i="3"/>
  <c r="W47" i="3"/>
  <c r="Q48" i="3"/>
  <c r="R48" i="3"/>
  <c r="S48" i="3"/>
  <c r="T48" i="3"/>
  <c r="U48" i="3"/>
  <c r="V48" i="3"/>
  <c r="W48" i="3"/>
  <c r="Q49" i="3"/>
  <c r="R49" i="3"/>
  <c r="S49" i="3"/>
  <c r="T49" i="3"/>
  <c r="U49" i="3"/>
  <c r="V49" i="3"/>
  <c r="W49" i="3"/>
  <c r="Q50" i="3"/>
  <c r="R50" i="3"/>
  <c r="S50" i="3"/>
  <c r="T50" i="3"/>
  <c r="U50" i="3"/>
  <c r="V50" i="3"/>
  <c r="W50" i="3"/>
  <c r="Q51" i="3"/>
  <c r="R51" i="3"/>
  <c r="S51" i="3"/>
  <c r="T51" i="3"/>
  <c r="U51" i="3"/>
  <c r="V51" i="3"/>
  <c r="W51" i="3"/>
  <c r="Q52" i="3"/>
  <c r="R52" i="3"/>
  <c r="S52" i="3"/>
  <c r="T52" i="3"/>
  <c r="U52" i="3"/>
  <c r="V52" i="3"/>
  <c r="W52" i="3"/>
  <c r="Q53" i="3"/>
  <c r="R53" i="3"/>
  <c r="S53" i="3"/>
  <c r="T53" i="3"/>
  <c r="U53" i="3"/>
  <c r="V53" i="3"/>
  <c r="W53" i="3"/>
  <c r="Q54" i="3"/>
  <c r="R54" i="3"/>
  <c r="S54" i="3"/>
  <c r="T54" i="3"/>
  <c r="U54" i="3"/>
  <c r="V54" i="3"/>
  <c r="W54" i="3"/>
  <c r="Q55" i="3"/>
  <c r="R55" i="3"/>
  <c r="S55" i="3"/>
  <c r="T55" i="3"/>
  <c r="U55" i="3"/>
  <c r="V55" i="3"/>
  <c r="W55" i="3"/>
  <c r="Q56" i="3"/>
  <c r="R56" i="3"/>
  <c r="S56" i="3"/>
  <c r="T56" i="3"/>
  <c r="U56" i="3"/>
  <c r="V56" i="3"/>
  <c r="W56" i="3"/>
  <c r="Q57" i="3"/>
  <c r="R57" i="3"/>
  <c r="S57" i="3"/>
  <c r="T57" i="3"/>
  <c r="U57" i="3"/>
  <c r="V57" i="3"/>
  <c r="W57" i="3"/>
  <c r="Q58" i="3"/>
  <c r="R58" i="3"/>
  <c r="S58" i="3"/>
  <c r="T58" i="3"/>
  <c r="U58" i="3"/>
  <c r="V58" i="3"/>
  <c r="W58" i="3"/>
  <c r="Q59" i="3"/>
  <c r="R59" i="3"/>
  <c r="S59" i="3"/>
  <c r="T59" i="3"/>
  <c r="U59" i="3"/>
  <c r="V59" i="3"/>
  <c r="W59" i="3"/>
  <c r="Q60" i="3"/>
  <c r="R60" i="3"/>
  <c r="S60" i="3"/>
  <c r="T60" i="3"/>
  <c r="U60" i="3"/>
  <c r="V60" i="3"/>
  <c r="W60" i="3"/>
  <c r="Q61" i="3"/>
  <c r="R61" i="3"/>
  <c r="S61" i="3"/>
  <c r="T61" i="3"/>
  <c r="U61" i="3"/>
  <c r="V61" i="3"/>
  <c r="W61" i="3"/>
  <c r="Q62" i="3"/>
  <c r="R62" i="3"/>
  <c r="S62" i="3"/>
  <c r="T62" i="3"/>
  <c r="U62" i="3"/>
  <c r="V62" i="3"/>
  <c r="W62" i="3"/>
  <c r="Q63" i="3"/>
  <c r="R63" i="3"/>
  <c r="S63" i="3"/>
  <c r="T63" i="3"/>
  <c r="U63" i="3"/>
  <c r="V63" i="3"/>
  <c r="W63" i="3"/>
  <c r="Q64" i="3"/>
  <c r="R64" i="3"/>
  <c r="S64" i="3"/>
  <c r="T64" i="3"/>
  <c r="U64" i="3"/>
  <c r="V64" i="3"/>
  <c r="W64" i="3"/>
  <c r="Q65" i="3"/>
  <c r="R65" i="3"/>
  <c r="S65" i="3"/>
  <c r="T65" i="3"/>
  <c r="U65" i="3"/>
  <c r="V65" i="3"/>
  <c r="W65" i="3"/>
  <c r="Q66" i="3"/>
  <c r="R66" i="3"/>
  <c r="S66" i="3"/>
  <c r="T66" i="3"/>
  <c r="U66" i="3"/>
  <c r="V66" i="3"/>
  <c r="W66" i="3"/>
  <c r="Q67" i="3"/>
  <c r="R67" i="3"/>
  <c r="S67" i="3"/>
  <c r="T67" i="3"/>
  <c r="U67" i="3"/>
  <c r="V67" i="3"/>
  <c r="W67" i="3"/>
  <c r="Q68" i="3"/>
  <c r="R68" i="3"/>
  <c r="S68" i="3"/>
  <c r="T68" i="3"/>
  <c r="U68" i="3"/>
  <c r="V68" i="3"/>
  <c r="W68" i="3"/>
  <c r="Q69" i="3"/>
  <c r="R69" i="3"/>
  <c r="S69" i="3"/>
  <c r="T69" i="3"/>
  <c r="U69" i="3"/>
  <c r="V69" i="3"/>
  <c r="W69" i="3"/>
  <c r="Q70" i="3"/>
  <c r="R70" i="3"/>
  <c r="S70" i="3"/>
  <c r="T70" i="3"/>
  <c r="U70" i="3"/>
  <c r="V70" i="3"/>
  <c r="W70" i="3"/>
  <c r="Q71" i="3"/>
  <c r="R71" i="3"/>
  <c r="S71" i="3"/>
  <c r="T71" i="3"/>
  <c r="U71" i="3"/>
  <c r="V71" i="3"/>
  <c r="W71" i="3"/>
  <c r="Q72" i="3"/>
  <c r="R72" i="3"/>
  <c r="S72" i="3"/>
  <c r="T72" i="3"/>
  <c r="U72" i="3"/>
  <c r="V72" i="3"/>
  <c r="W72" i="3"/>
  <c r="Q73" i="3"/>
  <c r="R73" i="3"/>
  <c r="S73" i="3"/>
  <c r="T73" i="3"/>
  <c r="U73" i="3"/>
  <c r="V73" i="3"/>
  <c r="W73" i="3"/>
  <c r="Q74" i="3"/>
  <c r="R74" i="3"/>
  <c r="S74" i="3"/>
  <c r="T74" i="3"/>
  <c r="U74" i="3"/>
  <c r="V74" i="3"/>
  <c r="W74" i="3"/>
  <c r="Q75" i="3"/>
  <c r="R75" i="3"/>
  <c r="S75" i="3"/>
  <c r="T75" i="3"/>
  <c r="U75" i="3"/>
  <c r="V75" i="3"/>
  <c r="W75" i="3"/>
  <c r="Q76" i="3"/>
  <c r="R76" i="3"/>
  <c r="S76" i="3"/>
  <c r="T76" i="3"/>
  <c r="U76" i="3"/>
  <c r="V76" i="3"/>
  <c r="W76" i="3"/>
  <c r="Q77" i="3"/>
  <c r="R77" i="3"/>
  <c r="S77" i="3"/>
  <c r="T77" i="3"/>
  <c r="U77" i="3"/>
  <c r="V77" i="3"/>
  <c r="W77" i="3"/>
  <c r="Q78" i="3"/>
  <c r="R78" i="3"/>
  <c r="S78" i="3"/>
  <c r="T78" i="3"/>
  <c r="U78" i="3"/>
  <c r="V78" i="3"/>
  <c r="W78" i="3"/>
  <c r="Q79" i="3"/>
  <c r="R79" i="3"/>
  <c r="S79" i="3"/>
  <c r="T79" i="3"/>
  <c r="U79" i="3"/>
  <c r="V79" i="3"/>
  <c r="W79" i="3"/>
  <c r="Q80" i="3"/>
  <c r="R80" i="3"/>
  <c r="S80" i="3"/>
  <c r="T80" i="3"/>
  <c r="U80" i="3"/>
  <c r="V80" i="3"/>
  <c r="W80" i="3"/>
  <c r="Q81" i="3"/>
  <c r="R81" i="3"/>
  <c r="S81" i="3"/>
  <c r="T81" i="3"/>
  <c r="U81" i="3"/>
  <c r="V81" i="3"/>
  <c r="W81" i="3"/>
  <c r="Q82" i="3"/>
  <c r="R82" i="3"/>
  <c r="S82" i="3"/>
  <c r="T82" i="3"/>
  <c r="U82" i="3"/>
  <c r="V82" i="3"/>
  <c r="W82" i="3"/>
  <c r="Q83" i="3"/>
  <c r="R83" i="3"/>
  <c r="S83" i="3"/>
  <c r="T83" i="3"/>
  <c r="U83" i="3"/>
  <c r="V83" i="3"/>
  <c r="W83" i="3"/>
  <c r="Q84" i="3"/>
  <c r="R84" i="3"/>
  <c r="S84" i="3"/>
  <c r="T84" i="3"/>
  <c r="U84" i="3"/>
  <c r="V84" i="3"/>
  <c r="W84" i="3"/>
  <c r="Q85" i="3"/>
  <c r="R85" i="3"/>
  <c r="S85" i="3"/>
  <c r="T85" i="3"/>
  <c r="U85" i="3"/>
  <c r="V85" i="3"/>
  <c r="W85" i="3"/>
  <c r="Q86" i="3"/>
  <c r="R86" i="3"/>
  <c r="S86" i="3"/>
  <c r="T86" i="3"/>
  <c r="U86" i="3"/>
  <c r="V86" i="3"/>
  <c r="W86" i="3"/>
  <c r="Q87" i="3"/>
  <c r="R87" i="3"/>
  <c r="S87" i="3"/>
  <c r="T87" i="3"/>
  <c r="U87" i="3"/>
  <c r="V87" i="3"/>
  <c r="W87" i="3"/>
  <c r="Q88" i="3"/>
  <c r="R88" i="3"/>
  <c r="S88" i="3"/>
  <c r="T88" i="3"/>
  <c r="U88" i="3"/>
  <c r="V88" i="3"/>
  <c r="W88" i="3"/>
  <c r="J91" i="20"/>
  <c r="K91" i="20" s="1"/>
  <c r="J92" i="20"/>
  <c r="K92" i="20" s="1"/>
  <c r="M23" i="1"/>
  <c r="K23" i="1"/>
  <c r="O22" i="1"/>
  <c r="P22" i="1" s="1"/>
  <c r="M22" i="1"/>
  <c r="K22" i="1"/>
  <c r="R21" i="20"/>
  <c r="S21" i="20" s="1"/>
  <c r="P21" i="20"/>
  <c r="N21" i="20"/>
  <c r="R20" i="20"/>
  <c r="S20" i="20" s="1"/>
  <c r="P20" i="20"/>
  <c r="N20" i="20"/>
  <c r="G55" i="12"/>
  <c r="H95" i="12"/>
  <c r="G53" i="12"/>
  <c r="I53" i="12" s="1"/>
  <c r="I57" i="12"/>
  <c r="G56" i="12"/>
  <c r="I56" i="12" s="1"/>
  <c r="G49" i="12"/>
  <c r="I49" i="12" s="1"/>
  <c r="G46" i="12"/>
  <c r="I46" i="12" s="1"/>
  <c r="G39" i="12"/>
  <c r="I39" i="12" s="1"/>
  <c r="G37" i="12"/>
  <c r="I37" i="12" s="1"/>
  <c r="G30" i="12"/>
  <c r="I30" i="12" s="1"/>
  <c r="I29" i="12"/>
  <c r="I24" i="12"/>
  <c r="I19" i="12"/>
  <c r="G17" i="12"/>
  <c r="I17" i="12" s="1"/>
  <c r="G16" i="12"/>
  <c r="I16" i="12" s="1"/>
  <c r="G15" i="12"/>
  <c r="I15" i="12" s="1"/>
  <c r="G13" i="12"/>
  <c r="I13" i="12" s="1"/>
  <c r="G14" i="12"/>
  <c r="I14" i="12" s="1"/>
  <c r="I28" i="12"/>
  <c r="I40" i="12"/>
  <c r="I43" i="12"/>
  <c r="I54" i="12"/>
  <c r="I60" i="12"/>
  <c r="I65" i="12"/>
  <c r="I66" i="12"/>
  <c r="I71" i="12"/>
  <c r="I79" i="12"/>
  <c r="I81" i="12"/>
  <c r="I84" i="12"/>
  <c r="I87" i="12"/>
  <c r="I89" i="12"/>
  <c r="I62" i="12"/>
  <c r="I64" i="12"/>
  <c r="I70" i="12"/>
  <c r="I80" i="12"/>
  <c r="I88" i="12"/>
  <c r="I45" i="12"/>
  <c r="I61" i="12"/>
  <c r="I85" i="12"/>
  <c r="I44" i="12"/>
  <c r="I93" i="12"/>
  <c r="I86" i="12"/>
  <c r="I35" i="12"/>
  <c r="I92" i="12"/>
  <c r="D6" i="13"/>
  <c r="H6" i="13" s="1"/>
  <c r="I26" i="12"/>
  <c r="I27" i="12"/>
  <c r="I50" i="12"/>
  <c r="I59" i="12"/>
  <c r="I67" i="12"/>
  <c r="I73" i="12"/>
  <c r="I75" i="12"/>
  <c r="I83" i="12"/>
  <c r="I91" i="12"/>
  <c r="R11" i="20"/>
  <c r="S11" i="20" s="1"/>
  <c r="W9" i="3"/>
  <c r="V9" i="3"/>
  <c r="U9" i="3"/>
  <c r="T9" i="3"/>
  <c r="S9" i="3"/>
  <c r="R9" i="3"/>
  <c r="Q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F44" i="3"/>
  <c r="L44" i="3"/>
  <c r="P44" i="3"/>
  <c r="F45" i="3"/>
  <c r="L45" i="3"/>
  <c r="P45" i="3"/>
  <c r="F46" i="3"/>
  <c r="L46" i="3"/>
  <c r="P46" i="3"/>
  <c r="F47" i="3"/>
  <c r="L47" i="3"/>
  <c r="P47" i="3"/>
  <c r="F48" i="3"/>
  <c r="L48" i="3"/>
  <c r="P48" i="3"/>
  <c r="F49" i="3"/>
  <c r="L49" i="3"/>
  <c r="P49" i="3"/>
  <c r="F50" i="3"/>
  <c r="L50" i="3"/>
  <c r="P50" i="3"/>
  <c r="F51" i="3"/>
  <c r="L51" i="3"/>
  <c r="P51" i="3"/>
  <c r="F52" i="3"/>
  <c r="L52" i="3"/>
  <c r="P52" i="3"/>
  <c r="F53" i="3"/>
  <c r="L53" i="3"/>
  <c r="P53" i="3"/>
  <c r="F54" i="3"/>
  <c r="L54" i="3"/>
  <c r="P54" i="3"/>
  <c r="F55" i="3"/>
  <c r="L55" i="3"/>
  <c r="P55" i="3"/>
  <c r="F56" i="3"/>
  <c r="L56" i="3"/>
  <c r="P56" i="3"/>
  <c r="F57" i="3"/>
  <c r="L57" i="3"/>
  <c r="P57" i="3"/>
  <c r="F58" i="3"/>
  <c r="L58" i="3"/>
  <c r="P58" i="3"/>
  <c r="F59" i="3"/>
  <c r="L59" i="3"/>
  <c r="P59" i="3"/>
  <c r="F60" i="3"/>
  <c r="L60" i="3"/>
  <c r="P60" i="3"/>
  <c r="F61" i="3"/>
  <c r="L61" i="3"/>
  <c r="P61" i="3"/>
  <c r="F62" i="3"/>
  <c r="L62" i="3"/>
  <c r="P62" i="3"/>
  <c r="F63" i="3"/>
  <c r="L63" i="3"/>
  <c r="P63" i="3"/>
  <c r="F64" i="3"/>
  <c r="L64" i="3"/>
  <c r="P64" i="3"/>
  <c r="F65" i="3"/>
  <c r="L65" i="3"/>
  <c r="P65" i="3"/>
  <c r="F66" i="3"/>
  <c r="L66" i="3"/>
  <c r="P66" i="3"/>
  <c r="F67" i="3"/>
  <c r="L67" i="3"/>
  <c r="P67" i="3"/>
  <c r="F68" i="3"/>
  <c r="L68" i="3"/>
  <c r="P68" i="3"/>
  <c r="F69" i="3"/>
  <c r="L69" i="3"/>
  <c r="P69" i="3"/>
  <c r="F70" i="3"/>
  <c r="L70" i="3"/>
  <c r="P70" i="3"/>
  <c r="F71" i="3"/>
  <c r="L71" i="3"/>
  <c r="P71" i="3"/>
  <c r="F72" i="3"/>
  <c r="L72" i="3"/>
  <c r="P72" i="3"/>
  <c r="F73" i="3"/>
  <c r="L73" i="3"/>
  <c r="P73" i="3"/>
  <c r="F74" i="3"/>
  <c r="L74" i="3"/>
  <c r="P74" i="3"/>
  <c r="F75" i="3"/>
  <c r="L75" i="3"/>
  <c r="P75" i="3"/>
  <c r="F76" i="3"/>
  <c r="L76" i="3"/>
  <c r="P76" i="3"/>
  <c r="F77" i="3"/>
  <c r="L77" i="3"/>
  <c r="P77" i="3"/>
  <c r="F78" i="3"/>
  <c r="L78" i="3"/>
  <c r="P78" i="3"/>
  <c r="F79" i="3"/>
  <c r="L79" i="3"/>
  <c r="P79" i="3"/>
  <c r="F80" i="3"/>
  <c r="L80" i="3"/>
  <c r="P80" i="3"/>
  <c r="F81" i="3"/>
  <c r="L81" i="3"/>
  <c r="P81" i="3"/>
  <c r="F82" i="3"/>
  <c r="L82" i="3"/>
  <c r="P82" i="3"/>
  <c r="F83" i="3"/>
  <c r="L83" i="3"/>
  <c r="P83" i="3"/>
  <c r="F84" i="3"/>
  <c r="L84" i="3"/>
  <c r="P84" i="3"/>
  <c r="F85" i="3"/>
  <c r="L85" i="3"/>
  <c r="P85" i="3"/>
  <c r="F86" i="3"/>
  <c r="L86" i="3"/>
  <c r="P86" i="3"/>
  <c r="F87" i="3"/>
  <c r="L87" i="3"/>
  <c r="P87" i="3"/>
  <c r="F88" i="3"/>
  <c r="L88" i="3"/>
  <c r="P88" i="3"/>
  <c r="A9" i="3"/>
  <c r="N48" i="20"/>
  <c r="P48" i="20"/>
  <c r="R48" i="20"/>
  <c r="S48" i="20" s="1"/>
  <c r="N49" i="20"/>
  <c r="P49" i="20"/>
  <c r="R49" i="20"/>
  <c r="S49" i="20" s="1"/>
  <c r="N50" i="20"/>
  <c r="P50" i="20"/>
  <c r="R50" i="20"/>
  <c r="S50" i="20" s="1"/>
  <c r="N51" i="20"/>
  <c r="P51" i="20"/>
  <c r="R51" i="20"/>
  <c r="S51" i="20" s="1"/>
  <c r="N52" i="20"/>
  <c r="P52" i="20"/>
  <c r="R52" i="20"/>
  <c r="S52" i="20" s="1"/>
  <c r="N53" i="20"/>
  <c r="P53" i="20"/>
  <c r="R53" i="20"/>
  <c r="S53" i="20" s="1"/>
  <c r="N54" i="20"/>
  <c r="P54" i="20"/>
  <c r="R54" i="20"/>
  <c r="S54" i="20" s="1"/>
  <c r="N55" i="20"/>
  <c r="P55" i="20"/>
  <c r="R55" i="20"/>
  <c r="S55" i="20" s="1"/>
  <c r="N56" i="20"/>
  <c r="P56" i="20"/>
  <c r="R56" i="20"/>
  <c r="S56" i="20" s="1"/>
  <c r="N57" i="20"/>
  <c r="P57" i="20"/>
  <c r="R57" i="20"/>
  <c r="S57" i="20" s="1"/>
  <c r="N58" i="20"/>
  <c r="P58" i="20"/>
  <c r="R58" i="20"/>
  <c r="S58" i="20" s="1"/>
  <c r="N59" i="20"/>
  <c r="P59" i="20"/>
  <c r="R59" i="20"/>
  <c r="S59" i="20" s="1"/>
  <c r="N60" i="20"/>
  <c r="P60" i="20"/>
  <c r="R60" i="20"/>
  <c r="S60" i="20" s="1"/>
  <c r="N61" i="20"/>
  <c r="P61" i="20"/>
  <c r="R61" i="20"/>
  <c r="S61" i="20" s="1"/>
  <c r="N62" i="20"/>
  <c r="P62" i="20"/>
  <c r="R62" i="20"/>
  <c r="S62" i="20" s="1"/>
  <c r="N63" i="20"/>
  <c r="P63" i="20"/>
  <c r="R63" i="20"/>
  <c r="S63" i="20" s="1"/>
  <c r="N64" i="20"/>
  <c r="P64" i="20"/>
  <c r="R64" i="20"/>
  <c r="S64" i="20" s="1"/>
  <c r="N65" i="20"/>
  <c r="P65" i="20"/>
  <c r="R65" i="20"/>
  <c r="S65" i="20" s="1"/>
  <c r="N66" i="20"/>
  <c r="P66" i="20"/>
  <c r="R66" i="20"/>
  <c r="S66" i="20" s="1"/>
  <c r="N67" i="20"/>
  <c r="P67" i="20"/>
  <c r="R67" i="20"/>
  <c r="S67" i="20" s="1"/>
  <c r="N68" i="20"/>
  <c r="P68" i="20"/>
  <c r="R68" i="20"/>
  <c r="S68" i="20" s="1"/>
  <c r="N69" i="20"/>
  <c r="P69" i="20"/>
  <c r="R69" i="20"/>
  <c r="S69" i="20" s="1"/>
  <c r="N70" i="20"/>
  <c r="P70" i="20"/>
  <c r="R70" i="20"/>
  <c r="S70" i="20" s="1"/>
  <c r="N71" i="20"/>
  <c r="P71" i="20"/>
  <c r="R71" i="20"/>
  <c r="S71" i="20" s="1"/>
  <c r="N72" i="20"/>
  <c r="P72" i="20"/>
  <c r="R72" i="20"/>
  <c r="S72" i="20" s="1"/>
  <c r="N73" i="20"/>
  <c r="P73" i="20"/>
  <c r="R73" i="20"/>
  <c r="S73" i="20" s="1"/>
  <c r="N74" i="20"/>
  <c r="P74" i="20"/>
  <c r="R74" i="20"/>
  <c r="S74" i="20" s="1"/>
  <c r="N75" i="20"/>
  <c r="P75" i="20"/>
  <c r="R75" i="20"/>
  <c r="S75" i="20" s="1"/>
  <c r="N76" i="20"/>
  <c r="P76" i="20"/>
  <c r="R76" i="20"/>
  <c r="S76" i="20" s="1"/>
  <c r="N77" i="20"/>
  <c r="P77" i="20"/>
  <c r="R77" i="20"/>
  <c r="S77" i="20" s="1"/>
  <c r="N78" i="20"/>
  <c r="P78" i="20"/>
  <c r="R78" i="20"/>
  <c r="S78" i="20" s="1"/>
  <c r="N79" i="20"/>
  <c r="P79" i="20"/>
  <c r="R79" i="20"/>
  <c r="S79" i="20" s="1"/>
  <c r="N80" i="20"/>
  <c r="P80" i="20"/>
  <c r="R80" i="20"/>
  <c r="S80" i="20" s="1"/>
  <c r="N81" i="20"/>
  <c r="P81" i="20"/>
  <c r="R81" i="20"/>
  <c r="S81" i="20" s="1"/>
  <c r="N82" i="20"/>
  <c r="P82" i="20"/>
  <c r="R82" i="20"/>
  <c r="S82" i="20" s="1"/>
  <c r="N83" i="20"/>
  <c r="P83" i="20"/>
  <c r="R83" i="20"/>
  <c r="S83" i="20" s="1"/>
  <c r="N84" i="20"/>
  <c r="P84" i="20"/>
  <c r="R84" i="20"/>
  <c r="S84" i="20" s="1"/>
  <c r="N85" i="20"/>
  <c r="P85" i="20"/>
  <c r="R85" i="20"/>
  <c r="S85" i="20" s="1"/>
  <c r="N86" i="20"/>
  <c r="P86" i="20"/>
  <c r="R86" i="20"/>
  <c r="S86" i="20" s="1"/>
  <c r="N87" i="20"/>
  <c r="P87" i="20"/>
  <c r="R87" i="20"/>
  <c r="S87" i="20" s="1"/>
  <c r="N88" i="20"/>
  <c r="P88" i="20"/>
  <c r="R88" i="20"/>
  <c r="S88" i="20" s="1"/>
  <c r="N89" i="20"/>
  <c r="P89" i="20"/>
  <c r="R89" i="20"/>
  <c r="S89" i="20" s="1"/>
  <c r="N90" i="20"/>
  <c r="P90" i="20"/>
  <c r="R90" i="20"/>
  <c r="S90" i="20" s="1"/>
  <c r="N91" i="20"/>
  <c r="P91" i="20"/>
  <c r="R91" i="20"/>
  <c r="S91" i="20" s="1"/>
  <c r="N92" i="20"/>
  <c r="P92" i="20"/>
  <c r="R92" i="20"/>
  <c r="S92" i="20" s="1"/>
  <c r="P33" i="3"/>
  <c r="L33" i="3"/>
  <c r="F33" i="3"/>
  <c r="P32" i="3"/>
  <c r="L32" i="3"/>
  <c r="F32" i="3"/>
  <c r="P31" i="3"/>
  <c r="L31" i="3"/>
  <c r="F31" i="3"/>
  <c r="P30" i="3"/>
  <c r="L30" i="3"/>
  <c r="F30" i="3"/>
  <c r="P29" i="3"/>
  <c r="P28" i="3"/>
  <c r="P27" i="3"/>
  <c r="P26" i="3"/>
  <c r="P25" i="3"/>
  <c r="P24" i="3"/>
  <c r="P17" i="3"/>
  <c r="P16" i="3"/>
  <c r="P15" i="3"/>
  <c r="P14" i="3"/>
  <c r="P13" i="3"/>
  <c r="P12" i="3"/>
  <c r="P11" i="3"/>
  <c r="P10" i="3"/>
  <c r="P35" i="3"/>
  <c r="L35" i="3"/>
  <c r="F35" i="3"/>
  <c r="P34" i="3"/>
  <c r="L34" i="3"/>
  <c r="F34" i="3"/>
  <c r="P23" i="3"/>
  <c r="P22" i="3"/>
  <c r="P21" i="3"/>
  <c r="P20" i="3"/>
  <c r="P19" i="3"/>
  <c r="P18" i="3"/>
  <c r="P43" i="3"/>
  <c r="L43" i="3"/>
  <c r="F43" i="3"/>
  <c r="P42" i="3"/>
  <c r="L42" i="3"/>
  <c r="F42" i="3"/>
  <c r="P41" i="3"/>
  <c r="L41" i="3"/>
  <c r="F41" i="3"/>
  <c r="P40" i="3"/>
  <c r="L40" i="3"/>
  <c r="F40" i="3"/>
  <c r="P39" i="3"/>
  <c r="L39" i="3"/>
  <c r="F39" i="3"/>
  <c r="P38" i="3"/>
  <c r="L38" i="3"/>
  <c r="F38" i="3"/>
  <c r="P37" i="3"/>
  <c r="L37" i="3"/>
  <c r="F37" i="3"/>
  <c r="P36" i="3"/>
  <c r="L36" i="3"/>
  <c r="F36" i="3"/>
  <c r="P9" i="3"/>
  <c r="N47" i="20"/>
  <c r="P47" i="20"/>
  <c r="R47" i="20"/>
  <c r="S47" i="20" s="1"/>
  <c r="N46" i="20"/>
  <c r="P46" i="20"/>
  <c r="R46" i="20"/>
  <c r="S46" i="20" s="1"/>
  <c r="N45" i="20"/>
  <c r="P45" i="20"/>
  <c r="R45" i="20"/>
  <c r="S45" i="20" s="1"/>
  <c r="N44" i="20"/>
  <c r="P44" i="20"/>
  <c r="R44" i="20"/>
  <c r="S44" i="20" s="1"/>
  <c r="N43" i="20"/>
  <c r="P43" i="20"/>
  <c r="R43" i="20"/>
  <c r="S43" i="20" s="1"/>
  <c r="N42" i="20"/>
  <c r="P42" i="20"/>
  <c r="R42" i="20"/>
  <c r="S42" i="20" s="1"/>
  <c r="N41" i="20"/>
  <c r="P41" i="20"/>
  <c r="R41" i="20"/>
  <c r="S41" i="20" s="1"/>
  <c r="N40" i="20"/>
  <c r="P40" i="20"/>
  <c r="R40" i="20"/>
  <c r="S40" i="20" s="1"/>
  <c r="N39" i="20"/>
  <c r="P39" i="20"/>
  <c r="R39" i="20"/>
  <c r="S39" i="20" s="1"/>
  <c r="N38" i="20"/>
  <c r="P38" i="20"/>
  <c r="R38" i="20"/>
  <c r="S38" i="20" s="1"/>
  <c r="N37" i="20"/>
  <c r="P37" i="20"/>
  <c r="R37" i="20"/>
  <c r="S37" i="20" s="1"/>
  <c r="N36" i="20"/>
  <c r="P36" i="20"/>
  <c r="R36" i="20"/>
  <c r="S36" i="20" s="1"/>
  <c r="N35" i="20"/>
  <c r="P35" i="20"/>
  <c r="R35" i="20"/>
  <c r="S35" i="20" s="1"/>
  <c r="N34" i="20"/>
  <c r="P34" i="20"/>
  <c r="R34" i="20"/>
  <c r="S34" i="20" s="1"/>
  <c r="N33" i="20"/>
  <c r="P33" i="20"/>
  <c r="R33" i="20"/>
  <c r="S33" i="20" s="1"/>
  <c r="N32" i="20"/>
  <c r="P32" i="20"/>
  <c r="R32" i="20"/>
  <c r="S32" i="20" s="1"/>
  <c r="N31" i="20"/>
  <c r="P31" i="20"/>
  <c r="R31" i="20"/>
  <c r="S31" i="20" s="1"/>
  <c r="N30" i="20"/>
  <c r="P30" i="20"/>
  <c r="R30" i="20"/>
  <c r="S30" i="20" s="1"/>
  <c r="N29" i="20"/>
  <c r="P29" i="20"/>
  <c r="R29" i="20"/>
  <c r="S29" i="20" s="1"/>
  <c r="N28" i="20"/>
  <c r="P28" i="20"/>
  <c r="R28" i="20"/>
  <c r="S28" i="20" s="1"/>
  <c r="N27" i="20"/>
  <c r="P27" i="20"/>
  <c r="R27" i="20"/>
  <c r="S27" i="20" s="1"/>
  <c r="N26" i="20"/>
  <c r="P26" i="20"/>
  <c r="R26" i="20"/>
  <c r="S26" i="20" s="1"/>
  <c r="N25" i="20"/>
  <c r="P25" i="20"/>
  <c r="R25" i="20"/>
  <c r="S25" i="20" s="1"/>
  <c r="N24" i="20"/>
  <c r="P24" i="20"/>
  <c r="R24" i="20"/>
  <c r="S24" i="20" s="1"/>
  <c r="N23" i="20"/>
  <c r="P23" i="20"/>
  <c r="R23" i="20"/>
  <c r="S23" i="20" s="1"/>
  <c r="N22" i="20"/>
  <c r="P22" i="20"/>
  <c r="R22" i="20"/>
  <c r="S22" i="20" s="1"/>
  <c r="N19" i="20"/>
  <c r="P19" i="20"/>
  <c r="R19" i="20"/>
  <c r="S19" i="20" s="1"/>
  <c r="N18" i="20"/>
  <c r="P18" i="20"/>
  <c r="R18" i="20"/>
  <c r="S18" i="20" s="1"/>
  <c r="N17" i="20"/>
  <c r="P17" i="20"/>
  <c r="R17" i="20"/>
  <c r="S17" i="20" s="1"/>
  <c r="N16" i="20"/>
  <c r="P16" i="20"/>
  <c r="R16" i="20"/>
  <c r="S16" i="20" s="1"/>
  <c r="N15" i="20"/>
  <c r="P15" i="20"/>
  <c r="R15" i="20"/>
  <c r="S15" i="20" s="1"/>
  <c r="N14" i="20"/>
  <c r="P14" i="20"/>
  <c r="R14" i="20"/>
  <c r="S14" i="20" s="1"/>
  <c r="N13" i="20"/>
  <c r="P13" i="20"/>
  <c r="R13" i="20"/>
  <c r="S13" i="20" s="1"/>
  <c r="N12" i="20"/>
  <c r="P12" i="20"/>
  <c r="N11" i="20"/>
  <c r="P11" i="20"/>
  <c r="D33" i="13"/>
  <c r="B18" i="13"/>
  <c r="E18" i="13"/>
  <c r="I42" i="12"/>
  <c r="I51" i="12"/>
  <c r="I63" i="12"/>
  <c r="I68" i="12"/>
  <c r="I69" i="12"/>
  <c r="I72" i="12"/>
  <c r="I74" i="12"/>
  <c r="I76" i="12"/>
  <c r="I77" i="12"/>
  <c r="I78" i="12"/>
  <c r="I82" i="12"/>
  <c r="I90" i="12"/>
  <c r="I94" i="12"/>
  <c r="G9" i="13"/>
  <c r="D9" i="13"/>
  <c r="D7" i="13"/>
  <c r="G7" i="13"/>
  <c r="D8" i="13"/>
  <c r="D10" i="13"/>
  <c r="D11" i="13"/>
  <c r="D12" i="13"/>
  <c r="G12" i="13"/>
  <c r="D13" i="13"/>
  <c r="G13" i="13"/>
  <c r="D14" i="13"/>
  <c r="D15" i="13"/>
  <c r="D16" i="13"/>
  <c r="G16" i="13"/>
  <c r="D17" i="13"/>
  <c r="G8" i="13"/>
  <c r="G10" i="13"/>
  <c r="G11" i="13"/>
  <c r="G14" i="13"/>
  <c r="G15" i="13"/>
  <c r="G17" i="13"/>
  <c r="G18" i="12"/>
  <c r="I18" i="12" s="1"/>
  <c r="I20" i="12"/>
  <c r="I21" i="12"/>
  <c r="I23" i="12"/>
  <c r="K13" i="1"/>
  <c r="M13" i="1"/>
  <c r="O13" i="1"/>
  <c r="P13" i="1" s="1"/>
  <c r="K12" i="1"/>
  <c r="Q12" i="1" s="1"/>
  <c r="M12" i="1"/>
  <c r="K14" i="1"/>
  <c r="Q14" i="1" s="1"/>
  <c r="M14" i="1"/>
  <c r="K15" i="1"/>
  <c r="M15" i="1"/>
  <c r="K16" i="1"/>
  <c r="M16" i="1"/>
  <c r="K17" i="1"/>
  <c r="Q17" i="1" s="1"/>
  <c r="M17" i="1"/>
  <c r="K18" i="1"/>
  <c r="Q18" i="1" s="1"/>
  <c r="M18" i="1"/>
  <c r="K19" i="1"/>
  <c r="Q19" i="1" s="1"/>
  <c r="M19" i="1"/>
  <c r="K20" i="1"/>
  <c r="O20" i="1"/>
  <c r="P20" i="1" s="1"/>
  <c r="K21" i="1"/>
  <c r="M21" i="1"/>
  <c r="O21" i="1"/>
  <c r="P21" i="1" s="1"/>
  <c r="K24" i="1"/>
  <c r="M24" i="1"/>
  <c r="K25" i="1"/>
  <c r="M25" i="1"/>
  <c r="P25" i="1"/>
  <c r="K26" i="1"/>
  <c r="M26" i="1"/>
  <c r="K27" i="1"/>
  <c r="M27" i="1"/>
  <c r="K28" i="1"/>
  <c r="M28" i="1"/>
  <c r="O28" i="1"/>
  <c r="P28" i="1" s="1"/>
  <c r="K29" i="1"/>
  <c r="M29" i="1"/>
  <c r="O29" i="1"/>
  <c r="P29" i="1" s="1"/>
  <c r="K30" i="1"/>
  <c r="M30" i="1"/>
  <c r="O30" i="1"/>
  <c r="P30" i="1" s="1"/>
  <c r="K31" i="1"/>
  <c r="M31" i="1"/>
  <c r="O31" i="1"/>
  <c r="P31" i="1" s="1"/>
  <c r="K32" i="1"/>
  <c r="M32" i="1"/>
  <c r="O32" i="1"/>
  <c r="P32" i="1" s="1"/>
  <c r="K33" i="1"/>
  <c r="M33" i="1"/>
  <c r="O33" i="1"/>
  <c r="P33" i="1" s="1"/>
  <c r="K34" i="1"/>
  <c r="M34" i="1"/>
  <c r="O34" i="1"/>
  <c r="P34" i="1" s="1"/>
  <c r="K35" i="1"/>
  <c r="M35" i="1"/>
  <c r="O35" i="1"/>
  <c r="P35" i="1" s="1"/>
  <c r="J39" i="13"/>
  <c r="K39" i="13" s="1"/>
  <c r="M39" i="13" s="1"/>
  <c r="N39" i="13" s="1"/>
  <c r="J41" i="13"/>
  <c r="K41" i="13" s="1"/>
  <c r="M41" i="13" s="1"/>
  <c r="N41" i="13" s="1"/>
  <c r="J40" i="13"/>
  <c r="K40" i="13" s="1"/>
  <c r="M40" i="13" s="1"/>
  <c r="N40" i="13" s="1"/>
  <c r="J42" i="13"/>
  <c r="K42" i="13" s="1"/>
  <c r="M42" i="13" s="1"/>
  <c r="N42" i="13" s="1"/>
  <c r="Y9" i="3" l="1"/>
  <c r="D11" i="20" s="1"/>
  <c r="D12" i="1" s="1"/>
  <c r="AA67" i="3"/>
  <c r="F69" i="20" s="1"/>
  <c r="X58" i="3"/>
  <c r="C60" i="20" s="1"/>
  <c r="AA34" i="3"/>
  <c r="F36" i="20" s="1"/>
  <c r="Y66" i="3"/>
  <c r="D68" i="20" s="1"/>
  <c r="H8" i="13"/>
  <c r="X87" i="3"/>
  <c r="C89" i="20" s="1"/>
  <c r="Z83" i="3"/>
  <c r="E85" i="20" s="1"/>
  <c r="Z79" i="3"/>
  <c r="E81" i="20" s="1"/>
  <c r="X71" i="3"/>
  <c r="C73" i="20" s="1"/>
  <c r="Z67" i="3"/>
  <c r="E69" i="20" s="1"/>
  <c r="Y47" i="3"/>
  <c r="D49" i="20" s="1"/>
  <c r="Z33" i="3"/>
  <c r="E35" i="20" s="1"/>
  <c r="AA31" i="3"/>
  <c r="F33" i="20" s="1"/>
  <c r="F34" i="1" s="1"/>
  <c r="X88" i="3"/>
  <c r="C90" i="20" s="1"/>
  <c r="X85" i="3"/>
  <c r="C87" i="20" s="1"/>
  <c r="Z81" i="3"/>
  <c r="E83" i="20" s="1"/>
  <c r="AA78" i="3"/>
  <c r="F80" i="20" s="1"/>
  <c r="AA72" i="3"/>
  <c r="F74" i="20" s="1"/>
  <c r="AA49" i="3"/>
  <c r="F51" i="20" s="1"/>
  <c r="Y65" i="3"/>
  <c r="D67" i="20" s="1"/>
  <c r="Z61" i="3"/>
  <c r="E63" i="20" s="1"/>
  <c r="X56" i="3"/>
  <c r="C58" i="20" s="1"/>
  <c r="Y54" i="3"/>
  <c r="D56" i="20" s="1"/>
  <c r="Z53" i="3"/>
  <c r="E55" i="20" s="1"/>
  <c r="AA52" i="3"/>
  <c r="F54" i="20" s="1"/>
  <c r="X46" i="3"/>
  <c r="C48" i="20" s="1"/>
  <c r="Y45" i="3"/>
  <c r="D47" i="20" s="1"/>
  <c r="X42" i="3"/>
  <c r="C44" i="20" s="1"/>
  <c r="X41" i="3"/>
  <c r="C43" i="20" s="1"/>
  <c r="X74" i="3"/>
  <c r="C76" i="20" s="1"/>
  <c r="X45" i="3"/>
  <c r="C47" i="20" s="1"/>
  <c r="X81" i="3"/>
  <c r="C83" i="20" s="1"/>
  <c r="Z87" i="3"/>
  <c r="E89" i="20" s="1"/>
  <c r="X53" i="3"/>
  <c r="C55" i="20" s="1"/>
  <c r="AA88" i="3"/>
  <c r="F90" i="20" s="1"/>
  <c r="Z52" i="3"/>
  <c r="E54" i="20" s="1"/>
  <c r="Y46" i="3"/>
  <c r="D48" i="20" s="1"/>
  <c r="Y41" i="3"/>
  <c r="D43" i="20" s="1"/>
  <c r="H14" i="13"/>
  <c r="Y87" i="3"/>
  <c r="D89" i="20" s="1"/>
  <c r="Y86" i="3"/>
  <c r="D88" i="20" s="1"/>
  <c r="Z84" i="3"/>
  <c r="E86" i="20" s="1"/>
  <c r="Y83" i="3"/>
  <c r="D85" i="20" s="1"/>
  <c r="Y81" i="3"/>
  <c r="D83" i="20" s="1"/>
  <c r="Y80" i="3"/>
  <c r="D82" i="20" s="1"/>
  <c r="X79" i="3"/>
  <c r="C81" i="20" s="1"/>
  <c r="Y76" i="3"/>
  <c r="D78" i="20" s="1"/>
  <c r="Y75" i="3"/>
  <c r="D77" i="20" s="1"/>
  <c r="Z73" i="3"/>
  <c r="E75" i="20" s="1"/>
  <c r="Z72" i="3"/>
  <c r="E74" i="20" s="1"/>
  <c r="AA71" i="3"/>
  <c r="F73" i="20" s="1"/>
  <c r="AA66" i="3"/>
  <c r="F68" i="20" s="1"/>
  <c r="Z64" i="3"/>
  <c r="E66" i="20" s="1"/>
  <c r="Z63" i="3"/>
  <c r="E65" i="20" s="1"/>
  <c r="Y62" i="3"/>
  <c r="D64" i="20" s="1"/>
  <c r="Y61" i="3"/>
  <c r="D63" i="20" s="1"/>
  <c r="Y60" i="3"/>
  <c r="D62" i="20" s="1"/>
  <c r="Y59" i="3"/>
  <c r="D61" i="20" s="1"/>
  <c r="AA57" i="3"/>
  <c r="F59" i="20" s="1"/>
  <c r="AA56" i="3"/>
  <c r="F58" i="20" s="1"/>
  <c r="Y55" i="3"/>
  <c r="D57" i="20" s="1"/>
  <c r="Y53" i="3"/>
  <c r="D55" i="20" s="1"/>
  <c r="X52" i="3"/>
  <c r="C54" i="20" s="1"/>
  <c r="AA51" i="3"/>
  <c r="F53" i="20" s="1"/>
  <c r="X47" i="3"/>
  <c r="C49" i="20" s="1"/>
  <c r="AA46" i="3"/>
  <c r="F48" i="20" s="1"/>
  <c r="Y43" i="3"/>
  <c r="D45" i="20" s="1"/>
  <c r="Y42" i="3"/>
  <c r="D44" i="20" s="1"/>
  <c r="AA41" i="3"/>
  <c r="F43" i="20" s="1"/>
  <c r="AA39" i="3"/>
  <c r="F41" i="20" s="1"/>
  <c r="Y38" i="3"/>
  <c r="D40" i="20" s="1"/>
  <c r="X35" i="3"/>
  <c r="C37" i="20" s="1"/>
  <c r="X34" i="3"/>
  <c r="C36" i="20" s="1"/>
  <c r="Z32" i="3"/>
  <c r="E34" i="20" s="1"/>
  <c r="E35" i="1" s="1"/>
  <c r="Y31" i="3"/>
  <c r="D33" i="20" s="1"/>
  <c r="D34" i="1" s="1"/>
  <c r="AA30" i="3"/>
  <c r="F32" i="20" s="1"/>
  <c r="F33" i="1" s="1"/>
  <c r="X29" i="3"/>
  <c r="C31" i="20" s="1"/>
  <c r="C32" i="1" s="1"/>
  <c r="AA28" i="3"/>
  <c r="F30" i="20" s="1"/>
  <c r="F31" i="1" s="1"/>
  <c r="AA27" i="3"/>
  <c r="F29" i="20" s="1"/>
  <c r="F30" i="1" s="1"/>
  <c r="X21" i="3"/>
  <c r="C23" i="20" s="1"/>
  <c r="C24" i="1" s="1"/>
  <c r="Z16" i="3"/>
  <c r="E18" i="20" s="1"/>
  <c r="E19" i="1" s="1"/>
  <c r="G92" i="20"/>
  <c r="H92" i="20" s="1"/>
  <c r="I92" i="20" s="1"/>
  <c r="L92" i="20" s="1"/>
  <c r="T92" i="20" s="1"/>
  <c r="U92" i="20" s="1"/>
  <c r="G91" i="20"/>
  <c r="H91" i="20" s="1"/>
  <c r="I91" i="20" s="1"/>
  <c r="L91" i="20" s="1"/>
  <c r="T91" i="20" s="1"/>
  <c r="U91" i="20" s="1"/>
  <c r="AA11" i="3"/>
  <c r="F13" i="20" s="1"/>
  <c r="F14" i="1" s="1"/>
  <c r="Z88" i="3"/>
  <c r="E90" i="20" s="1"/>
  <c r="Z86" i="3"/>
  <c r="E88" i="20" s="1"/>
  <c r="Y85" i="3"/>
  <c r="D87" i="20" s="1"/>
  <c r="AA84" i="3"/>
  <c r="F86" i="20" s="1"/>
  <c r="Z82" i="3"/>
  <c r="E84" i="20" s="1"/>
  <c r="AA81" i="3"/>
  <c r="F83" i="20" s="1"/>
  <c r="Y78" i="3"/>
  <c r="D80" i="20" s="1"/>
  <c r="Z77" i="3"/>
  <c r="E79" i="20" s="1"/>
  <c r="Z74" i="3"/>
  <c r="E76" i="20" s="1"/>
  <c r="AA70" i="3"/>
  <c r="F72" i="20" s="1"/>
  <c r="Z69" i="3"/>
  <c r="E71" i="20" s="1"/>
  <c r="Y68" i="3"/>
  <c r="D70" i="20" s="1"/>
  <c r="X66" i="3"/>
  <c r="C68" i="20" s="1"/>
  <c r="Z65" i="3"/>
  <c r="E67" i="20" s="1"/>
  <c r="X64" i="3"/>
  <c r="C66" i="20" s="1"/>
  <c r="Z62" i="3"/>
  <c r="E64" i="20" s="1"/>
  <c r="X61" i="3"/>
  <c r="C63" i="20" s="1"/>
  <c r="X60" i="3"/>
  <c r="C62" i="20" s="1"/>
  <c r="Z58" i="3"/>
  <c r="E60" i="20" s="1"/>
  <c r="X57" i="3"/>
  <c r="C59" i="20" s="1"/>
  <c r="Z56" i="3"/>
  <c r="E58" i="20" s="1"/>
  <c r="AA54" i="3"/>
  <c r="F56" i="20" s="1"/>
  <c r="Y52" i="3"/>
  <c r="D54" i="20" s="1"/>
  <c r="Y49" i="3"/>
  <c r="D51" i="20" s="1"/>
  <c r="AA48" i="3"/>
  <c r="F50" i="20" s="1"/>
  <c r="AA45" i="3"/>
  <c r="F47" i="20" s="1"/>
  <c r="AA38" i="3"/>
  <c r="F40" i="20" s="1"/>
  <c r="Z37" i="3"/>
  <c r="E39" i="20" s="1"/>
  <c r="AA36" i="3"/>
  <c r="F38" i="20" s="1"/>
  <c r="Y34" i="3"/>
  <c r="D36" i="20" s="1"/>
  <c r="X33" i="3"/>
  <c r="Y30" i="3"/>
  <c r="D32" i="20" s="1"/>
  <c r="D33" i="1" s="1"/>
  <c r="X16" i="3"/>
  <c r="C18" i="20" s="1"/>
  <c r="C19" i="1" s="1"/>
  <c r="Z30" i="3"/>
  <c r="E32" i="20" s="1"/>
  <c r="E33" i="1" s="1"/>
  <c r="AA16" i="3"/>
  <c r="F18" i="20" s="1"/>
  <c r="F19" i="1" s="1"/>
  <c r="H16" i="13"/>
  <c r="Y32" i="3"/>
  <c r="D34" i="20" s="1"/>
  <c r="D35" i="1" s="1"/>
  <c r="Z47" i="3"/>
  <c r="E49" i="20" s="1"/>
  <c r="X63" i="3"/>
  <c r="C65" i="20" s="1"/>
  <c r="X43" i="3"/>
  <c r="C45" i="20" s="1"/>
  <c r="Z71" i="3"/>
  <c r="E73" i="20" s="1"/>
  <c r="Z35" i="3"/>
  <c r="E37" i="20" s="1"/>
  <c r="H10" i="13"/>
  <c r="B21" i="13"/>
  <c r="C32" i="13" s="1"/>
  <c r="E32" i="13" s="1"/>
  <c r="X44" i="3"/>
  <c r="C46" i="20" s="1"/>
  <c r="Y40" i="3"/>
  <c r="D42" i="20" s="1"/>
  <c r="X40" i="3"/>
  <c r="C42" i="20" s="1"/>
  <c r="AA75" i="3"/>
  <c r="F77" i="20" s="1"/>
  <c r="Y37" i="3"/>
  <c r="D39" i="20" s="1"/>
  <c r="Y82" i="3"/>
  <c r="D84" i="20" s="1"/>
  <c r="AA69" i="3"/>
  <c r="F71" i="20" s="1"/>
  <c r="Z31" i="3"/>
  <c r="E33" i="20" s="1"/>
  <c r="E34" i="1" s="1"/>
  <c r="AA32" i="3"/>
  <c r="F34" i="20" s="1"/>
  <c r="F35" i="1" s="1"/>
  <c r="Z34" i="3"/>
  <c r="E36" i="20" s="1"/>
  <c r="Z54" i="3"/>
  <c r="E56" i="20" s="1"/>
  <c r="AA59" i="3"/>
  <c r="F61" i="20" s="1"/>
  <c r="Z38" i="3"/>
  <c r="E40" i="20" s="1"/>
  <c r="Z44" i="3"/>
  <c r="E46" i="20" s="1"/>
  <c r="X70" i="3"/>
  <c r="C72" i="20" s="1"/>
  <c r="AA77" i="3"/>
  <c r="F79" i="20" s="1"/>
  <c r="AA85" i="3"/>
  <c r="F87" i="20" s="1"/>
  <c r="AA86" i="3"/>
  <c r="F88" i="20" s="1"/>
  <c r="Y58" i="3"/>
  <c r="D60" i="20" s="1"/>
  <c r="AA74" i="3"/>
  <c r="F76" i="20" s="1"/>
  <c r="X75" i="3"/>
  <c r="C77" i="20" s="1"/>
  <c r="AA82" i="3"/>
  <c r="F84" i="20" s="1"/>
  <c r="X84" i="3"/>
  <c r="C86" i="20" s="1"/>
  <c r="Z59" i="3"/>
  <c r="E61" i="20" s="1"/>
  <c r="Z49" i="3"/>
  <c r="E51" i="20" s="1"/>
  <c r="X36" i="3"/>
  <c r="C38" i="20" s="1"/>
  <c r="Y33" i="3"/>
  <c r="D35" i="20" s="1"/>
  <c r="H15" i="13"/>
  <c r="AA61" i="3"/>
  <c r="F63" i="20" s="1"/>
  <c r="Z41" i="3"/>
  <c r="E43" i="20" s="1"/>
  <c r="X37" i="3"/>
  <c r="C39" i="20" s="1"/>
  <c r="AA33" i="3"/>
  <c r="F35" i="20" s="1"/>
  <c r="Y11" i="3"/>
  <c r="D13" i="20" s="1"/>
  <c r="D14" i="1" s="1"/>
  <c r="Y63" i="3"/>
  <c r="D65" i="20" s="1"/>
  <c r="X51" i="3"/>
  <c r="C53" i="20" s="1"/>
  <c r="X39" i="3"/>
  <c r="C41" i="20" s="1"/>
  <c r="H13" i="13"/>
  <c r="Y36" i="3"/>
  <c r="D38" i="20" s="1"/>
  <c r="Y79" i="3"/>
  <c r="D81" i="20" s="1"/>
  <c r="Z43" i="3"/>
  <c r="E45" i="20" s="1"/>
  <c r="Z85" i="3"/>
  <c r="E87" i="20" s="1"/>
  <c r="X31" i="3"/>
  <c r="C33" i="20" s="1"/>
  <c r="C34" i="1" s="1"/>
  <c r="X32" i="3"/>
  <c r="C34" i="20" s="1"/>
  <c r="C35" i="1" s="1"/>
  <c r="Z39" i="3"/>
  <c r="E41" i="20" s="1"/>
  <c r="AA63" i="3"/>
  <c r="F65" i="20" s="1"/>
  <c r="AA37" i="3"/>
  <c r="F39" i="20" s="1"/>
  <c r="Z40" i="3"/>
  <c r="E42" i="20" s="1"/>
  <c r="Y84" i="3"/>
  <c r="D86" i="20" s="1"/>
  <c r="X65" i="3"/>
  <c r="C67" i="20" s="1"/>
  <c r="Z36" i="3"/>
  <c r="E38" i="20" s="1"/>
  <c r="Y35" i="3"/>
  <c r="D37" i="20" s="1"/>
  <c r="Z42" i="3"/>
  <c r="E44" i="20" s="1"/>
  <c r="X38" i="3"/>
  <c r="C40" i="20" s="1"/>
  <c r="Z13" i="3"/>
  <c r="E15" i="20" s="1"/>
  <c r="E16" i="1" s="1"/>
  <c r="AA22" i="3"/>
  <c r="F24" i="20" s="1"/>
  <c r="F25" i="1" s="1"/>
  <c r="Y19" i="3"/>
  <c r="D21" i="20" s="1"/>
  <c r="D22" i="1" s="1"/>
  <c r="Z19" i="3"/>
  <c r="E21" i="20" s="1"/>
  <c r="E22" i="1" s="1"/>
  <c r="AA19" i="3"/>
  <c r="F21" i="20" s="1"/>
  <c r="F22" i="1" s="1"/>
  <c r="Y18" i="3"/>
  <c r="D20" i="20" s="1"/>
  <c r="D21" i="1" s="1"/>
  <c r="Y17" i="3"/>
  <c r="D19" i="20" s="1"/>
  <c r="D20" i="1" s="1"/>
  <c r="Z29" i="3"/>
  <c r="E31" i="20" s="1"/>
  <c r="E32" i="1" s="1"/>
  <c r="Y28" i="3"/>
  <c r="D30" i="20" s="1"/>
  <c r="D31" i="1" s="1"/>
  <c r="Y29" i="3"/>
  <c r="D31" i="20" s="1"/>
  <c r="Z24" i="3"/>
  <c r="E26" i="20" s="1"/>
  <c r="E27" i="1" s="1"/>
  <c r="Z27" i="3"/>
  <c r="E29" i="20" s="1"/>
  <c r="E30" i="1" s="1"/>
  <c r="AA25" i="3"/>
  <c r="F27" i="20" s="1"/>
  <c r="F28" i="1" s="1"/>
  <c r="Y24" i="3"/>
  <c r="D26" i="20" s="1"/>
  <c r="D27" i="1" s="1"/>
  <c r="Z18" i="3"/>
  <c r="E20" i="20" s="1"/>
  <c r="E21" i="1" s="1"/>
  <c r="Z17" i="3"/>
  <c r="E19" i="20" s="1"/>
  <c r="E20" i="1" s="1"/>
  <c r="Z26" i="3"/>
  <c r="E28" i="20" s="1"/>
  <c r="E29" i="1" s="1"/>
  <c r="X24" i="3"/>
  <c r="C26" i="20" s="1"/>
  <c r="C27" i="1" s="1"/>
  <c r="Y25" i="3"/>
  <c r="D27" i="20" s="1"/>
  <c r="D28" i="1" s="1"/>
  <c r="H11" i="13"/>
  <c r="AA80" i="3"/>
  <c r="F82" i="20" s="1"/>
  <c r="Z78" i="3"/>
  <c r="E80" i="20" s="1"/>
  <c r="Y77" i="3"/>
  <c r="D79" i="20" s="1"/>
  <c r="Z76" i="3"/>
  <c r="E78" i="20" s="1"/>
  <c r="Y74" i="3"/>
  <c r="D76" i="20" s="1"/>
  <c r="Y73" i="3"/>
  <c r="D75" i="20" s="1"/>
  <c r="Y72" i="3"/>
  <c r="D74" i="20" s="1"/>
  <c r="Z70" i="3"/>
  <c r="E72" i="20" s="1"/>
  <c r="AA68" i="3"/>
  <c r="F70" i="20" s="1"/>
  <c r="X67" i="3"/>
  <c r="C69" i="20" s="1"/>
  <c r="Z66" i="3"/>
  <c r="AA65" i="3"/>
  <c r="AA64" i="3"/>
  <c r="F66" i="20" s="1"/>
  <c r="X62" i="3"/>
  <c r="C64" i="20" s="1"/>
  <c r="Z60" i="3"/>
  <c r="E62" i="20" s="1"/>
  <c r="X55" i="3"/>
  <c r="C57" i="20" s="1"/>
  <c r="AA53" i="3"/>
  <c r="F55" i="20" s="1"/>
  <c r="AA43" i="3"/>
  <c r="F45" i="20" s="1"/>
  <c r="AA42" i="3"/>
  <c r="F44" i="20" s="1"/>
  <c r="AA40" i="3"/>
  <c r="F42" i="20" s="1"/>
  <c r="Y39" i="3"/>
  <c r="D41" i="20" s="1"/>
  <c r="AA29" i="3"/>
  <c r="F31" i="20" s="1"/>
  <c r="F32" i="1" s="1"/>
  <c r="H9" i="13"/>
  <c r="X30" i="3"/>
  <c r="X11" i="3"/>
  <c r="C13" i="20" s="1"/>
  <c r="C14" i="1" s="1"/>
  <c r="E36" i="13"/>
  <c r="H36" i="13" s="1"/>
  <c r="E38" i="13"/>
  <c r="F38" i="13" s="1"/>
  <c r="H12" i="13"/>
  <c r="E35" i="13"/>
  <c r="D18" i="13"/>
  <c r="G34" i="12"/>
  <c r="I34" i="12" s="1"/>
  <c r="G48" i="12"/>
  <c r="I48" i="12" s="1"/>
  <c r="G31" i="12"/>
  <c r="I31" i="12" s="1"/>
  <c r="G33" i="12"/>
  <c r="I33" i="12" s="1"/>
  <c r="G38" i="12"/>
  <c r="I38" i="12" s="1"/>
  <c r="G41" i="12"/>
  <c r="I41" i="12" s="1"/>
  <c r="G32" i="12"/>
  <c r="I32" i="12" s="1"/>
  <c r="G47" i="12"/>
  <c r="I47" i="12" s="1"/>
  <c r="G36" i="12"/>
  <c r="I36" i="12" s="1"/>
  <c r="G52" i="12"/>
  <c r="I52" i="12" s="1"/>
  <c r="G22" i="12"/>
  <c r="I22" i="12" s="1"/>
  <c r="E37" i="13"/>
  <c r="AA21" i="3"/>
  <c r="F23" i="20" s="1"/>
  <c r="F24" i="1" s="1"/>
  <c r="Y21" i="3"/>
  <c r="D23" i="20" s="1"/>
  <c r="Z21" i="3"/>
  <c r="E23" i="20" s="1"/>
  <c r="E24" i="1" s="1"/>
  <c r="Y20" i="3"/>
  <c r="D22" i="20" s="1"/>
  <c r="D23" i="1" s="1"/>
  <c r="X20" i="3"/>
  <c r="AA20" i="3"/>
  <c r="F22" i="20" s="1"/>
  <c r="F23" i="1" s="1"/>
  <c r="Z20" i="3"/>
  <c r="E22" i="20" s="1"/>
  <c r="E23" i="1" s="1"/>
  <c r="X12" i="3"/>
  <c r="Y12" i="3"/>
  <c r="D14" i="20" s="1"/>
  <c r="D15" i="1" s="1"/>
  <c r="AA12" i="3"/>
  <c r="F14" i="20" s="1"/>
  <c r="F15" i="1" s="1"/>
  <c r="Z12" i="3"/>
  <c r="E14" i="20" s="1"/>
  <c r="E15" i="1" s="1"/>
  <c r="I55" i="12"/>
  <c r="X14" i="3"/>
  <c r="AA14" i="3"/>
  <c r="F16" i="20" s="1"/>
  <c r="F17" i="1" s="1"/>
  <c r="Y14" i="3"/>
  <c r="D16" i="20" s="1"/>
  <c r="D17" i="1" s="1"/>
  <c r="Z14" i="3"/>
  <c r="E16" i="20" s="1"/>
  <c r="E17" i="1" s="1"/>
  <c r="X9" i="3"/>
  <c r="Z9" i="3"/>
  <c r="E11" i="20" s="1"/>
  <c r="E12" i="1" s="1"/>
  <c r="AA9" i="3"/>
  <c r="F11" i="20" s="1"/>
  <c r="F12" i="1" s="1"/>
  <c r="G18" i="13"/>
  <c r="X78" i="3"/>
  <c r="Y70" i="3"/>
  <c r="D72" i="20" s="1"/>
  <c r="AA62" i="3"/>
  <c r="F64" i="20" s="1"/>
  <c r="H17" i="13"/>
  <c r="Y88" i="3"/>
  <c r="AA87" i="3"/>
  <c r="F89" i="20" s="1"/>
  <c r="X86" i="3"/>
  <c r="X83" i="3"/>
  <c r="AA83" i="3"/>
  <c r="F85" i="20" s="1"/>
  <c r="X50" i="3"/>
  <c r="Y50" i="3"/>
  <c r="D52" i="20" s="1"/>
  <c r="Z50" i="3"/>
  <c r="E52" i="20" s="1"/>
  <c r="AA50" i="3"/>
  <c r="F52" i="20" s="1"/>
  <c r="AA47" i="3"/>
  <c r="F49" i="20" s="1"/>
  <c r="Z22" i="3"/>
  <c r="E24" i="20" s="1"/>
  <c r="E25" i="1" s="1"/>
  <c r="X22" i="3"/>
  <c r="Y22" i="3"/>
  <c r="D24" i="20" s="1"/>
  <c r="D25" i="1" s="1"/>
  <c r="Z80" i="3"/>
  <c r="E82" i="20" s="1"/>
  <c r="AA79" i="3"/>
  <c r="F81" i="20" s="1"/>
  <c r="X77" i="3"/>
  <c r="X76" i="3"/>
  <c r="AA76" i="3"/>
  <c r="F78" i="20" s="1"/>
  <c r="Z75" i="3"/>
  <c r="AA73" i="3"/>
  <c r="F75" i="20" s="1"/>
  <c r="X73" i="3"/>
  <c r="X72" i="3"/>
  <c r="Y71" i="3"/>
  <c r="D73" i="20" s="1"/>
  <c r="Y69" i="3"/>
  <c r="D71" i="20" s="1"/>
  <c r="X68" i="3"/>
  <c r="Z68" i="3"/>
  <c r="E70" i="20" s="1"/>
  <c r="Y67" i="3"/>
  <c r="D69" i="20" s="1"/>
  <c r="Y64" i="3"/>
  <c r="D66" i="20" s="1"/>
  <c r="AA60" i="3"/>
  <c r="F62" i="20" s="1"/>
  <c r="X59" i="3"/>
  <c r="AA58" i="3"/>
  <c r="F60" i="20" s="1"/>
  <c r="Z57" i="3"/>
  <c r="E59" i="20" s="1"/>
  <c r="Y57" i="3"/>
  <c r="Y56" i="3"/>
  <c r="D58" i="20" s="1"/>
  <c r="Z55" i="3"/>
  <c r="E57" i="20" s="1"/>
  <c r="AA55" i="3"/>
  <c r="F57" i="20" s="1"/>
  <c r="X54" i="3"/>
  <c r="Z51" i="3"/>
  <c r="E53" i="20" s="1"/>
  <c r="Y48" i="3"/>
  <c r="D50" i="20" s="1"/>
  <c r="Z48" i="3"/>
  <c r="E50" i="20" s="1"/>
  <c r="X48" i="3"/>
  <c r="AA44" i="3"/>
  <c r="F46" i="20" s="1"/>
  <c r="Y44" i="3"/>
  <c r="Y10" i="3"/>
  <c r="D12" i="20" s="1"/>
  <c r="D13" i="1" s="1"/>
  <c r="AA10" i="3"/>
  <c r="F12" i="20" s="1"/>
  <c r="F13" i="1" s="1"/>
  <c r="X10" i="3"/>
  <c r="Z10" i="3"/>
  <c r="E12" i="20" s="1"/>
  <c r="E13" i="1" s="1"/>
  <c r="X80" i="3"/>
  <c r="Y51" i="3"/>
  <c r="D53" i="20" s="1"/>
  <c r="Z45" i="3"/>
  <c r="E47" i="20" s="1"/>
  <c r="Z23" i="3"/>
  <c r="E25" i="20" s="1"/>
  <c r="E26" i="1" s="1"/>
  <c r="AA23" i="3"/>
  <c r="F25" i="20" s="1"/>
  <c r="F26" i="1" s="1"/>
  <c r="Y23" i="3"/>
  <c r="D25" i="20" s="1"/>
  <c r="D26" i="1" s="1"/>
  <c r="X18" i="3"/>
  <c r="AA18" i="3"/>
  <c r="F20" i="20" s="1"/>
  <c r="F21" i="1" s="1"/>
  <c r="H7" i="13"/>
  <c r="X82" i="3"/>
  <c r="X49" i="3"/>
  <c r="Z46" i="3"/>
  <c r="E48" i="20" s="1"/>
  <c r="X27" i="3"/>
  <c r="Y27" i="3"/>
  <c r="D29" i="20" s="1"/>
  <c r="D30" i="1" s="1"/>
  <c r="X23" i="3"/>
  <c r="X19" i="3"/>
  <c r="X15" i="3"/>
  <c r="Z15" i="3"/>
  <c r="E17" i="20" s="1"/>
  <c r="E18" i="1" s="1"/>
  <c r="AA15" i="3"/>
  <c r="F17" i="20" s="1"/>
  <c r="F18" i="1" s="1"/>
  <c r="Y15" i="3"/>
  <c r="D17" i="20" s="1"/>
  <c r="D18" i="1" s="1"/>
  <c r="X69" i="3"/>
  <c r="Z28" i="3"/>
  <c r="E30" i="20" s="1"/>
  <c r="E31" i="1" s="1"/>
  <c r="AA24" i="3"/>
  <c r="Y16" i="3"/>
  <c r="AA35" i="3"/>
  <c r="F37" i="20" s="1"/>
  <c r="X28" i="3"/>
  <c r="X25" i="3"/>
  <c r="Z25" i="3"/>
  <c r="E27" i="20" s="1"/>
  <c r="E28" i="1" s="1"/>
  <c r="X17" i="3"/>
  <c r="AA17" i="3"/>
  <c r="F19" i="20" s="1"/>
  <c r="F20" i="1" s="1"/>
  <c r="X26" i="3"/>
  <c r="AA26" i="3"/>
  <c r="F28" i="20" s="1"/>
  <c r="F29" i="1" s="1"/>
  <c r="Y26" i="3"/>
  <c r="D28" i="20" s="1"/>
  <c r="D29" i="1" s="1"/>
  <c r="Y13" i="3"/>
  <c r="D15" i="20" s="1"/>
  <c r="D16" i="1" s="1"/>
  <c r="AA13" i="3"/>
  <c r="F15" i="20" s="1"/>
  <c r="F16" i="1" s="1"/>
  <c r="X13" i="3"/>
  <c r="Z11" i="3"/>
  <c r="G36" i="13" l="1"/>
  <c r="G55" i="20"/>
  <c r="H55" i="20" s="1"/>
  <c r="I55" i="20" s="1"/>
  <c r="B53" i="3" s="1"/>
  <c r="G58" i="20"/>
  <c r="H58" i="20" s="1"/>
  <c r="I58" i="20" s="1"/>
  <c r="B56" i="3" s="1"/>
  <c r="G89" i="20"/>
  <c r="H89" i="20" s="1"/>
  <c r="I89" i="20" s="1"/>
  <c r="AB81" i="3"/>
  <c r="AC81" i="3" s="1"/>
  <c r="J83" i="20" s="1"/>
  <c r="K83" i="20" s="1"/>
  <c r="G86" i="20"/>
  <c r="H86" i="20" s="1"/>
  <c r="I86" i="20" s="1"/>
  <c r="B84" i="3" s="1"/>
  <c r="AB84" i="3"/>
  <c r="AC84" i="3" s="1"/>
  <c r="J86" i="20" s="1"/>
  <c r="K86" i="20" s="1"/>
  <c r="G35" i="1"/>
  <c r="H35" i="1" s="1"/>
  <c r="I35" i="1" s="1"/>
  <c r="Q35" i="1" s="1"/>
  <c r="AB32" i="3"/>
  <c r="AC32" i="3" s="1"/>
  <c r="J34" i="20" s="1"/>
  <c r="K34" i="20" s="1"/>
  <c r="G34" i="20"/>
  <c r="H34" i="20" s="1"/>
  <c r="I34" i="20" s="1"/>
  <c r="B32" i="3" s="1"/>
  <c r="G48" i="20"/>
  <c r="H48" i="20" s="1"/>
  <c r="I48" i="20" s="1"/>
  <c r="B46" i="3" s="1"/>
  <c r="G43" i="20"/>
  <c r="H43" i="20" s="1"/>
  <c r="I43" i="20" s="1"/>
  <c r="B41" i="3" s="1"/>
  <c r="G36" i="20"/>
  <c r="H36" i="20" s="1"/>
  <c r="I36" i="20" s="1"/>
  <c r="B34" i="3" s="1"/>
  <c r="G81" i="20"/>
  <c r="H81" i="20" s="1"/>
  <c r="I81" i="20" s="1"/>
  <c r="B79" i="3" s="1"/>
  <c r="AB33" i="3"/>
  <c r="AC33" i="3" s="1"/>
  <c r="J35" i="20" s="1"/>
  <c r="K35" i="20" s="1"/>
  <c r="C35" i="20"/>
  <c r="G35" i="20" s="1"/>
  <c r="H35" i="20" s="1"/>
  <c r="I35" i="20" s="1"/>
  <c r="B33" i="3" s="1"/>
  <c r="G76" i="20"/>
  <c r="H76" i="20" s="1"/>
  <c r="I76" i="20" s="1"/>
  <c r="B74" i="3" s="1"/>
  <c r="C33" i="13"/>
  <c r="E33" i="13" s="1"/>
  <c r="F33" i="13" s="1"/>
  <c r="G40" i="20"/>
  <c r="H40" i="20" s="1"/>
  <c r="I40" i="20" s="1"/>
  <c r="B38" i="3" s="1"/>
  <c r="AB74" i="3"/>
  <c r="AC74" i="3" s="1"/>
  <c r="J76" i="20" s="1"/>
  <c r="K76" i="20" s="1"/>
  <c r="G72" i="20"/>
  <c r="H72" i="20" s="1"/>
  <c r="I72" i="20" s="1"/>
  <c r="B70" i="3" s="1"/>
  <c r="AB31" i="3"/>
  <c r="AC31" i="3" s="1"/>
  <c r="J33" i="20" s="1"/>
  <c r="K33" i="20" s="1"/>
  <c r="G65" i="20"/>
  <c r="H65" i="20" s="1"/>
  <c r="I65" i="20" s="1"/>
  <c r="B63" i="3" s="1"/>
  <c r="G87" i="20"/>
  <c r="H87" i="20" s="1"/>
  <c r="I87" i="20" s="1"/>
  <c r="B85" i="3" s="1"/>
  <c r="G54" i="20"/>
  <c r="H54" i="20" s="1"/>
  <c r="I54" i="20" s="1"/>
  <c r="AB63" i="3"/>
  <c r="AC63" i="3" s="1"/>
  <c r="J65" i="20" s="1"/>
  <c r="K65" i="20" s="1"/>
  <c r="G41" i="20"/>
  <c r="H41" i="20" s="1"/>
  <c r="I41" i="20" s="1"/>
  <c r="B39" i="3" s="1"/>
  <c r="G39" i="20"/>
  <c r="H39" i="20" s="1"/>
  <c r="I39" i="20" s="1"/>
  <c r="B37" i="3" s="1"/>
  <c r="AB39" i="3"/>
  <c r="AC39" i="3" s="1"/>
  <c r="J41" i="20" s="1"/>
  <c r="K41" i="20" s="1"/>
  <c r="C34" i="13"/>
  <c r="E34" i="13" s="1"/>
  <c r="G34" i="13" s="1"/>
  <c r="AB37" i="3"/>
  <c r="AC37" i="3" s="1"/>
  <c r="J39" i="20" s="1"/>
  <c r="K39" i="20" s="1"/>
  <c r="AB52" i="3"/>
  <c r="AC52" i="3" s="1"/>
  <c r="J54" i="20" s="1"/>
  <c r="K54" i="20" s="1"/>
  <c r="G63" i="20"/>
  <c r="H63" i="20" s="1"/>
  <c r="I63" i="20" s="1"/>
  <c r="B61" i="3" s="1"/>
  <c r="AB38" i="3"/>
  <c r="AC38" i="3" s="1"/>
  <c r="J40" i="20" s="1"/>
  <c r="K40" i="20" s="1"/>
  <c r="AB61" i="3"/>
  <c r="AC61" i="3" s="1"/>
  <c r="J63" i="20" s="1"/>
  <c r="K63" i="20" s="1"/>
  <c r="G38" i="20"/>
  <c r="H38" i="20" s="1"/>
  <c r="I38" i="20" s="1"/>
  <c r="B36" i="3" s="1"/>
  <c r="G69" i="20"/>
  <c r="H69" i="20" s="1"/>
  <c r="I69" i="20" s="1"/>
  <c r="B67" i="3" s="1"/>
  <c r="AB41" i="3"/>
  <c r="AC41" i="3" s="1"/>
  <c r="J43" i="20" s="1"/>
  <c r="K43" i="20" s="1"/>
  <c r="G33" i="20"/>
  <c r="H33" i="20" s="1"/>
  <c r="I33" i="20" s="1"/>
  <c r="B31" i="3" s="1"/>
  <c r="G83" i="20"/>
  <c r="H83" i="20" s="1"/>
  <c r="I83" i="20" s="1"/>
  <c r="G42" i="20"/>
  <c r="H42" i="20" s="1"/>
  <c r="I42" i="20" s="1"/>
  <c r="G57" i="20"/>
  <c r="H57" i="20" s="1"/>
  <c r="I57" i="20" s="1"/>
  <c r="AB85" i="3"/>
  <c r="AC85" i="3" s="1"/>
  <c r="J87" i="20" s="1"/>
  <c r="K87" i="20" s="1"/>
  <c r="AB51" i="3"/>
  <c r="AC51" i="3" s="1"/>
  <c r="J53" i="20" s="1"/>
  <c r="K53" i="20" s="1"/>
  <c r="AB87" i="3"/>
  <c r="AC87" i="3" s="1"/>
  <c r="J89" i="20" s="1"/>
  <c r="K89" i="20" s="1"/>
  <c r="G49" i="20"/>
  <c r="H49" i="20" s="1"/>
  <c r="I49" i="20" s="1"/>
  <c r="B47" i="3" s="1"/>
  <c r="L86" i="20"/>
  <c r="T86" i="20" s="1"/>
  <c r="U86" i="20" s="1"/>
  <c r="AB56" i="3"/>
  <c r="AC56" i="3" s="1"/>
  <c r="J58" i="20" s="1"/>
  <c r="K58" i="20" s="1"/>
  <c r="AB34" i="3"/>
  <c r="AC34" i="3" s="1"/>
  <c r="J36" i="20" s="1"/>
  <c r="K36" i="20" s="1"/>
  <c r="AB36" i="3"/>
  <c r="AC36" i="3" s="1"/>
  <c r="J38" i="20" s="1"/>
  <c r="K38" i="20" s="1"/>
  <c r="H18" i="13"/>
  <c r="AB64" i="3"/>
  <c r="AC64" i="3" s="1"/>
  <c r="J66" i="20" s="1"/>
  <c r="K66" i="20" s="1"/>
  <c r="AB42" i="3"/>
  <c r="AC42" i="3" s="1"/>
  <c r="J44" i="20" s="1"/>
  <c r="K44" i="20" s="1"/>
  <c r="B22" i="13"/>
  <c r="C32" i="20"/>
  <c r="AB30" i="3"/>
  <c r="AC30" i="3" s="1"/>
  <c r="J32" i="20" s="1"/>
  <c r="K32" i="20" s="1"/>
  <c r="AB40" i="3"/>
  <c r="AC40" i="3" s="1"/>
  <c r="J42" i="20" s="1"/>
  <c r="K42" i="20" s="1"/>
  <c r="AB43" i="3"/>
  <c r="AC43" i="3" s="1"/>
  <c r="J45" i="20" s="1"/>
  <c r="K45" i="20" s="1"/>
  <c r="E68" i="20"/>
  <c r="G68" i="20" s="1"/>
  <c r="H68" i="20" s="1"/>
  <c r="I68" i="20" s="1"/>
  <c r="B66" i="3" s="1"/>
  <c r="AB66" i="3"/>
  <c r="AC66" i="3" s="1"/>
  <c r="J68" i="20" s="1"/>
  <c r="K68" i="20" s="1"/>
  <c r="AB35" i="3"/>
  <c r="AC35" i="3" s="1"/>
  <c r="J37" i="20" s="1"/>
  <c r="K37" i="20" s="1"/>
  <c r="AB21" i="3"/>
  <c r="AC21" i="3" s="1"/>
  <c r="J23" i="20" s="1"/>
  <c r="K23" i="20" s="1"/>
  <c r="G44" i="20"/>
  <c r="H44" i="20" s="1"/>
  <c r="I44" i="20" s="1"/>
  <c r="B42" i="3" s="1"/>
  <c r="AB29" i="3"/>
  <c r="AC29" i="3" s="1"/>
  <c r="J31" i="20" s="1"/>
  <c r="K31" i="20" s="1"/>
  <c r="F67" i="20"/>
  <c r="G67" i="20" s="1"/>
  <c r="H67" i="20" s="1"/>
  <c r="I67" i="20" s="1"/>
  <c r="AB65" i="3"/>
  <c r="AC65" i="3" s="1"/>
  <c r="J67" i="20" s="1"/>
  <c r="K67" i="20" s="1"/>
  <c r="AB53" i="3"/>
  <c r="AC53" i="3" s="1"/>
  <c r="J55" i="20" s="1"/>
  <c r="K55" i="20" s="1"/>
  <c r="L55" i="20" s="1"/>
  <c r="T55" i="20" s="1"/>
  <c r="U55" i="20" s="1"/>
  <c r="G45" i="20"/>
  <c r="H45" i="20" s="1"/>
  <c r="I45" i="20" s="1"/>
  <c r="F36" i="13"/>
  <c r="G38" i="13"/>
  <c r="H38" i="13"/>
  <c r="H35" i="13"/>
  <c r="G35" i="13"/>
  <c r="F35" i="13"/>
  <c r="I95" i="12"/>
  <c r="B87" i="3"/>
  <c r="C15" i="20"/>
  <c r="AB13" i="3"/>
  <c r="AC13" i="3" s="1"/>
  <c r="J15" i="20" s="1"/>
  <c r="K15" i="20" s="1"/>
  <c r="D18" i="20"/>
  <c r="AB16" i="3"/>
  <c r="AC16" i="3" s="1"/>
  <c r="J18" i="20" s="1"/>
  <c r="K18" i="20" s="1"/>
  <c r="C21" i="20"/>
  <c r="AB19" i="3"/>
  <c r="AC19" i="3" s="1"/>
  <c r="J21" i="20" s="1"/>
  <c r="K21" i="20" s="1"/>
  <c r="C50" i="20"/>
  <c r="G50" i="20" s="1"/>
  <c r="H50" i="20" s="1"/>
  <c r="I50" i="20" s="1"/>
  <c r="AB48" i="3"/>
  <c r="AC48" i="3" s="1"/>
  <c r="J50" i="20" s="1"/>
  <c r="K50" i="20" s="1"/>
  <c r="D59" i="20"/>
  <c r="G59" i="20" s="1"/>
  <c r="H59" i="20" s="1"/>
  <c r="I59" i="20" s="1"/>
  <c r="AB57" i="3"/>
  <c r="AC57" i="3" s="1"/>
  <c r="J59" i="20" s="1"/>
  <c r="K59" i="20" s="1"/>
  <c r="F32" i="13"/>
  <c r="H32" i="13"/>
  <c r="I31" i="13"/>
  <c r="J31" i="13" s="1"/>
  <c r="G32" i="13"/>
  <c r="C28" i="20"/>
  <c r="AB26" i="3"/>
  <c r="AC26" i="3" s="1"/>
  <c r="J28" i="20" s="1"/>
  <c r="K28" i="20" s="1"/>
  <c r="C27" i="20"/>
  <c r="AB25" i="3"/>
  <c r="AC25" i="3" s="1"/>
  <c r="J27" i="20" s="1"/>
  <c r="K27" i="20" s="1"/>
  <c r="F26" i="20"/>
  <c r="AB24" i="3"/>
  <c r="AC24" i="3" s="1"/>
  <c r="J26" i="20" s="1"/>
  <c r="K26" i="20" s="1"/>
  <c r="C25" i="20"/>
  <c r="AB23" i="3"/>
  <c r="AC23" i="3" s="1"/>
  <c r="J25" i="20" s="1"/>
  <c r="K25" i="20" s="1"/>
  <c r="C51" i="20"/>
  <c r="G51" i="20" s="1"/>
  <c r="H51" i="20" s="1"/>
  <c r="I51" i="20" s="1"/>
  <c r="AB49" i="3"/>
  <c r="AC49" i="3" s="1"/>
  <c r="J51" i="20" s="1"/>
  <c r="K51" i="20" s="1"/>
  <c r="C12" i="20"/>
  <c r="AB10" i="3"/>
  <c r="AC10" i="3" s="1"/>
  <c r="J12" i="20" s="1"/>
  <c r="K12" i="20" s="1"/>
  <c r="C74" i="20"/>
  <c r="G74" i="20" s="1"/>
  <c r="H74" i="20" s="1"/>
  <c r="I74" i="20" s="1"/>
  <c r="AB72" i="3"/>
  <c r="AC72" i="3" s="1"/>
  <c r="J74" i="20" s="1"/>
  <c r="K74" i="20" s="1"/>
  <c r="C52" i="20"/>
  <c r="G52" i="20" s="1"/>
  <c r="H52" i="20" s="1"/>
  <c r="I52" i="20" s="1"/>
  <c r="AB50" i="3"/>
  <c r="AC50" i="3" s="1"/>
  <c r="J52" i="20" s="1"/>
  <c r="K52" i="20" s="1"/>
  <c r="G37" i="20"/>
  <c r="H37" i="20" s="1"/>
  <c r="I37" i="20" s="1"/>
  <c r="G95" i="12"/>
  <c r="C14" i="20"/>
  <c r="AB12" i="3"/>
  <c r="AC12" i="3" s="1"/>
  <c r="J14" i="20" s="1"/>
  <c r="K14" i="20" s="1"/>
  <c r="AB45" i="3"/>
  <c r="AC45" i="3" s="1"/>
  <c r="J47" i="20" s="1"/>
  <c r="K47" i="20" s="1"/>
  <c r="G66" i="20"/>
  <c r="H66" i="20" s="1"/>
  <c r="I66" i="20" s="1"/>
  <c r="G53" i="20"/>
  <c r="H53" i="20" s="1"/>
  <c r="I53" i="20" s="1"/>
  <c r="H37" i="13"/>
  <c r="G37" i="13"/>
  <c r="F37" i="13"/>
  <c r="AB58" i="3"/>
  <c r="AC58" i="3" s="1"/>
  <c r="J60" i="20" s="1"/>
  <c r="K60" i="20" s="1"/>
  <c r="AB47" i="3"/>
  <c r="AC47" i="3" s="1"/>
  <c r="J49" i="20" s="1"/>
  <c r="K49" i="20" s="1"/>
  <c r="L49" i="20" s="1"/>
  <c r="T49" i="20" s="1"/>
  <c r="U49" i="20" s="1"/>
  <c r="C56" i="20"/>
  <c r="G56" i="20" s="1"/>
  <c r="H56" i="20" s="1"/>
  <c r="I56" i="20" s="1"/>
  <c r="AB54" i="3"/>
  <c r="AC54" i="3" s="1"/>
  <c r="J56" i="20" s="1"/>
  <c r="K56" i="20" s="1"/>
  <c r="AB46" i="3"/>
  <c r="AC46" i="3" s="1"/>
  <c r="J48" i="20" s="1"/>
  <c r="K48" i="20" s="1"/>
  <c r="L48" i="20" s="1"/>
  <c r="T48" i="20" s="1"/>
  <c r="U48" i="20" s="1"/>
  <c r="G73" i="20"/>
  <c r="H73" i="20" s="1"/>
  <c r="I73" i="20" s="1"/>
  <c r="C30" i="20"/>
  <c r="AB28" i="3"/>
  <c r="AC28" i="3" s="1"/>
  <c r="J30" i="20" s="1"/>
  <c r="K30" i="20" s="1"/>
  <c r="C84" i="20"/>
  <c r="G84" i="20" s="1"/>
  <c r="H84" i="20" s="1"/>
  <c r="I84" i="20" s="1"/>
  <c r="AB82" i="3"/>
  <c r="AC82" i="3" s="1"/>
  <c r="J84" i="20" s="1"/>
  <c r="K84" i="20" s="1"/>
  <c r="C82" i="20"/>
  <c r="G82" i="20" s="1"/>
  <c r="H82" i="20" s="1"/>
  <c r="I82" i="20" s="1"/>
  <c r="AB80" i="3"/>
  <c r="AC80" i="3" s="1"/>
  <c r="J82" i="20" s="1"/>
  <c r="K82" i="20" s="1"/>
  <c r="D46" i="20"/>
  <c r="G46" i="20" s="1"/>
  <c r="H46" i="20" s="1"/>
  <c r="I46" i="20" s="1"/>
  <c r="AB44" i="3"/>
  <c r="AC44" i="3" s="1"/>
  <c r="J46" i="20" s="1"/>
  <c r="K46" i="20" s="1"/>
  <c r="B55" i="3"/>
  <c r="G64" i="20"/>
  <c r="H64" i="20" s="1"/>
  <c r="I64" i="20" s="1"/>
  <c r="C70" i="20"/>
  <c r="G70" i="20" s="1"/>
  <c r="H70" i="20" s="1"/>
  <c r="I70" i="20" s="1"/>
  <c r="AB68" i="3"/>
  <c r="AC68" i="3" s="1"/>
  <c r="J70" i="20" s="1"/>
  <c r="K70" i="20" s="1"/>
  <c r="C75" i="20"/>
  <c r="G75" i="20" s="1"/>
  <c r="H75" i="20" s="1"/>
  <c r="I75" i="20" s="1"/>
  <c r="AB73" i="3"/>
  <c r="AC73" i="3" s="1"/>
  <c r="J75" i="20" s="1"/>
  <c r="K75" i="20" s="1"/>
  <c r="C78" i="20"/>
  <c r="G78" i="20" s="1"/>
  <c r="H78" i="20" s="1"/>
  <c r="I78" i="20" s="1"/>
  <c r="AB76" i="3"/>
  <c r="AC76" i="3" s="1"/>
  <c r="J78" i="20" s="1"/>
  <c r="K78" i="20" s="1"/>
  <c r="D90" i="20"/>
  <c r="G90" i="20" s="1"/>
  <c r="H90" i="20" s="1"/>
  <c r="I90" i="20" s="1"/>
  <c r="AB88" i="3"/>
  <c r="AC88" i="3" s="1"/>
  <c r="J90" i="20" s="1"/>
  <c r="K90" i="20" s="1"/>
  <c r="C80" i="20"/>
  <c r="G80" i="20" s="1"/>
  <c r="H80" i="20" s="1"/>
  <c r="I80" i="20" s="1"/>
  <c r="AB78" i="3"/>
  <c r="AC78" i="3" s="1"/>
  <c r="J80" i="20" s="1"/>
  <c r="K80" i="20" s="1"/>
  <c r="AB55" i="3"/>
  <c r="AC55" i="3" s="1"/>
  <c r="J57" i="20" s="1"/>
  <c r="K57" i="20" s="1"/>
  <c r="L57" i="20" s="1"/>
  <c r="T57" i="20" s="1"/>
  <c r="U57" i="20" s="1"/>
  <c r="C11" i="20"/>
  <c r="AB9" i="3"/>
  <c r="AC9" i="3" s="1"/>
  <c r="J11" i="20" s="1"/>
  <c r="K11" i="20" s="1"/>
  <c r="G62" i="20"/>
  <c r="H62" i="20" s="1"/>
  <c r="I62" i="20" s="1"/>
  <c r="G47" i="20"/>
  <c r="H47" i="20" s="1"/>
  <c r="I47" i="20" s="1"/>
  <c r="AB62" i="3"/>
  <c r="AC62" i="3" s="1"/>
  <c r="J64" i="20" s="1"/>
  <c r="K64" i="20" s="1"/>
  <c r="F34" i="13"/>
  <c r="H34" i="13"/>
  <c r="AB79" i="3"/>
  <c r="AC79" i="3" s="1"/>
  <c r="J81" i="20" s="1"/>
  <c r="K81" i="20" s="1"/>
  <c r="L81" i="20" s="1"/>
  <c r="T81" i="20" s="1"/>
  <c r="U81" i="20" s="1"/>
  <c r="D32" i="1"/>
  <c r="G32" i="1" s="1"/>
  <c r="H32" i="1" s="1"/>
  <c r="I32" i="1" s="1"/>
  <c r="Q32" i="1" s="1"/>
  <c r="G31" i="20"/>
  <c r="H31" i="20" s="1"/>
  <c r="I31" i="20" s="1"/>
  <c r="G60" i="20"/>
  <c r="H60" i="20" s="1"/>
  <c r="I60" i="20" s="1"/>
  <c r="E77" i="20"/>
  <c r="G77" i="20" s="1"/>
  <c r="H77" i="20" s="1"/>
  <c r="I77" i="20" s="1"/>
  <c r="AB75" i="3"/>
  <c r="AC75" i="3" s="1"/>
  <c r="J77" i="20" s="1"/>
  <c r="K77" i="20" s="1"/>
  <c r="C88" i="20"/>
  <c r="G88" i="20" s="1"/>
  <c r="H88" i="20" s="1"/>
  <c r="I88" i="20" s="1"/>
  <c r="AB86" i="3"/>
  <c r="AC86" i="3" s="1"/>
  <c r="J88" i="20" s="1"/>
  <c r="K88" i="20" s="1"/>
  <c r="B52" i="3"/>
  <c r="C22" i="20"/>
  <c r="AB20" i="3"/>
  <c r="AC20" i="3" s="1"/>
  <c r="J22" i="20" s="1"/>
  <c r="K22" i="20" s="1"/>
  <c r="E13" i="20"/>
  <c r="AB11" i="3"/>
  <c r="AC11" i="3" s="1"/>
  <c r="J13" i="20" s="1"/>
  <c r="K13" i="20" s="1"/>
  <c r="C19" i="20"/>
  <c r="AB17" i="3"/>
  <c r="AC17" i="3" s="1"/>
  <c r="J19" i="20" s="1"/>
  <c r="K19" i="20" s="1"/>
  <c r="C71" i="20"/>
  <c r="G71" i="20" s="1"/>
  <c r="H71" i="20" s="1"/>
  <c r="I71" i="20" s="1"/>
  <c r="AB69" i="3"/>
  <c r="AC69" i="3" s="1"/>
  <c r="J71" i="20" s="1"/>
  <c r="K71" i="20" s="1"/>
  <c r="C17" i="20"/>
  <c r="AB15" i="3"/>
  <c r="AC15" i="3" s="1"/>
  <c r="J17" i="20" s="1"/>
  <c r="K17" i="20" s="1"/>
  <c r="C29" i="20"/>
  <c r="AB27" i="3"/>
  <c r="AC27" i="3" s="1"/>
  <c r="J29" i="20" s="1"/>
  <c r="K29" i="20" s="1"/>
  <c r="C20" i="20"/>
  <c r="AB18" i="3"/>
  <c r="AC18" i="3" s="1"/>
  <c r="J20" i="20" s="1"/>
  <c r="K20" i="20" s="1"/>
  <c r="C61" i="20"/>
  <c r="G61" i="20" s="1"/>
  <c r="H61" i="20" s="1"/>
  <c r="I61" i="20" s="1"/>
  <c r="AB59" i="3"/>
  <c r="AC59" i="3" s="1"/>
  <c r="J61" i="20" s="1"/>
  <c r="K61" i="20" s="1"/>
  <c r="C79" i="20"/>
  <c r="G79" i="20" s="1"/>
  <c r="H79" i="20" s="1"/>
  <c r="I79" i="20" s="1"/>
  <c r="AB77" i="3"/>
  <c r="AC77" i="3" s="1"/>
  <c r="J79" i="20" s="1"/>
  <c r="K79" i="20" s="1"/>
  <c r="C24" i="20"/>
  <c r="AB22" i="3"/>
  <c r="AC22" i="3" s="1"/>
  <c r="J24" i="20" s="1"/>
  <c r="K24" i="20" s="1"/>
  <c r="C85" i="20"/>
  <c r="G85" i="20" s="1"/>
  <c r="H85" i="20" s="1"/>
  <c r="I85" i="20" s="1"/>
  <c r="AB83" i="3"/>
  <c r="AC83" i="3" s="1"/>
  <c r="J85" i="20" s="1"/>
  <c r="K85" i="20" s="1"/>
  <c r="AB67" i="3"/>
  <c r="AC67" i="3" s="1"/>
  <c r="J69" i="20" s="1"/>
  <c r="K69" i="20" s="1"/>
  <c r="B40" i="3"/>
  <c r="C16" i="20"/>
  <c r="AB14" i="3"/>
  <c r="AC14" i="3" s="1"/>
  <c r="J16" i="20" s="1"/>
  <c r="K16" i="20" s="1"/>
  <c r="D24" i="1"/>
  <c r="G24" i="1" s="1"/>
  <c r="H24" i="1" s="1"/>
  <c r="I24" i="1" s="1"/>
  <c r="Q24" i="1" s="1"/>
  <c r="G23" i="20"/>
  <c r="H23" i="20" s="1"/>
  <c r="I23" i="20" s="1"/>
  <c r="AB70" i="3"/>
  <c r="AC70" i="3" s="1"/>
  <c r="J72" i="20" s="1"/>
  <c r="K72" i="20" s="1"/>
  <c r="G34" i="1"/>
  <c r="H34" i="1" s="1"/>
  <c r="I34" i="1" s="1"/>
  <c r="Q34" i="1" s="1"/>
  <c r="AB71" i="3"/>
  <c r="AC71" i="3" s="1"/>
  <c r="J73" i="20" s="1"/>
  <c r="K73" i="20" s="1"/>
  <c r="AB60" i="3"/>
  <c r="AC60" i="3" s="1"/>
  <c r="J62" i="20" s="1"/>
  <c r="K62" i="20" s="1"/>
  <c r="L65" i="20" l="1"/>
  <c r="T65" i="20" s="1"/>
  <c r="U65" i="20" s="1"/>
  <c r="J36" i="13"/>
  <c r="K36" i="13" s="1"/>
  <c r="M36" i="13" s="1"/>
  <c r="N36" i="13" s="1"/>
  <c r="L58" i="20"/>
  <c r="T58" i="20" s="1"/>
  <c r="U58" i="20" s="1"/>
  <c r="L63" i="20"/>
  <c r="T63" i="20" s="1"/>
  <c r="U63" i="20" s="1"/>
  <c r="L89" i="20"/>
  <c r="T89" i="20" s="1"/>
  <c r="U89" i="20" s="1"/>
  <c r="L33" i="20"/>
  <c r="T33" i="20" s="1"/>
  <c r="U33" i="20" s="1"/>
  <c r="L42" i="20"/>
  <c r="T42" i="20" s="1"/>
  <c r="U42" i="20" s="1"/>
  <c r="L36" i="20"/>
  <c r="T36" i="20" s="1"/>
  <c r="U36" i="20" s="1"/>
  <c r="L34" i="20"/>
  <c r="T34" i="20" s="1"/>
  <c r="U34" i="20" s="1"/>
  <c r="L40" i="20"/>
  <c r="T40" i="20" s="1"/>
  <c r="U40" i="20" s="1"/>
  <c r="L76" i="20"/>
  <c r="T76" i="20" s="1"/>
  <c r="U76" i="20" s="1"/>
  <c r="L35" i="20"/>
  <c r="T35" i="20" s="1"/>
  <c r="U35" i="20" s="1"/>
  <c r="G33" i="13"/>
  <c r="L44" i="20"/>
  <c r="T44" i="20" s="1"/>
  <c r="U44" i="20" s="1"/>
  <c r="L43" i="20"/>
  <c r="T43" i="20" s="1"/>
  <c r="U43" i="20" s="1"/>
  <c r="L41" i="20"/>
  <c r="T41" i="20" s="1"/>
  <c r="U41" i="20" s="1"/>
  <c r="L72" i="20"/>
  <c r="T72" i="20" s="1"/>
  <c r="U72" i="20" s="1"/>
  <c r="H33" i="13"/>
  <c r="L68" i="20"/>
  <c r="T68" i="20" s="1"/>
  <c r="U68" i="20" s="1"/>
  <c r="L69" i="20"/>
  <c r="T69" i="20" s="1"/>
  <c r="U69" i="20" s="1"/>
  <c r="L54" i="20"/>
  <c r="T54" i="20" s="1"/>
  <c r="U54" i="20" s="1"/>
  <c r="L87" i="20"/>
  <c r="T87" i="20" s="1"/>
  <c r="U87" i="20" s="1"/>
  <c r="L39" i="20"/>
  <c r="T39" i="20" s="1"/>
  <c r="U39" i="20" s="1"/>
  <c r="L38" i="20"/>
  <c r="T38" i="20" s="1"/>
  <c r="U38" i="20" s="1"/>
  <c r="B81" i="3"/>
  <c r="L83" i="20"/>
  <c r="T83" i="20" s="1"/>
  <c r="U83" i="20" s="1"/>
  <c r="J38" i="13"/>
  <c r="K38" i="13" s="1"/>
  <c r="M38" i="13" s="1"/>
  <c r="N38" i="13" s="1"/>
  <c r="L67" i="20"/>
  <c r="T67" i="20" s="1"/>
  <c r="U67" i="20" s="1"/>
  <c r="B65" i="3"/>
  <c r="B43" i="3"/>
  <c r="L45" i="20"/>
  <c r="T45" i="20" s="1"/>
  <c r="U45" i="20" s="1"/>
  <c r="C33" i="1"/>
  <c r="G33" i="1" s="1"/>
  <c r="H33" i="1" s="1"/>
  <c r="I33" i="1" s="1"/>
  <c r="Q33" i="1" s="1"/>
  <c r="G32" i="20"/>
  <c r="H32" i="20" s="1"/>
  <c r="I32" i="20" s="1"/>
  <c r="B30" i="3" s="1"/>
  <c r="J35" i="13"/>
  <c r="K35" i="13" s="1"/>
  <c r="M35" i="13" s="1"/>
  <c r="N35" i="13" s="1"/>
  <c r="B57" i="13"/>
  <c r="L59" i="20"/>
  <c r="T59" i="20" s="1"/>
  <c r="U59" i="20" s="1"/>
  <c r="B57" i="3"/>
  <c r="B83" i="3"/>
  <c r="L85" i="20"/>
  <c r="T85" i="20" s="1"/>
  <c r="U85" i="20" s="1"/>
  <c r="B75" i="3"/>
  <c r="L77" i="20"/>
  <c r="T77" i="20" s="1"/>
  <c r="U77" i="20" s="1"/>
  <c r="B88" i="3"/>
  <c r="L90" i="20"/>
  <c r="T90" i="20" s="1"/>
  <c r="U90" i="20" s="1"/>
  <c r="B82" i="3"/>
  <c r="L84" i="20"/>
  <c r="T84" i="20" s="1"/>
  <c r="U84" i="20" s="1"/>
  <c r="L56" i="20"/>
  <c r="T56" i="20" s="1"/>
  <c r="U56" i="20" s="1"/>
  <c r="B54" i="3"/>
  <c r="C15" i="1"/>
  <c r="G14" i="20"/>
  <c r="H14" i="20" s="1"/>
  <c r="I14" i="20" s="1"/>
  <c r="B50" i="3"/>
  <c r="L52" i="20"/>
  <c r="T52" i="20" s="1"/>
  <c r="U52" i="20" s="1"/>
  <c r="D19" i="1"/>
  <c r="G19" i="1" s="1"/>
  <c r="H19" i="1" s="1"/>
  <c r="I19" i="1" s="1"/>
  <c r="G18" i="20"/>
  <c r="H18" i="20" s="1"/>
  <c r="I18" i="20" s="1"/>
  <c r="B59" i="3"/>
  <c r="L61" i="20"/>
  <c r="T61" i="20" s="1"/>
  <c r="U61" i="20" s="1"/>
  <c r="C30" i="1"/>
  <c r="G29" i="20"/>
  <c r="H29" i="20" s="1"/>
  <c r="I29" i="20" s="1"/>
  <c r="B58" i="3"/>
  <c r="L60" i="20"/>
  <c r="T60" i="20" s="1"/>
  <c r="U60" i="20" s="1"/>
  <c r="B60" i="3"/>
  <c r="L62" i="20"/>
  <c r="T62" i="20" s="1"/>
  <c r="U62" i="20" s="1"/>
  <c r="L70" i="20"/>
  <c r="T70" i="20" s="1"/>
  <c r="U70" i="20" s="1"/>
  <c r="B68" i="3"/>
  <c r="B80" i="3"/>
  <c r="L82" i="20"/>
  <c r="T82" i="20" s="1"/>
  <c r="U82" i="20" s="1"/>
  <c r="J37" i="13"/>
  <c r="K37" i="13" s="1"/>
  <c r="M37" i="13" s="1"/>
  <c r="N37" i="13" s="1"/>
  <c r="B51" i="3"/>
  <c r="L53" i="20"/>
  <c r="T53" i="20" s="1"/>
  <c r="U53" i="20" s="1"/>
  <c r="C26" i="1"/>
  <c r="G25" i="20"/>
  <c r="H25" i="20" s="1"/>
  <c r="I25" i="20" s="1"/>
  <c r="C29" i="1"/>
  <c r="G28" i="20"/>
  <c r="H28" i="20" s="1"/>
  <c r="I28" i="20" s="1"/>
  <c r="L23" i="20"/>
  <c r="T23" i="20" s="1"/>
  <c r="U23" i="20" s="1"/>
  <c r="B21" i="3"/>
  <c r="C17" i="1"/>
  <c r="G16" i="20"/>
  <c r="H16" i="20" s="1"/>
  <c r="I16" i="20" s="1"/>
  <c r="C18" i="1"/>
  <c r="G17" i="20"/>
  <c r="H17" i="20" s="1"/>
  <c r="I17" i="20" s="1"/>
  <c r="E14" i="1"/>
  <c r="G14" i="1" s="1"/>
  <c r="H14" i="1" s="1"/>
  <c r="I14" i="1" s="1"/>
  <c r="G13" i="20"/>
  <c r="H13" i="20" s="1"/>
  <c r="I13" i="20" s="1"/>
  <c r="B45" i="3"/>
  <c r="L47" i="20"/>
  <c r="T47" i="20" s="1"/>
  <c r="U47" i="20" s="1"/>
  <c r="B71" i="3"/>
  <c r="L73" i="20"/>
  <c r="T73" i="20" s="1"/>
  <c r="U73" i="20" s="1"/>
  <c r="L79" i="20"/>
  <c r="T79" i="20" s="1"/>
  <c r="U79" i="20" s="1"/>
  <c r="B77" i="3"/>
  <c r="C21" i="1"/>
  <c r="G20" i="20"/>
  <c r="H20" i="20" s="1"/>
  <c r="I20" i="20" s="1"/>
  <c r="C20" i="1"/>
  <c r="G19" i="20"/>
  <c r="H19" i="20" s="1"/>
  <c r="I19" i="20" s="1"/>
  <c r="L88" i="20"/>
  <c r="T88" i="20" s="1"/>
  <c r="U88" i="20" s="1"/>
  <c r="B86" i="3"/>
  <c r="B29" i="3"/>
  <c r="L31" i="20"/>
  <c r="T31" i="20" s="1"/>
  <c r="U31" i="20" s="1"/>
  <c r="J34" i="13"/>
  <c r="K34" i="13" s="1"/>
  <c r="M34" i="13" s="1"/>
  <c r="N34" i="13" s="1"/>
  <c r="B78" i="3"/>
  <c r="L80" i="20"/>
  <c r="T80" i="20" s="1"/>
  <c r="U80" i="20" s="1"/>
  <c r="B73" i="3"/>
  <c r="L75" i="20"/>
  <c r="T75" i="20" s="1"/>
  <c r="U75" i="20" s="1"/>
  <c r="B62" i="3"/>
  <c r="L64" i="20"/>
  <c r="T64" i="20" s="1"/>
  <c r="U64" i="20" s="1"/>
  <c r="L46" i="20"/>
  <c r="T46" i="20" s="1"/>
  <c r="U46" i="20" s="1"/>
  <c r="B44" i="3"/>
  <c r="B64" i="3"/>
  <c r="L66" i="20"/>
  <c r="T66" i="20" s="1"/>
  <c r="U66" i="20" s="1"/>
  <c r="L37" i="20"/>
  <c r="T37" i="20" s="1"/>
  <c r="U37" i="20" s="1"/>
  <c r="B35" i="3"/>
  <c r="L74" i="20"/>
  <c r="T74" i="20" s="1"/>
  <c r="U74" i="20" s="1"/>
  <c r="B72" i="3"/>
  <c r="L51" i="20"/>
  <c r="T51" i="20" s="1"/>
  <c r="U51" i="20" s="1"/>
  <c r="B49" i="3"/>
  <c r="C28" i="1"/>
  <c r="G27" i="20"/>
  <c r="H27" i="20" s="1"/>
  <c r="I27" i="20" s="1"/>
  <c r="J32" i="13"/>
  <c r="K32" i="13" s="1"/>
  <c r="C22" i="1"/>
  <c r="G21" i="20"/>
  <c r="H21" i="20" s="1"/>
  <c r="I21" i="20" s="1"/>
  <c r="C12" i="1"/>
  <c r="G11" i="20"/>
  <c r="H11" i="20" s="1"/>
  <c r="I11" i="20" s="1"/>
  <c r="C25" i="1"/>
  <c r="G24" i="20"/>
  <c r="H24" i="20" s="1"/>
  <c r="I24" i="20" s="1"/>
  <c r="B69" i="3"/>
  <c r="L71" i="20"/>
  <c r="T71" i="20" s="1"/>
  <c r="U71" i="20" s="1"/>
  <c r="C23" i="1"/>
  <c r="G22" i="20"/>
  <c r="H22" i="20" s="1"/>
  <c r="I22" i="20" s="1"/>
  <c r="B76" i="3"/>
  <c r="L78" i="20"/>
  <c r="T78" i="20" s="1"/>
  <c r="U78" i="20" s="1"/>
  <c r="C31" i="1"/>
  <c r="G30" i="20"/>
  <c r="H30" i="20" s="1"/>
  <c r="I30" i="20" s="1"/>
  <c r="C13" i="1"/>
  <c r="G12" i="20"/>
  <c r="H12" i="20" s="1"/>
  <c r="I12" i="20" s="1"/>
  <c r="F27" i="1"/>
  <c r="G27" i="1" s="1"/>
  <c r="H27" i="1" s="1"/>
  <c r="I27" i="1" s="1"/>
  <c r="Q27" i="1" s="1"/>
  <c r="G26" i="20"/>
  <c r="H26" i="20" s="1"/>
  <c r="I26" i="20" s="1"/>
  <c r="B48" i="3"/>
  <c r="L50" i="20"/>
  <c r="T50" i="20" s="1"/>
  <c r="U50" i="20" s="1"/>
  <c r="C16" i="1"/>
  <c r="G15" i="20"/>
  <c r="H15" i="20" s="1"/>
  <c r="I15" i="20" s="1"/>
  <c r="J33" i="13" l="1"/>
  <c r="K33" i="13" s="1"/>
  <c r="M33" i="13" s="1"/>
  <c r="N33" i="13" s="1"/>
  <c r="L32" i="20"/>
  <c r="T32" i="20" s="1"/>
  <c r="U32" i="20" s="1"/>
  <c r="L12" i="20"/>
  <c r="T12" i="20" s="1"/>
  <c r="U12" i="20" s="1"/>
  <c r="B10" i="3"/>
  <c r="M32" i="13"/>
  <c r="N32" i="13" s="1"/>
  <c r="L17" i="20"/>
  <c r="T17" i="20" s="1"/>
  <c r="U17" i="20" s="1"/>
  <c r="B15" i="3"/>
  <c r="G13" i="1"/>
  <c r="H13" i="1" s="1"/>
  <c r="I13" i="1" s="1"/>
  <c r="Q13" i="1" s="1"/>
  <c r="G12" i="1"/>
  <c r="H12" i="1" s="1"/>
  <c r="I12" i="1" s="1"/>
  <c r="B25" i="3"/>
  <c r="L27" i="20"/>
  <c r="T27" i="20" s="1"/>
  <c r="U27" i="20" s="1"/>
  <c r="G20" i="1"/>
  <c r="H20" i="1" s="1"/>
  <c r="I20" i="1" s="1"/>
  <c r="Q20" i="1" s="1"/>
  <c r="G18" i="1"/>
  <c r="H18" i="1" s="1"/>
  <c r="I18" i="1" s="1"/>
  <c r="G26" i="1"/>
  <c r="H26" i="1" s="1"/>
  <c r="I26" i="1" s="1"/>
  <c r="Q26" i="1" s="1"/>
  <c r="B27" i="3"/>
  <c r="L29" i="20"/>
  <c r="T29" i="20" s="1"/>
  <c r="U29" i="20" s="1"/>
  <c r="L11" i="20"/>
  <c r="T11" i="20" s="1"/>
  <c r="U11" i="20" s="1"/>
  <c r="B9" i="3"/>
  <c r="L26" i="20"/>
  <c r="T26" i="20" s="1"/>
  <c r="U26" i="20" s="1"/>
  <c r="B24" i="3"/>
  <c r="B20" i="3"/>
  <c r="L22" i="20"/>
  <c r="T22" i="20" s="1"/>
  <c r="U22" i="20" s="1"/>
  <c r="B22" i="3"/>
  <c r="L24" i="20"/>
  <c r="T24" i="20" s="1"/>
  <c r="U24" i="20" s="1"/>
  <c r="L21" i="20"/>
  <c r="T21" i="20" s="1"/>
  <c r="U21" i="20" s="1"/>
  <c r="B19" i="3"/>
  <c r="G28" i="1"/>
  <c r="H28" i="1" s="1"/>
  <c r="I28" i="1" s="1"/>
  <c r="Q28" i="1" s="1"/>
  <c r="B18" i="3"/>
  <c r="L20" i="20"/>
  <c r="T20" i="20" s="1"/>
  <c r="U20" i="20" s="1"/>
  <c r="B11" i="3"/>
  <c r="L13" i="20"/>
  <c r="T13" i="20" s="1"/>
  <c r="U13" i="20" s="1"/>
  <c r="B14" i="3"/>
  <c r="L16" i="20"/>
  <c r="T16" i="20" s="1"/>
  <c r="U16" i="20" s="1"/>
  <c r="L28" i="20"/>
  <c r="T28" i="20" s="1"/>
  <c r="U28" i="20" s="1"/>
  <c r="B26" i="3"/>
  <c r="G30" i="1"/>
  <c r="H30" i="1" s="1"/>
  <c r="I30" i="1" s="1"/>
  <c r="Q30" i="1" s="1"/>
  <c r="L18" i="20"/>
  <c r="T18" i="20" s="1"/>
  <c r="U18" i="20" s="1"/>
  <c r="B16" i="3"/>
  <c r="B12" i="3"/>
  <c r="L14" i="20"/>
  <c r="T14" i="20" s="1"/>
  <c r="U14" i="20" s="1"/>
  <c r="L19" i="20"/>
  <c r="T19" i="20" s="1"/>
  <c r="U19" i="20" s="1"/>
  <c r="B17" i="3"/>
  <c r="L25" i="20"/>
  <c r="T25" i="20" s="1"/>
  <c r="U25" i="20" s="1"/>
  <c r="B23" i="3"/>
  <c r="B13" i="3"/>
  <c r="L15" i="20"/>
  <c r="T15" i="20" s="1"/>
  <c r="U15" i="20" s="1"/>
  <c r="B28" i="3"/>
  <c r="L30" i="20"/>
  <c r="T30" i="20" s="1"/>
  <c r="U30" i="20" s="1"/>
  <c r="G16" i="1"/>
  <c r="H16" i="1" s="1"/>
  <c r="I16" i="1" s="1"/>
  <c r="Q16" i="1" s="1"/>
  <c r="G31" i="1"/>
  <c r="H31" i="1" s="1"/>
  <c r="I31" i="1" s="1"/>
  <c r="Q31" i="1" s="1"/>
  <c r="G23" i="1"/>
  <c r="H23" i="1" s="1"/>
  <c r="I23" i="1" s="1"/>
  <c r="Q23" i="1" s="1"/>
  <c r="G25" i="1"/>
  <c r="H25" i="1" s="1"/>
  <c r="I25" i="1" s="1"/>
  <c r="Q25" i="1" s="1"/>
  <c r="G22" i="1"/>
  <c r="H22" i="1" s="1"/>
  <c r="I22" i="1" s="1"/>
  <c r="Q22" i="1" s="1"/>
  <c r="G21" i="1"/>
  <c r="H21" i="1" s="1"/>
  <c r="I21" i="1" s="1"/>
  <c r="Q21" i="1" s="1"/>
  <c r="G17" i="1"/>
  <c r="H17" i="1" s="1"/>
  <c r="I17" i="1" s="1"/>
  <c r="G29" i="1"/>
  <c r="H29" i="1" s="1"/>
  <c r="I29" i="1" s="1"/>
  <c r="Q29" i="1" s="1"/>
  <c r="G15" i="1"/>
  <c r="H15" i="1" s="1"/>
  <c r="I15" i="1" s="1"/>
  <c r="Q15" i="1" s="1"/>
  <c r="N43" i="13" l="1"/>
  <c r="B50" i="13" s="1"/>
  <c r="B58" i="13" s="1"/>
  <c r="K43" i="13"/>
  <c r="B49" i="13" s="1"/>
  <c r="R20" i="1"/>
  <c r="R25" i="1"/>
  <c r="R28" i="1"/>
  <c r="R15" i="1"/>
  <c r="R23" i="1"/>
  <c r="R13" i="1"/>
  <c r="R12" i="1"/>
  <c r="R19" i="1"/>
  <c r="R17" i="1"/>
  <c r="R14" i="1"/>
  <c r="R18" i="1"/>
  <c r="R24" i="1"/>
  <c r="B59" i="13"/>
  <c r="C59" i="13" s="1"/>
  <c r="B60" i="13"/>
  <c r="R16" i="1"/>
  <c r="R29" i="1"/>
  <c r="R21" i="1"/>
  <c r="R22" i="1"/>
  <c r="R27" i="1"/>
  <c r="R26" i="1"/>
</calcChain>
</file>

<file path=xl/comments1.xml><?xml version="1.0" encoding="utf-8"?>
<comments xmlns="http://schemas.openxmlformats.org/spreadsheetml/2006/main">
  <authors>
    <author/>
  </authors>
  <commentList>
    <comment ref="C9" authorId="0">
      <text>
        <r>
          <rPr>
            <sz val="11"/>
            <color rgb="FF000000"/>
            <rFont val="Calibri"/>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9" authorId="0">
      <text>
        <r>
          <rPr>
            <sz val="11"/>
            <color rgb="FF000000"/>
            <rFont val="Calibri"/>
            <family val="2"/>
          </rPr>
          <t xml:space="preserve">Para comprender esta ponderación revisar las Hoja Orientaciones Grales.
</t>
        </r>
      </text>
    </comment>
  </commentList>
</comments>
</file>

<file path=xl/comments2.xml><?xml version="1.0" encoding="utf-8"?>
<comments xmlns="http://schemas.openxmlformats.org/spreadsheetml/2006/main">
  <authors>
    <author>Diana Karina Ruiz Perilla</author>
  </authors>
  <commentList>
    <comment ref="N12" authorId="0">
      <text>
        <r>
          <rPr>
            <b/>
            <sz val="9"/>
            <color indexed="81"/>
            <rFont val="Tahoma"/>
            <family val="2"/>
          </rPr>
          <t xml:space="preserve">Inserte el tipo de trabajos de auditoría de su entidad
</t>
        </r>
      </text>
    </comment>
  </commentList>
</comments>
</file>

<file path=xl/comments3.xml><?xml version="1.0" encoding="utf-8"?>
<comments xmlns="http://schemas.openxmlformats.org/spreadsheetml/2006/main">
  <authors>
    <author>Myriam Cubillos Benavides</author>
  </authors>
  <commentList>
    <comment ref="C10" authorId="0">
      <text>
        <r>
          <rPr>
            <sz val="9"/>
            <color indexed="81"/>
            <rFont val="Tahoma"/>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10" authorId="0">
      <text>
        <r>
          <rPr>
            <sz val="9"/>
            <color indexed="81"/>
            <rFont val="Tahoma"/>
            <family val="2"/>
          </rPr>
          <t xml:space="preserve">Para comprender esta ponderación revisar las Hoja Orientaciones Grales.
</t>
        </r>
      </text>
    </comment>
  </commentList>
</comments>
</file>

<file path=xl/sharedStrings.xml><?xml version="1.0" encoding="utf-8"?>
<sst xmlns="http://schemas.openxmlformats.org/spreadsheetml/2006/main" count="1294" uniqueCount="786">
  <si>
    <t>Numero de Riesgos Inherentes por calificación de Impacto y Probabilidad de Ocurrencia</t>
  </si>
  <si>
    <t>Extremo</t>
  </si>
  <si>
    <t>Alto</t>
  </si>
  <si>
    <t>Moderado</t>
  </si>
  <si>
    <t>Bajo</t>
  </si>
  <si>
    <t>Total</t>
  </si>
  <si>
    <t>Ponderación de Riesgos del Proceso</t>
  </si>
  <si>
    <t>Requerimientos del Comité de Auditoria o la Dirección. 
(Si/No)</t>
  </si>
  <si>
    <t>Requerimientos Entes de Control (Aspectos  Críticos)
(S/N)</t>
  </si>
  <si>
    <t>Fecha de Ultima Auditoria
dd-mm-aa</t>
  </si>
  <si>
    <t>Dias transcurridos desde última auditoría</t>
  </si>
  <si>
    <t>FECHA DE CORTE</t>
  </si>
  <si>
    <t>No</t>
  </si>
  <si>
    <t>Valoración Criterio</t>
  </si>
  <si>
    <t>PRIORIZACIÓN</t>
  </si>
  <si>
    <t>UNIDAD AUDITABLE</t>
  </si>
  <si>
    <t>Logo Entidad</t>
  </si>
  <si>
    <t>UNIVERSO DE AUDITORIA
PRIORIZACIÓN</t>
  </si>
  <si>
    <t>LOGO ENTIDAD</t>
  </si>
  <si>
    <t>Unidad Auditable</t>
  </si>
  <si>
    <t>Unidad Auditable 18</t>
  </si>
  <si>
    <t>Unidad Auditable 19</t>
  </si>
  <si>
    <t>Unidad Auditable 20</t>
  </si>
  <si>
    <t>Unidad Auditable 21</t>
  </si>
  <si>
    <t>Unidad Auditable 22</t>
  </si>
  <si>
    <t>Unidad Auditable 23</t>
  </si>
  <si>
    <t>Unidad Auditable 24</t>
  </si>
  <si>
    <t>RESULTADO DE LA PRIORIZACIÓN</t>
  </si>
  <si>
    <t>MENU CAJA DE HERRAMIENTAS PARA EL PLAN ANUAL DE AUDITORÍAS DE OFICINAS DE CONTROL INTERNO DISTRITALES</t>
  </si>
  <si>
    <t>UNIVERSO DE AUDITORÍA Y PRIORIZACIÓN DE UNIDADES AUDITABLES</t>
  </si>
  <si>
    <t xml:space="preserve">FORMATO DE PLAN ANUAL DE AUDITORÍA </t>
  </si>
  <si>
    <t>El Director Ejecutivo de Auditoría debe establecer un plan basado en los riesgos, a fin de determinar las prioridades de la actividad de auditoría interna, consistente con las metas de la organización.</t>
  </si>
  <si>
    <t>OBJETIVO</t>
  </si>
  <si>
    <t>ROL</t>
  </si>
  <si>
    <t>El Comité Distrital de Auditoría, consciente de la importancia de la labor de las Oficinas de Control Interno o quien haga sus veces,  en el mejoramiento de la gestión y desempeño de las entidades distritales, ha tomado la decisión de incorporar buenas prácticas internacionales en el ejercicio de la auditoría  y brindar orientaciones que faciliten el desarrollo de los roles que le han sido designados por ley, considerando el contexto y particularidades del distrito y basados en los instrumentos establecidos por el Departamento Administrativo de la Función Pública.
Con este fin, se conformaron equipos de trabajo voluntarios que tienen como finalidad estandarizar algunos de los métodos y herramientas del trabajo de las Oficinas de Control Interno tendiente a buscar una gestión pública orientada al cumplimiento de los fines esenciales del Estado.
Se presenta a continuación la caja de herramientas para la elaboración del Plan Anual de Auditorías de las Oficinas de Control Interno de Distrito que responde a las fases establecidas por las Normas Internacionales para el Ejercicio Profesional de Auditoría.
Frente a cada plantilla o formato, encontrará el marco de referencia aplicable de la Norma Internacional como guía y soporte para su ejecución.</t>
  </si>
  <si>
    <t>GLOSARIO</t>
  </si>
  <si>
    <t xml:space="preserve"> Es una actividad independiente y objetiva de aseguramiento consulta, concebida para agregar valor y mejorar las operaciones de una entidad.</t>
  </si>
  <si>
    <t xml:space="preserve">Mapa de aseguramiento: </t>
  </si>
  <si>
    <t>Es un esquema que muestra visualmente cómo se aplican las actividades de aseguramiento a un riesgo específico dentro de una organización. Implica cotejar la cobertura de las actividades de aseguramiento frente a los riesgos clave a los que se encuentra expuesta en la organización. Este proceso permite a una empresa identificar y comprender las lagunas existentes en el proceso de gestión de riesgos y ofrece a las partes interesadas confianza de que los riesgos están siendo gestionados y comunicados, y de que se cumplen las obligaciones legales y reglamentarias a las que se encuentra sometida la compañía. Una herramienta que contribuye en la formulación del Plan Anual de Auditoría. También permite a la organización identificar y abarcar las lagunas que pudiera haber en el proceso de gestión de riesgos y ofrece a las partes interesadas tranquilidad de que los riesgos estarían siendo gestionados y comunicados, y de que se cumplirían las obligaciones legales/reglamentarias.[1]</t>
  </si>
  <si>
    <t>Es un modelo de Control Interno y Riesgo Operacional usual que  se organiza con tres líneas o barreras de defensa, la 1LD, dentro de las unidades organizativas/áreas; la 2LD un área central por lo general dependiendo de las Direcciones de Riesgo y la 3LD función realizada por el equipo de Auditoría de la organización.</t>
  </si>
  <si>
    <t xml:space="preserve">Plan Anual de Auditoría: </t>
  </si>
  <si>
    <t>Es el documento formulado por el equipo de trabajo de la Oficina de Control Interno o quien haga sus veces en la entidad, cuya finalidad es planificar y establecer los objetivos a cumplir anualmente para evaluar y mejorar la eficacia de los procesos de operación, control y gobierno.[2]  Este documento debe ser aprobado por el Comité Institucional de Coordinación de Control Interno para su ejecución.</t>
  </si>
  <si>
    <t>Recursos humanos, financieros y equipos de que se necesitan para la ejecución de una actividad (Aseguramiento o Consultoría).</t>
  </si>
  <si>
    <t>Riesgo :</t>
  </si>
  <si>
    <t xml:space="preserve">Riesgo de auditoría: </t>
  </si>
  <si>
    <t>Supone la posibilidad de que el auditor no detecte un error significativo que pudiera existir en la unidad auditable, por la falta de evidencia respecto a una determinada partida o por la obtención de una evidencia deficiente o incompleta sobre la misma.[5]</t>
  </si>
  <si>
    <t xml:space="preserve">Riesgo Inherente: </t>
  </si>
  <si>
    <t xml:space="preserve">es aquel al que se enfrenta una entidad en ausencia de acciones de la dirección para modificar su probabilidad o impacto.[4]      </t>
  </si>
  <si>
    <t>Tercera línea de defensa:</t>
  </si>
  <si>
    <t xml:space="preserve">Trabajo de Auditoría (Trabajo de Aseguramiento): </t>
  </si>
  <si>
    <t>Un examen objetivo de evidencias con el propósito de proveer una evaluación independiente de los procesos de gestión de riesgos, control y gobierno de una organización gubernamental. Es parte del Plan Anual de Auditoría y ha sido priorizado desde el Universo de Auditoría en base a factores críticos de riesgo globales y su ponderación estratégica.[6]</t>
  </si>
  <si>
    <t xml:space="preserve">Trabajo de Consultoría: </t>
  </si>
  <si>
    <t>Actividades de asesoramiento y servicios relacionados, proporcionadas a las áreas de la organización gubernamental, cuya naturaleza y alcance estén acordados con los mismos y estén dirigidos a añadir valor y a mejorar los procesos de gobierno, gestión de riesgos y control de una organización, sin que el auditor interno asuma responsabilidades de gestión. Es parte del Plan Anual de Auditoría y puede haber sido priorizado desde el Universo de Auditoría en base a factores críticos de riesgo globales y su ponderación estratégica.[7]</t>
  </si>
  <si>
    <t xml:space="preserve">Universo de auditoría: </t>
  </si>
  <si>
    <t>Un conjunto finito y global de las áreas de auditoría, dependencias y la identificación y ubicación de las funciones de negocios que podrían ser auditadas para proporcionar un aseguramiento adecuado sobre el nivel de gestión de riesgos de la organización.[8]</t>
  </si>
  <si>
    <t>Es un órgano de asesoría y decisión en los asuntos de control interno de (nombre de la entidad). En su rol de responsable y facilitador, hace parte de las instancias de articulación para el funcionamiento armónico del Sistema Institucional de Control Interno.</t>
  </si>
  <si>
    <t xml:space="preserve">Comité Institucional de Coordinación de Control Interno: </t>
  </si>
  <si>
    <t>Auditoría interna:</t>
  </si>
  <si>
    <t xml:space="preserve">Informes de ley: </t>
  </si>
  <si>
    <t xml:space="preserve">Modelo de tres líneas de defensa:  </t>
  </si>
  <si>
    <t xml:space="preserve">Recursos: </t>
  </si>
  <si>
    <t xml:space="preserve">Unidad auditable: </t>
  </si>
  <si>
    <t>Efecto de la incertidumbre sobre los objetivos. [3]</t>
  </si>
  <si>
    <t>Está a cargo de los auditores internos. Estos deben ser independientes en el más alto nivel lo que proporciona una garantía sobre la eficacia del gobierno, la gestión de riesgos y controles internos, incluyendo la manera en que las líneas primeras y segunda de defensa logran los objetivos de gestión de riesgos y control.</t>
  </si>
  <si>
    <t>ANÁLISIS DE RECURSOS DE LA OFICINA DE CONTROL INTERNO</t>
  </si>
  <si>
    <t>CONOCIMIENTO DE LA ENTIDAD OBJETO DE LA AUDITORÍA</t>
  </si>
  <si>
    <t>ITEM</t>
  </si>
  <si>
    <t>DOCUMENTO RELACIONADO</t>
  </si>
  <si>
    <t>FECHA DE ACTUALIZACIÓN</t>
  </si>
  <si>
    <t>NOTAS DEL EQUIPO AUDITOR</t>
  </si>
  <si>
    <t>¿DISPONIBLE? (SI/NO)</t>
  </si>
  <si>
    <t>ÁMBITO</t>
  </si>
  <si>
    <t>ELEMENTOS DE DIRECCIONAMIENTO ESTRATÉGICO</t>
  </si>
  <si>
    <t>Misión</t>
  </si>
  <si>
    <t>Visión</t>
  </si>
  <si>
    <t>Plan prurianual de inversiones</t>
  </si>
  <si>
    <t>Objetivos estratégicos</t>
  </si>
  <si>
    <t>Plan estratégico o lo que haga sus veces</t>
  </si>
  <si>
    <t>Lineamientos éticos</t>
  </si>
  <si>
    <t>Miembros del Equipo Directivo</t>
  </si>
  <si>
    <t>ELEMENTOS DE LA GESTIÓN INSTITUCIONAL U OPERACIONAL</t>
  </si>
  <si>
    <t>Mapa de procesos</t>
  </si>
  <si>
    <t>Gestión documental de procesos</t>
  </si>
  <si>
    <t>Manual de funciones</t>
  </si>
  <si>
    <t>Planta de personal</t>
  </si>
  <si>
    <t>Sedes de la entidad</t>
  </si>
  <si>
    <t xml:space="preserve">Plan de adquisiciones </t>
  </si>
  <si>
    <t>Activos de Información</t>
  </si>
  <si>
    <t>Medios Virtuales de la entidad</t>
  </si>
  <si>
    <t>Indicadores de gestión  o de proceso</t>
  </si>
  <si>
    <t xml:space="preserve">Informes  y reportes de resultados de la  Gestión </t>
  </si>
  <si>
    <t>Políticas Institucionales</t>
  </si>
  <si>
    <t>Planes de Acción o lo que haga sus veces</t>
  </si>
  <si>
    <t xml:space="preserve">MONITOREO Y SUPERVISION </t>
  </si>
  <si>
    <t xml:space="preserve">Resultados de Planes de Mejoramiento suscritos con la Contraloría </t>
  </si>
  <si>
    <t>Resultados de Planes de Mejoramiento derivados de auditorías internas</t>
  </si>
  <si>
    <t xml:space="preserve">GESTIÓN DE RIESGOS </t>
  </si>
  <si>
    <t>Política de Gestión de Riesgos</t>
  </si>
  <si>
    <t>Mapa de riesgos de corrupción</t>
  </si>
  <si>
    <t>Proyectos de Inversión</t>
  </si>
  <si>
    <t>Mapa de Riesgos de Gestión</t>
  </si>
  <si>
    <t xml:space="preserve">Seguimiento de Riesgos </t>
  </si>
  <si>
    <t>Otros Planes de Mejoramiento</t>
  </si>
  <si>
    <t>Aquellos informes que por Ley, Decreto o Resolución debe elaborar la Oficina de Control Interno o quien haga sus veces.</t>
  </si>
  <si>
    <t>Mapas de Aseguramiento</t>
  </si>
  <si>
    <t>PAD Distrital de la vigencia</t>
  </si>
  <si>
    <t>Resultados del Plan de Auditoría anterior</t>
  </si>
  <si>
    <t>Fecha de Corte</t>
  </si>
  <si>
    <t>Estructura Orgánica</t>
  </si>
  <si>
    <t>CALCULO HORAS REQUERIDAS PAAI</t>
  </si>
  <si>
    <t>Registre para cada informe a realizar, las horas estimadas en cada fase o etapa (planeación, ejecucion y elaboracion del informe)</t>
  </si>
  <si>
    <t>Registre el numero de informes que se proyectan realizar en la vigencia según la periodicidad</t>
  </si>
  <si>
    <t>A1</t>
  </si>
  <si>
    <t>A2</t>
  </si>
  <si>
    <t>A3</t>
  </si>
  <si>
    <t>B1</t>
  </si>
  <si>
    <t>B2</t>
  </si>
  <si>
    <t>B3</t>
  </si>
  <si>
    <t>C1</t>
  </si>
  <si>
    <t>D1</t>
  </si>
  <si>
    <t>E1</t>
  </si>
  <si>
    <t>Descripción</t>
  </si>
  <si>
    <t>Planeacion Auditoria/Solicitud de Informaciòn</t>
  </si>
  <si>
    <t>Ejecucion  Auditoria/Análisis de informaciòn</t>
  </si>
  <si>
    <t>Informe de Auditoria /Seguimiento</t>
  </si>
  <si>
    <t># Informes x año</t>
  </si>
  <si>
    <t>Informe de Ley</t>
  </si>
  <si>
    <t>Informe de Seguimiento</t>
  </si>
  <si>
    <t>Informe de Auditoria</t>
  </si>
  <si>
    <t>Calcule las horas requeridas para desarrollar PPAI</t>
  </si>
  <si>
    <t>1.2</t>
  </si>
  <si>
    <t>1.3</t>
  </si>
  <si>
    <t>Estatuto de Auditoría y Código de Ética del Auditor</t>
  </si>
  <si>
    <t>Comité Institucional de Coordinación de Control Interno</t>
  </si>
  <si>
    <r>
      <rPr>
        <b/>
        <sz val="11"/>
        <color rgb="FF0000FF"/>
        <rFont val="Century Gothic"/>
        <family val="2"/>
      </rPr>
      <t>Instrucción:</t>
    </r>
    <r>
      <rPr>
        <sz val="11"/>
        <color theme="1"/>
        <rFont val="Century Gothic"/>
        <family val="2"/>
      </rPr>
      <t xml:space="preserve"> Recopile la mayoría de información posible para mantener un repositorio del conocimiento de la entidad que le permita detectar aspectos a considerar en el ejercicio de auditoría (Tanto para trabajos de  aseguramiento como de  consultoría); como cambios en el  entorno y contexto  de la entidad, vigencia de documentos esenciales, entre otros.  La lista que se presenta a continuación puede ser completada por el equipo de la Oficina de Control Interno  de acuerdo a las variables particulares de la entidad.</t>
    </r>
  </si>
  <si>
    <t>Actividad</t>
  </si>
  <si>
    <t>Registro</t>
  </si>
  <si>
    <t>1.1</t>
  </si>
  <si>
    <t xml:space="preserve">Para el cálculo de las horas requeridas para el desarrollo del PAAI, liste todos los informes de ley que debe realizar la OCI, seguimientos y auditorias priorizadas </t>
  </si>
  <si>
    <t>1. Horas requeridas PAAI'!A1
Columnas A1, A2, A3</t>
  </si>
  <si>
    <t>1. Horas requeridas PAAI'!A1
Columnas B1, B2, B3</t>
  </si>
  <si>
    <t>1. Horas requeridas PAAI'!A1
Columna D1</t>
  </si>
  <si>
    <t>Identifique los dias laborales de la vigencia</t>
  </si>
  <si>
    <t>2.1</t>
  </si>
  <si>
    <t>Identifique los dias laborales en cada vigencia, para esto puede :</t>
  </si>
  <si>
    <t>a. Remitirse a la siguiente pagina web  http://colombia.workingdays.org/, ingresando las fechas entre las cuales requiere calcular los dias hábiles</t>
  </si>
  <si>
    <t xml:space="preserve">http://colombia.workingdays.org/ </t>
  </si>
  <si>
    <t>b. Remitirse a la hoja " Dias - horas habiles x vigencia" para identificar el periodo a calcular</t>
  </si>
  <si>
    <t>2. Días -horas hábiles x vig'!A1</t>
  </si>
  <si>
    <t>Calcule las horas disponibles del equipo auditor</t>
  </si>
  <si>
    <t>3.1</t>
  </si>
  <si>
    <t>Registre el numero de auditores de la OCI, discrimado por tipo de vinculacion ej Carrera Administrativa, Provisional o Contratista</t>
  </si>
  <si>
    <t>3 Horas disponibles E. Auditor'!A1</t>
  </si>
  <si>
    <t>3.2</t>
  </si>
  <si>
    <t>Registre el numero de dias habiles laborables por cada tipo de vinculación según lo identificado en el paso 2</t>
  </si>
  <si>
    <t>3.3</t>
  </si>
  <si>
    <t>Nota 1) En caso de contar con auditores con permiso sindical registrelo de manera independiente, para efectuar el calculo respectivo en la columna B2</t>
  </si>
  <si>
    <t>3.4</t>
  </si>
  <si>
    <t>Registre en la columna D1, "fila 2" el % estimado a actividades administrativas y/o atencion a entes de control</t>
  </si>
  <si>
    <t>3.5</t>
  </si>
  <si>
    <t>Registre en la columna D2 "fila 2" el % estimado a reuniones y/o capacitaciones</t>
  </si>
  <si>
    <t>3.6</t>
  </si>
  <si>
    <t>Registre en la en la columna  E1"fila 2" el % estimado por incapacidades y permisos</t>
  </si>
  <si>
    <t>3.7</t>
  </si>
  <si>
    <t>Registre los 15 dias habiles correspondientes de los auditores con derecho a disfrute a vacaciones</t>
  </si>
  <si>
    <t>TOTAL DIAS DISPONIBLES POR AUDITOR (G1=C1-F1)</t>
  </si>
  <si>
    <t>3.8</t>
  </si>
  <si>
    <t>Registre en la columna G2 el numero de horas laborables por tipo de vinculacion</t>
  </si>
  <si>
    <t>TOTAL HORAS DISPONIBLES POR AUDITOR (G3=G1*G2)</t>
  </si>
  <si>
    <t>TOTAL HORAS DISPONIBLES EQUIPO AUDITOR (H1=G3*A2)</t>
  </si>
  <si>
    <t>4. Resultado'!A1</t>
  </si>
  <si>
    <t>Recursos</t>
  </si>
  <si>
    <t>4.1</t>
  </si>
  <si>
    <t>Idenifique si presenta deficit de recursos humano frente a la necesidad para ejecutar el PAAI</t>
  </si>
  <si>
    <t>http://colombia.workingdays.org/</t>
  </si>
  <si>
    <t>DIAS HABILES</t>
  </si>
  <si>
    <t>HORAS</t>
  </si>
  <si>
    <t>HORA *MES</t>
  </si>
  <si>
    <t>Enero</t>
  </si>
  <si>
    <t>Febrero</t>
  </si>
  <si>
    <t>Marzo</t>
  </si>
  <si>
    <t>Abril</t>
  </si>
  <si>
    <t>Mayo</t>
  </si>
  <si>
    <t>Junio</t>
  </si>
  <si>
    <t>Julio</t>
  </si>
  <si>
    <t>Agosto</t>
  </si>
  <si>
    <t>Septiembre</t>
  </si>
  <si>
    <t>Octubre</t>
  </si>
  <si>
    <t>Noviembre</t>
  </si>
  <si>
    <t>Diciembre</t>
  </si>
  <si>
    <t>PERMISO SINDICAL</t>
  </si>
  <si>
    <t>CALCULO HORAS DISPONIBLES EQUIPO AUDITOR</t>
  </si>
  <si>
    <t>D2</t>
  </si>
  <si>
    <t>E2</t>
  </si>
  <si>
    <t>F1</t>
  </si>
  <si>
    <t>G1</t>
  </si>
  <si>
    <t>G2</t>
  </si>
  <si>
    <t>G3</t>
  </si>
  <si>
    <t>H1</t>
  </si>
  <si>
    <t>OTRAS ACTIVIDADES</t>
  </si>
  <si>
    <t>SITUACIONES ADMINISTRATIVAS</t>
  </si>
  <si>
    <t>TIPO DE VINCULACION</t>
  </si>
  <si>
    <t>No AUDITORES</t>
  </si>
  <si>
    <t>DIAS HÁBILES LABORABLES</t>
  </si>
  <si>
    <t>DIAS HÁBILES DISPONIBLES
(C1=B1-B2)</t>
  </si>
  <si>
    <t>ACTIVIDADES ADMINISTRATIVAS -ATENCION ENTES DE CONTROL)</t>
  </si>
  <si>
    <t>REUNIONES -CAPACITACIONES</t>
  </si>
  <si>
    <t>INCAPACIDADES-PERMISOS</t>
  </si>
  <si>
    <t>VACACIONES</t>
  </si>
  <si>
    <t>TOTAL OTRAS ACTIVIDADES+SITUACIONES ADMINSTRATIVAS
(F1 =C1-D1-D2-E1-E2)</t>
  </si>
  <si>
    <t>TOTAL DIAS DISPONIBLES POR AUDITOR
(G1=C1-F1)</t>
  </si>
  <si>
    <t>HORAS DIARIAS DISPONIBLE POR AUDITOR</t>
  </si>
  <si>
    <t xml:space="preserve">TOTAL HORAS DISPONIBLES POR AUDITOR
(G3=G1*G2)
</t>
  </si>
  <si>
    <t>TOTAL HORAS DISPONIBLES EQUIPO AUDITOR
(H1=G3*A2)</t>
  </si>
  <si>
    <t>NORMATIVIDAD ASOCIADA</t>
  </si>
  <si>
    <t>Evaluación y Seguimiento</t>
  </si>
  <si>
    <t xml:space="preserve">MESES </t>
  </si>
  <si>
    <t>Enfoque de prevención</t>
  </si>
  <si>
    <t>Liderazgo Estratégico</t>
  </si>
  <si>
    <t>Relación con Entes de Control</t>
  </si>
  <si>
    <t>Versión del Plan Anual de Auditorías:</t>
  </si>
  <si>
    <t>Conformación  del Equipo de Control Interno:</t>
  </si>
  <si>
    <t>COORDINADOR DE LA AUDITORÍA (SEGUNDA/TERCERA  LINEA DE DEFENSA)</t>
  </si>
  <si>
    <t>TRABAJO DE AUDITORÍA</t>
  </si>
  <si>
    <t>AUDITORÍAS INTERNAS/SEGUIMIENTOS</t>
  </si>
  <si>
    <t>INFORMES REGLAMENTARIOS</t>
  </si>
  <si>
    <t>ACTIVIDADES DE CONSULTORÍA</t>
  </si>
  <si>
    <t>ATENCIÓN A ENTES DE CONTROL</t>
  </si>
  <si>
    <t xml:space="preserve">TIPO DE TRABAJO DE AUDITORÍA </t>
  </si>
  <si>
    <t>FASE</t>
  </si>
  <si>
    <t>2.CALCULO DIAS -HORAS LABORALES POR AÑO</t>
  </si>
  <si>
    <t>TOTALES</t>
  </si>
  <si>
    <t>Total horas por trabajo de auditoría</t>
  </si>
  <si>
    <t>Horas x trabajo de auditoría</t>
  </si>
  <si>
    <t>MES</t>
  </si>
  <si>
    <t>DIAS PERMISO SINDICAL</t>
  </si>
  <si>
    <t>HORAS DISPONIBLES POR MES</t>
  </si>
  <si>
    <t>DIAS HABILES DISPONIBLES</t>
  </si>
  <si>
    <t>HORAS HÁBILES DISPONIBLES</t>
  </si>
  <si>
    <t>2.CALCULO HORAS DISPONIBLES EQUIPO AUDITOR</t>
  </si>
  <si>
    <t>RESULTADOS .CALCULO DIAS -HORAS LABORALES POR AÑO</t>
  </si>
  <si>
    <t xml:space="preserve"> RESULTADOS CALCULO HORAS DISPONIBLES EQUIPO AUDITOR</t>
  </si>
  <si>
    <t>HORAS HÁBILES DISPONIBLES POR EQUIPO AUDITOR</t>
  </si>
  <si>
    <t>Miembros de la Junta Directiva</t>
  </si>
  <si>
    <t>RELACIÓN CON EL MARCO INTERNACIONAL DE PRÁCTICA DE AUDITORÍA</t>
  </si>
  <si>
    <t>Administración de la Actividad de Auditoría Interna</t>
  </si>
  <si>
    <t xml:space="preserve">NORMA 2000: </t>
  </si>
  <si>
    <t>2.CALCULO DIAS -HORAS LABORALES POR AÑO Y POR AUDITOR</t>
  </si>
  <si>
    <t>1.CÁLCULO DE HORAS REQUERIDAS PARA EL PAA</t>
  </si>
  <si>
    <t>3. RESULTADOS SOBRE LA CAPACIDAD INSTALADA Y REQUERIDA DEL EQUIPO AUDITOR</t>
  </si>
  <si>
    <t xml:space="preserve">ANÁLISIS DE RECURSOS PARA EL PLAN ANUAL DE AUDITORÍAS
PLANTILLA  1
</t>
  </si>
  <si>
    <t xml:space="preserve">ANÁLISIS DE RECURSOS PARA EL PLAN ANUAL DE AUDITORÍAS
PLANTILLA 2
</t>
  </si>
  <si>
    <r>
      <rPr>
        <b/>
        <sz val="11"/>
        <color theme="1"/>
        <rFont val="Century Gothic"/>
        <family val="2"/>
      </rPr>
      <t>Consideraciones para la implementación</t>
    </r>
    <r>
      <rPr>
        <sz val="11"/>
        <color theme="1"/>
        <rFont val="Century Gothic"/>
        <family val="2"/>
      </rPr>
      <t xml:space="preserve">
Después de tener en cuenta la información referida, el DAI desarrolla una estrategia
de Auditoría Interna y un enfoque que la alinea con los objetivos y expectativas de la
dirección de la organización. Además, como se indica en la Norma 2010, el DAI elabora un plan de Auditoría Interna basado en riesgos para establecer las prioridades de
los trabajos de aseguramiento y consultoría de la actividad de Auditoría Interna. Este
proceso tiene en cuenta tanto las indicaciones de la alta dirección y el Consejo, como
los datos que se deriven de una evaluación de riesgos anual documentada (Norma
2010.A1)</t>
    </r>
  </si>
  <si>
    <r>
      <rPr>
        <b/>
        <sz val="11"/>
        <color theme="1"/>
        <rFont val="Century Gothic"/>
        <family val="2"/>
      </rPr>
      <t>Introducción</t>
    </r>
    <r>
      <rPr>
        <sz val="11"/>
        <color theme="1"/>
        <rFont val="Century Gothic"/>
        <family val="2"/>
      </rPr>
      <t xml:space="preserve">
La Norma 2000 indica varios aspectos fundamentales para cumplir el principio de que la actividad de Auditoría Interna añada valor a la organización. El DAI puede comenzar por revisar el propósito y responsabilidad de la actividad de Auditoría Interna, acordado por el DAI, la alta dirección y el Consejo de Administración, y recogido en el
estatuto de Auditoría Interna. El DAI puede analizar el organigrama de la organización para identificar los stakeholders o grupos de interés de la organización, la estructura y las líneas jerárquicas. También puede analizar el plan estratégico de la organización para conocer sus estrategias, objetivos y riesgos. Los riesgos que se hayan tenido en cuenta en la organización deberían incluir tendencias y problemas emergentes, como los relacionados con el sector de la entidad, la propia profesión de Auditoría Interna, requerimientos regulatorios y contextos políticos y económicos. Además de las fuentes de riesgos que pueda deducir el DAI de sus conversaciones sobre el plan estratégico de la organización con la alta dirección y el Consejo. Este trabajo preliminar prepara el terreno para que el DAI gestione la actividad de Auditoría Interna de forma que añada valor mejorando los procesos de gobierno, gestión de riesgos y control de la organización, y proporcionando un aseguramiento relevante.</t>
    </r>
  </si>
  <si>
    <t>Tomado de : Marco Internacional para la Práctica Profesional de la Auditoría Interna
Norma 2000</t>
  </si>
  <si>
    <t>RESUMEN DE HORAS REQUERIDAS POR TIPO DE TRABAJO</t>
  </si>
  <si>
    <t>TIPOS DE TRABAJO DE AUDITORÍA</t>
  </si>
  <si>
    <t>Consultoría Procesos</t>
  </si>
  <si>
    <t>Capacitaciones</t>
  </si>
  <si>
    <t>Etiquetas de fila</t>
  </si>
  <si>
    <t>(en blanco)</t>
  </si>
  <si>
    <t>Total general</t>
  </si>
  <si>
    <t>Cuenta de # Informes x año</t>
  </si>
  <si>
    <t>Suma de Total horas por trabajo de auditoría</t>
  </si>
  <si>
    <t>RESULTADOS SOBRE  CAPACIDAD Y DISPONIBILIDAD DEL EQUIPO AUDITOR</t>
  </si>
  <si>
    <t>¿PRESENTA DÉFICIT DE PERSONAL?</t>
  </si>
  <si>
    <t>HORAS DEFICIT/SUPERAVIT</t>
  </si>
  <si>
    <t>Para realizar el análisis de recursos se realizarán los siguientes cáculos por vigencia   y obtendfra al final del análisis si rpesenta déficit o disponibilidad suficiente de recurso humano para la realización del PAA.(Seleccione el hipervínculo que requiera):</t>
  </si>
  <si>
    <t xml:space="preserve">NORMA 2020: </t>
  </si>
  <si>
    <r>
      <rPr>
        <b/>
        <sz val="11"/>
        <color theme="1"/>
        <rFont val="Century Gothic"/>
        <family val="2"/>
      </rPr>
      <t>Consideraciones para la implementación</t>
    </r>
    <r>
      <rPr>
        <sz val="11"/>
        <color theme="1"/>
        <rFont val="Century Gothic"/>
        <family val="2"/>
      </rPr>
      <t xml:space="preserve">
,,,Las limitaciones de recursos afectan a las prioridades del plan de Auditoría Interna. Por
ejemplo, si los recursos no son suficientes para completar todos los trabajos propuestos en el plan, algunos de ellos pueden ser aplazados y algunos riesgos puede que no
sean revisados por Auditoría Interna. Durante la presentación al Consejo, el DAI tratará la propuesta de plan de Auditoría Interna y la evaluación de riesgos en la que está
basado, indicando tanto los riesgos que serán revisados, como los que no podrán ser
abordados por la restricción de recursos. Los miembros del Consejo pueden comentar
esta información y hacer recomendaciones antes de aprobar finalmente el plan de
Auditoría Interna</t>
    </r>
  </si>
  <si>
    <r>
      <rPr>
        <b/>
        <sz val="11"/>
        <color theme="1"/>
        <rFont val="Century Gothic"/>
        <family val="2"/>
      </rPr>
      <t xml:space="preserve">Consideraciones para la demostración de conformidad
</t>
    </r>
    <r>
      <rPr>
        <sz val="11"/>
        <color theme="1"/>
        <rFont val="Century Gothic"/>
        <family val="2"/>
      </rPr>
      <t>El DAI puede demostrar conformidad con la Norma conservando los registros de la distribución del plan de Auditoría Interna. La conformidad también puede ser evidenciada con copias de los materiales que se hayan preparado para las reuniones del Consejo, incluyendo tanto el plan de Auditoría Interna como las propuestas de revisión y aprobación. Las conversaciones con miembros de la alta dirección pueden ser documentadas en memorándums, correos electrónicos o notas realizadas durante el proceso de evaluación de riesgos de la actividad de Auditoría Interna.
Además, en las actas de las reuniones del Consejo suelen constar el debate sobre el
plan de auditoría y su posterior aprobación, cualquier cambio que se haya producido
una vez iniciado su desarrollo y/o el impacto que cualquier limitación de recursos</t>
    </r>
    <r>
      <rPr>
        <b/>
        <sz val="11"/>
        <color theme="1"/>
        <rFont val="Century Gothic"/>
        <family val="2"/>
      </rPr>
      <t xml:space="preserve">. </t>
    </r>
  </si>
  <si>
    <r>
      <rPr>
        <b/>
        <sz val="11"/>
        <color theme="1"/>
        <rFont val="Century Gothic"/>
        <family val="2"/>
      </rPr>
      <t>2020 – Comunicación y aprobación</t>
    </r>
    <r>
      <rPr>
        <sz val="11"/>
        <color theme="1"/>
        <rFont val="Century Gothic"/>
        <family val="2"/>
      </rPr>
      <t xml:space="preserve">
El Director de Auditoría Interna debe comunicar los planes y requerimientos de recursos
de la actividad de Auditoría Interna, incluyendo los cambios provisionales significativos,
a la alta dirección y al Consejo para la adecuada revisión y aprobación. El Director de
Auditoría Interna también debe comunicar el impacto de cualquier limitación de recursos.
</t>
    </r>
    <r>
      <rPr>
        <b/>
        <sz val="11"/>
        <color theme="1"/>
        <rFont val="Century Gothic"/>
        <family val="2"/>
      </rPr>
      <t>Introducción</t>
    </r>
    <r>
      <rPr>
        <sz val="11"/>
        <color theme="1"/>
        <rFont val="Century Gothic"/>
        <family val="2"/>
      </rPr>
      <t xml:space="preserve">
Previamente a la comunicación del plan de auditoría, las necesidades de recursos de
la actividad de Auditoría Interna y el impacto de una posible limitación de recursos a
la alta dirección y al Consejo, el Director de Auditoría Interna (DAI) fijará los recursos
necesarios para implementar el plan, definido según las prioridades derivadas de los
riesgos, identificadas durante el proceso de planificación (Norma 2010).
Los recursos necesarios pueden ser de personas (p.e. horas de trabajo y habilidades),
tecnológicos (por ejemplo, herramientas y técnicas de auditoría), de plazos y agenda
(disponibilidad de recursos) y de fondos. Una parte de los recursos se reserva normalmente para introducir posibles cambios en el plan de auditoría que puedan derivarse
de riesgos que no se hayan identificado anticipadamente y que podrían afectar a la
organización, o de nuevos trabajos de consultoría solicitados por la alta dirección y/o
el Consejo. Por ejemplo, puede surgir la necesidad de un nuevo proyecto de Auditoría
Interna cuando surjan nuevos riesgos derivados de fusiones o desinversiones en otras
compañías, de un contexto de incertidumbre política o de cambios en los requerimientos regulatorios.</t>
    </r>
  </si>
  <si>
    <t xml:space="preserve"> Comunicación y aprobación</t>
  </si>
  <si>
    <t xml:space="preserve">NORMA 2030: </t>
  </si>
  <si>
    <t>Administración de Recursos</t>
  </si>
  <si>
    <r>
      <rPr>
        <b/>
        <sz val="11"/>
        <color theme="1"/>
        <rFont val="Century Gothic"/>
        <family val="2"/>
      </rPr>
      <t xml:space="preserve">2030 – Administración de recursos
</t>
    </r>
    <r>
      <rPr>
        <sz val="11"/>
        <color theme="1"/>
        <rFont val="Century Gothic"/>
        <family val="2"/>
      </rPr>
      <t xml:space="preserve">El director de Auditoría Interna debe asegurar que los recursos de Auditoría Interna sean
apropiados, suficientes y eficazmente asignados para cumplir con el plan aprobado.
Interpretación:
“Apropiados” se refiere a la mezcla de conocimientos, aptitudes y otras competencias necesarias para llevar a cabo el plan. “Suficientes” se refiere a la cantidad
de recursos necesarios para cumplir con el plan. Los recursos están eficazmente
asignados cuando se utilizan de forma tal que optimizan el cumplimiento del plan
aprobado.
</t>
    </r>
  </si>
  <si>
    <r>
      <t xml:space="preserve">
</t>
    </r>
    <r>
      <rPr>
        <b/>
        <sz val="11"/>
        <color theme="1"/>
        <rFont val="Century Gothic"/>
        <family val="2"/>
      </rPr>
      <t>Introducción</t>
    </r>
    <r>
      <rPr>
        <sz val="11"/>
        <color theme="1"/>
        <rFont val="Century Gothic"/>
        <family val="2"/>
      </rPr>
      <t xml:space="preserve">
Al desarrollar el plan de Auditoría Interna (Norma 2010) y revisarlo con el Consejo y
la alta dirección (Norma 2020), el Director de Auditoría Interna (DAI) tendrá en cuenta y tratará el tema de los recursos necesarios para cumplir las prioridades del plan.
Para implementar la Norma 2030, el DAI normalmente comienza por conocer en
mayor profundidad los recursos disponibles para la actividad de auditoría de interna,
incluidos en el plan de Auditoría Interna aprobado por el Consejo.
El DAI puede estimar en detalle el número de auditores internos y horas de Auditoría
Interna productivas disponibles para implementar el plan dentro de los límites del
calendario programado en la organización. Las horas de trabajo productivas generalmente excluyen factores como el descanso remunerado y el tiempo dedicado a formación y tareas administrativas. Para tener una visión general de los conocimientos, capacidades y otras competencias que reúne en su conjunto la actividad de Auditoría Interna, el DAI puede repasar evaluaciones documentadas sobre las capacidades de su equipo, en caso de estar disponibles, o recopilar información de evaluaciones del rendimiento de los trabajadores y de las encuestas posteriores a las auditorías.
El DAI también puede revisar y analizar el presupuesto ya aprobado para sopesar los
fondos disponibles para formación, tecnología o contratación de nuevos auditores
para cumplir el plan.</t>
    </r>
  </si>
  <si>
    <r>
      <rPr>
        <b/>
        <sz val="11"/>
        <color theme="1"/>
        <rFont val="Century Gothic"/>
        <family val="2"/>
      </rPr>
      <t>Consideraciones para la implementación</t>
    </r>
    <r>
      <rPr>
        <sz val="11"/>
        <color theme="1"/>
        <rFont val="Century Gothic"/>
        <family val="2"/>
      </rPr>
      <t xml:space="preserve">
Al asignar recursos específicos a los trabajos identificados en el plan de Auditoría
Interna aprobado, el DAI puede ponderar cómo los recursos disponibles se corresponden con las capacidades específicas y los plazos que se requieren para realizar los trabajos. Durante este proceso, el DAI habitualmente trabaja para suplir cualquier deficiencia que pueda haber identificado.
Para suplir las deficiencias relacionadas con los conocimientos, capacidades y competencias del equipo de Auditoría Interna, el DAI puede proporcionar formación al equipo actual, pedirle a un experto de la organización que actúe como “auditor invitado”,
contratar nuevos auditores internos o contratar un proveedor de servicios externo. Si
la cantidad de recursos es insuficiente para realizar los trabajos planificados de forma
eficaz y eficiente, el DAI puede contratar más auditores, externalizar trabajos o realizarlos conjuntamente con un proveedor externo, utilizar uno o más “auditores invitados” o desarrollar un programa de auditoría rotatorio.
</t>
    </r>
  </si>
  <si>
    <t>Para elaborar el calendario de los trabajos de Auditoría Interna, el DAI tendrán en
cuenta el programa de la organización, las agendas de los auditores internos individuales y la disponibilidad de los departamentos auditables. Por ejemplo, si un trabajo
de auditoría tiene que ser realizado en unas fechas concretas del año, los recursos
necesarios para realizarlo también tienen que estar disponibles en esas fechas. De la
misma forma, si un departamento auditable no está disponible o tiene limitaciones
durante un periodo concreto del año, debido a necesidades del negocio, el trabajo de
auditoría debe ser planificado en otras fechas.
Es importante que el DAI compruebe continuamente que sus recursos son adecuados
en general, ya que debe informar sobre el impacto de la limitación de recursos (Norma
2020) y sobre el desempeño de la actividad de Auditoría Interna en lo tocante al cumplimiento de su plan (Norma 2060). Para poder afirmar que los recursos son apropiados, suficientes y asignados de forma eficaz, el DAI utiliza distintas métricas que evalúan el desempeño de la actividad de Auditoría Interna y solicita el feedback de sus clientes</t>
  </si>
  <si>
    <r>
      <rPr>
        <b/>
        <sz val="11"/>
        <color theme="1"/>
        <rFont val="Century Gothic"/>
        <family val="2"/>
      </rPr>
      <t xml:space="preserve">Consideraciones para la demostración de conformidad
</t>
    </r>
    <r>
      <rPr>
        <sz val="11"/>
        <color theme="1"/>
        <rFont val="Century Gothic"/>
        <family val="2"/>
      </rPr>
      <t>La documentación que evidencia la conformidad con la Norma 2030 puede incluir el
propio plan de Auditoría Interna, que contiene el calendario previsto para la realiza-
ción de los trabajos de auditoría y los recursos asignados. Además, se puede documentar la comparación de las horas presupuestadas con las horas reales para validar que
los recursos han sido asignados de forma eficaz. A menudo, los resultados de las evaluaciones de los clientes relacionados con el desempeño de la actividad de Auditoría
Interna y con el de los auditores internos individuales, son anotados en los informes
posteriores a las auditorías, encuestas y en informes anuales.</t>
    </r>
  </si>
  <si>
    <t xml:space="preserve">NORMA 2010: </t>
  </si>
  <si>
    <r>
      <rPr>
        <b/>
        <sz val="11"/>
        <color theme="1"/>
        <rFont val="Century Gothic"/>
        <family val="2"/>
      </rPr>
      <t>Norma principalmente relacionada
2010 – Planificación</t>
    </r>
    <r>
      <rPr>
        <sz val="11"/>
        <color theme="1"/>
        <rFont val="Century Gothic"/>
        <family val="2"/>
      </rPr>
      <t xml:space="preserve">
El Director de Auditoría Interna debe establecer un plan basado en los riesgos, a fin de
determinar las prioridades de la actividad de Auditoría Interna. Dichos planes deberán
ser consistentes con las metas de la organización.
</t>
    </r>
    <r>
      <rPr>
        <b/>
        <sz val="11"/>
        <color theme="1"/>
        <rFont val="Century Gothic"/>
        <family val="2"/>
      </rPr>
      <t>Interpretación:</t>
    </r>
    <r>
      <rPr>
        <sz val="11"/>
        <color theme="1"/>
        <rFont val="Century Gothic"/>
        <family val="2"/>
      </rPr>
      <t xml:space="preserve">
Para desarrollar un plan basado en riesgos, el Director de Auditoría Interna primero consulta con la alta dirección y el Consejo y para entender las estrategias de la organización, los objetivos clave del negocio, los riesgos asociados y los procesos de gestión de riesgos. El Director de Auditoría Interna debe revisar y ajustar el plan, cuando sea necesario, como respuesta a los cambios en la organización, los riesgos, las operaciones, los programas, los sistemas y los controles.</t>
    </r>
  </si>
  <si>
    <r>
      <rPr>
        <b/>
        <sz val="11"/>
        <color theme="1"/>
        <rFont val="Century Gothic"/>
        <family val="2"/>
      </rPr>
      <t>Consideraciones para la implementación</t>
    </r>
    <r>
      <rPr>
        <sz val="11"/>
        <color theme="1"/>
        <rFont val="Century Gothic"/>
        <family val="2"/>
      </rPr>
      <t xml:space="preserve">
Esta revisión del enfoque con que la organización aborde la gestión de riesgos, puede
ayudar al DAI a decidir cómo organizar o actualizar el universo auditable, que consiste en todas las áreas de riesgos que podrían ser objeto de auditoría, y que se materializa en la lista de los posibles trabajos de auditoría que se pueden realizar. El universo auditable incluye proyectos e iniciativas relacionadas con el plan estratégico de
la organización, y puede ser estructurado en unidades de negocio, líneas de productos o servicios, procesos, programas, sistemas o controles.
Para estructurar el universo auditable y priorizar riesgos, se aconseja al DAI que vincule los riesgos críticos con objetivos específicos y con procesos de negocio. El DAI
empleará un enfoque de factor de riesgo para tener en cuenta los riesgos tanto internos, como externos. Los riesgos internos pueden afectar a productos y servicios clave,
al personal y a los sistemas. Los factores de riesgo relevantes relacionados con riesgos
internos incluyen la magnitud de los cambios habidos en un riesgo determinado desde
la última vez que fue auditado, la calidad de los controles y otros. Los riesgos externos pueden estar relacionados con los competidores, los proveedores u otros aspectos del sector. Los factores de riesgo relevantes en los riesgos externos pueden incluir
cambios legales o regulatorios pendientes y otros factores políticos y económicos.
</t>
    </r>
  </si>
  <si>
    <r>
      <rPr>
        <b/>
        <sz val="11"/>
        <color theme="1"/>
        <rFont val="Century Gothic"/>
        <family val="2"/>
      </rPr>
      <t>Consideraciones para la demostración de conformidad</t>
    </r>
    <r>
      <rPr>
        <sz val="11"/>
        <color theme="1"/>
        <rFont val="Century Gothic"/>
        <family val="2"/>
      </rPr>
      <t xml:space="preserve">
La evidencia de conformidad con la Norma 2010 está en el plan de Auditoría Interna
documentado, así como en la evaluación de riesgos en la que se basa el plan. También
se puede obtener una evidencia de respaldo en las actas de las reuniones en las que
el DAI haya tratado el universo auditable y la evaluación de riesgos con el Consejo y
la alta dirección. Además, los memorándums que se conserven en el archivo podrían
ser empleados para documentar conversaciones similares con miembros individuales
de la dirección en distintos niveles de la organización.</t>
    </r>
  </si>
  <si>
    <t>Para asegurar que el universo auditable cubre todos los riesgos de la organización (hasta la extensión posible), la actividad de Auditoría Interna normalmente revisa de forma independiente y confirma los riesgos clave identificados por la alta dirección. De acuerdo con la Norma 2010.A1, el plan de Auditoría Interna debe basarse en una evaluación de riesgos documentada, realizada al menos anualmente, que tenga en cuenta las indicaciones de la alta dirección y el Consejo. Como se indica en el Glosario, los riesgos se miden en términos de impacto y probabilidad.
Al desarrollar el plan de Auditoría Interna, el DAI también tiene en cuenta cualquier solicitud que le haga el Consejo y/o la alta dirección, así como la capacidad de la actividad de Auditoría Interna de confiar en el trabajo de otros proveedores de aseguramiento interno y externo (según la Norma 2050).</t>
  </si>
  <si>
    <t xml:space="preserve">Una vez obtenida y revisada la citada información, el DAI desarrolla un plan de Auditoría Interna que normalmente incluye:
- Una lista con la propuesta de trabajos de Auditoría Interna (especificando si se trata
de trabajos de aseguramiento o consultoría).
- Los argumentos por los que se selecciona cada uno de los trabajos propuestos (por
ejemplo, rating de riesgos, tiempo transcurrido desde la última auditoría, cambios en la gestión, etc.).
- Objetivos y alcance de cada trabajo propuesto.
- Una lista de iniciativas o proyectos relacionados con la estrategia de Auditoría Interna, pero que pueden no estar directamente relacionados con un trabajo de auditoría.
Aunque los planes de auditoría habitualmente se elaboran anualmente, pueden ser desarrollados con otra periodicidad. Por ejemplo, la actividad de Auditoría Interna puede mantener una rotación del plan de auditoría de 12 meses y revaluar proyectos trimestralmente. O la actividad de Auditoría Interna puede desarrollar un plan de auditoría para varios años y evaluar el plan anualmente.
</t>
  </si>
  <si>
    <t>El DAI comentará el plan de Auditoría Interna con el Consejo, la alta dirección y otros grupos de interés para lograr alinearlo con las prioridades de varios stakeholders. El DAI también debe ser consciente de las áreas de riesgo que no están incluidas en el plan.
En este sentido, las reuniones en las que se trate el tema del plan de auditoría pueden ser una oportunidad para que el DAI repase los roles y responsabilidades del Consejo y la alta dirección relacionadas con la gestión de riesgos y las normas relacionadas con mantener la independencia y la objetividad de la actividad de Auditoría Interna (Normas de la 1100 a la 1130.C2). El DAI reflexionará sobre cualquier feedback que reciba de los grupos de interés antes de dar por finalizada la elaboración del plan.
El plan de Auditoría Interna debe ser suficientemente flexible para permitir al DAI revisarlo y ajustarlo, si es necesario, para responder a los cambios que se produzcan en
los negocios, riesgos, operaciones, programas, sistemas y controles de la organización.
Los cambios significativos deben ser comunicados al Consejo y a la alta dirección para
su revisión y aprobación, de acuerdo con la Norma 2020</t>
  </si>
  <si>
    <t>2010 – Planificación</t>
  </si>
  <si>
    <t>Cada uno de los posibles elementos o actividades a auditar. Pueden ser procesos, proyectos, dependencias y/o puntos  críticos  identificados en  ejercicios de  auditoría previos.</t>
  </si>
  <si>
    <t>ANÁLISIS OFICINA DE CONTROL INTERNO</t>
  </si>
  <si>
    <t>Unidad Auditable 25</t>
  </si>
  <si>
    <t>Unidad Auditable 26</t>
  </si>
  <si>
    <t>Unidad Auditable 27</t>
  </si>
  <si>
    <t>Unidad Auditable 28</t>
  </si>
  <si>
    <t>Unidad Auditable 29</t>
  </si>
  <si>
    <t>Unidad Auditable 30</t>
  </si>
  <si>
    <t>Unidad Auditable 31</t>
  </si>
  <si>
    <t>Unidad Auditable 32</t>
  </si>
  <si>
    <t>Unidad Auditable 33</t>
  </si>
  <si>
    <t>Unidad Auditable 34</t>
  </si>
  <si>
    <t>Unidad Auditable 35</t>
  </si>
  <si>
    <t>ANÁLISIS OFICINA DE CONTROL INTERNO
PRIORIZACIÓN</t>
  </si>
  <si>
    <t>TOTAL</t>
  </si>
  <si>
    <t>PONDERACIÓN</t>
  </si>
  <si>
    <t>AFECTACIÓN PRESUPUESTAL DEL:</t>
  </si>
  <si>
    <t>POSIBLE INTERRUPCIÓN OPERACIÓN</t>
  </si>
  <si>
    <t xml:space="preserve">PERDIDA DE COBERTURA SERVICIOS </t>
  </si>
  <si>
    <t>SANCIONES ECONOMICAS (Afectación en el presupuesto)</t>
  </si>
  <si>
    <t xml:space="preserve">AFECTACIÓN IMAGEN INSTITUCIONAL </t>
  </si>
  <si>
    <t>PLANES DE MEJORAMIENTO -PARTICIPACIÓN</t>
  </si>
  <si>
    <t>PERDIDA DE INFORMACIÓN</t>
  </si>
  <si>
    <t>Incluir en ciclos posteriores de auditoría</t>
  </si>
  <si>
    <t xml:space="preserve">Incluir en el ciclo de auditorías de la vigencia </t>
  </si>
  <si>
    <t xml:space="preserve">Incluir en el ciclo vigente de acuerdo a disponibilidad de recursos </t>
  </si>
  <si>
    <t>Unidad Auditable 36</t>
  </si>
  <si>
    <t>Unidad Auditable 37</t>
  </si>
  <si>
    <t>Unidad Auditable 38</t>
  </si>
  <si>
    <t>Unidad Auditable 39</t>
  </si>
  <si>
    <t>Unidad Auditable 40</t>
  </si>
  <si>
    <t>Unidad Auditable 41</t>
  </si>
  <si>
    <t>Unidad Auditable 42</t>
  </si>
  <si>
    <t>Unidad Auditable 43</t>
  </si>
  <si>
    <t>Unidad Auditable 44</t>
  </si>
  <si>
    <t>Unidad Auditable 45</t>
  </si>
  <si>
    <t>Unidad Auditable 46</t>
  </si>
  <si>
    <t>Unidad Auditable 47</t>
  </si>
  <si>
    <t>Unidad Auditable 48</t>
  </si>
  <si>
    <t>Unidad Auditable 49</t>
  </si>
  <si>
    <t>Unidad Auditable 50</t>
  </si>
  <si>
    <t>Unidad Auditable 51</t>
  </si>
  <si>
    <t>Unidad Auditable 52</t>
  </si>
  <si>
    <t>Unidad Auditable 53</t>
  </si>
  <si>
    <t>Unidad Auditable 54</t>
  </si>
  <si>
    <t>Unidad Auditable 55</t>
  </si>
  <si>
    <t>Unidad Auditable 56</t>
  </si>
  <si>
    <t>Unidad Auditable 57</t>
  </si>
  <si>
    <t>Unidad Auditable 58</t>
  </si>
  <si>
    <t>Unidad Auditable 59</t>
  </si>
  <si>
    <t>Unidad Auditable 60</t>
  </si>
  <si>
    <t>Unidad Auditable 61</t>
  </si>
  <si>
    <t>Unidad Auditable 62</t>
  </si>
  <si>
    <t>Unidad Auditable 63</t>
  </si>
  <si>
    <t>Unidad Auditable 64</t>
  </si>
  <si>
    <t>Unidad Auditable 65</t>
  </si>
  <si>
    <t>Unidad Auditable 66</t>
  </si>
  <si>
    <t>Unidad Auditable 67</t>
  </si>
  <si>
    <t>Unidad Auditable 68</t>
  </si>
  <si>
    <t>Unidad Auditable 69</t>
  </si>
  <si>
    <t>Unidad Auditable 70</t>
  </si>
  <si>
    <t>Unidad Auditable 71</t>
  </si>
  <si>
    <t>Unidad Auditable 72</t>
  </si>
  <si>
    <t>Unidad Auditable 73</t>
  </si>
  <si>
    <t>Unidad Auditable 74</t>
  </si>
  <si>
    <t>Unidad Auditable 75</t>
  </si>
  <si>
    <t>Unidad Auditable 76</t>
  </si>
  <si>
    <t>Unidad Auditable 77</t>
  </si>
  <si>
    <t>Unidad Auditable 78</t>
  </si>
  <si>
    <t>Unidad Auditable 79</t>
  </si>
  <si>
    <t>Unidad Auditable 80</t>
  </si>
  <si>
    <t>Unidades Auditables</t>
  </si>
  <si>
    <t>UNIVERSO DE AUDITORIA Y PRIORIZACIÓN DE UNIDADES AUDITABLES</t>
  </si>
  <si>
    <t>NOTA SOBRE DILIGENCIAMIENTO</t>
  </si>
  <si>
    <t>YA CUENTA CON PONDERACIÓN DE RIESGOS, NO DILIGENCIAR ANALISIS OCI</t>
  </si>
  <si>
    <t>DILIGENCIE ANALISIS OCI PARA ESTA UNIDAD AUDITABLE</t>
  </si>
  <si>
    <t>CALIFICACIÓN</t>
  </si>
  <si>
    <t>DESDE</t>
  </si>
  <si>
    <t>HASTA</t>
  </si>
  <si>
    <t>≤10%</t>
  </si>
  <si>
    <t>&gt;10%</t>
  </si>
  <si>
    <t>≤20%</t>
  </si>
  <si>
    <t>&gt;20%</t>
  </si>
  <si>
    <t>≤30%</t>
  </si>
  <si>
    <t>&gt;30%</t>
  </si>
  <si>
    <t>BAJA</t>
  </si>
  <si>
    <t>MEDIA</t>
  </si>
  <si>
    <t xml:space="preserve">ALTA </t>
  </si>
  <si>
    <t>EXTREMA</t>
  </si>
  <si>
    <r>
      <t xml:space="preserve">CONOCIMIENTO DE LA ENTIDAD
</t>
    </r>
    <r>
      <rPr>
        <sz val="11"/>
        <color rgb="FF0000FF"/>
        <rFont val="Century Gothic"/>
        <family val="2"/>
      </rPr>
      <t>EMPRES A DE RENOVACION Y DESARROLLO URBANO DE BOGOTA D.C.</t>
    </r>
    <r>
      <rPr>
        <b/>
        <sz val="11"/>
        <color theme="1"/>
        <rFont val="Century Gothic"/>
        <family val="2"/>
      </rPr>
      <t xml:space="preserve">
</t>
    </r>
  </si>
  <si>
    <t>N/A</t>
  </si>
  <si>
    <t>Si</t>
  </si>
  <si>
    <t>Sí</t>
  </si>
  <si>
    <t>Varias horas</t>
  </si>
  <si>
    <t>Incumplimiento de servicios</t>
  </si>
  <si>
    <t>Falta de oportunidad para atención usuarios</t>
  </si>
  <si>
    <t>Falta de oportunidad para gestión de los procesos</t>
  </si>
  <si>
    <t>Critica con recuperación parcial</t>
  </si>
  <si>
    <t>Hechos de Corrupción</t>
  </si>
  <si>
    <t>JANETH VILLALBA MAHECHA</t>
  </si>
  <si>
    <t xml:space="preserve">Realizar un examen sistemático, objetivo e independiente de los procesos, actividades, operaciones y resultados de las áreas de la empresa; que permita emitir juicios basados en evidencias sobre los aspectos más importantes de la gestión, formular recomendaciones de ajuste y mejoramiento, a fin de que se obtengan los resultados esperados. </t>
  </si>
  <si>
    <t>Seguimiento Comités Institucionales</t>
  </si>
  <si>
    <t>Seguimiento de Acuerdos de Gestión</t>
  </si>
  <si>
    <t>Seguimiento Informes Gobierno Digital</t>
  </si>
  <si>
    <t>Seguimiento Comité de Sostenibilidad Contable</t>
  </si>
  <si>
    <t>José Edwin Lozano</t>
  </si>
  <si>
    <t>Campaña de fomento de Autocontrol</t>
  </si>
  <si>
    <t>Trasmisión Cuenta Mensual Contraloría</t>
  </si>
  <si>
    <t>Jefe Oficina de Control Interno         
Técnico Apoyo Atención entes de control
Auditor Designado</t>
  </si>
  <si>
    <t>Ley 1474 de 2011</t>
  </si>
  <si>
    <t>Equipo Oficina de Control Interno</t>
  </si>
  <si>
    <t>El Plan Anual de Auditoria contempla los trabajos de auditoria interna, evaluaciones y seguimientos a realizar durante la vigencia 2020, a través de las cuales se evaluará la gestión institucional, el cumplimiento de objetivos,  la administración del riesgo, los planes de mejoramiento, la aplicación de procedimientos y normas legales vigentes, entre otros criterios.</t>
  </si>
  <si>
    <t>Presentación y Aprobación programa de Auditorías</t>
  </si>
  <si>
    <t>Coordinar y Ejecutar Sesiones del  Comité Institucional de Coordinación de Control Interno</t>
  </si>
  <si>
    <t>Janeth Villalba Mahecha</t>
  </si>
  <si>
    <t>Asistencia y Participación en los Comités Institucionales</t>
  </si>
  <si>
    <t>Auditoria Misional - Predios Administrados por la ERU</t>
  </si>
  <si>
    <t>Auditoria Procesos Ejecución Proyectos de Obras</t>
  </si>
  <si>
    <t>X</t>
  </si>
  <si>
    <t>Seguimientos a publicaciones de la Contratación en la Plataforma SECOP</t>
  </si>
  <si>
    <t>Seguimiento Comité de Defensa Judicial, Conciliación y Repetición y SIPROJ</t>
  </si>
  <si>
    <t>Seguimiento a Directrices para Prevenir Conductas Irregulares sobre Incumplimiento de Manuales de Funciones y de Procedimientos y Pérdida de Elementos y Documentos Público. Directiva  003 de 2013</t>
  </si>
  <si>
    <t xml:space="preserve">Seguimiento a Verificación, Recomendaciones y Resultados sobre Cumplimiento de normas en materia de Derechos de Autor sobre Software </t>
  </si>
  <si>
    <t>Seguimiento a la Austeridad en el Gasto</t>
  </si>
  <si>
    <t>Evaluación de los Riesgos  de Corrupción</t>
  </si>
  <si>
    <t>Evaluación de los Riesgos  de Gestión</t>
  </si>
  <si>
    <t>Seguimiento Plan de Mejoramiento Contraloría</t>
  </si>
  <si>
    <t>Prestar los servicios de asesoría y acompañamiento requeridos</t>
  </si>
  <si>
    <t>Seguimiento Estado de Cumplimiento Metas Plan de Desarrollo e Indicadores</t>
  </si>
  <si>
    <t>Reparto, seguimiento, revisión y registro de respuestas a Entes Externos de Control</t>
  </si>
  <si>
    <t xml:space="preserve">Lily Moreno </t>
  </si>
  <si>
    <t>Fortalecer los mecanismos de
prevención, investigación y sanción de actos de corrupción y la efectividad
del control de la gestión pública.</t>
  </si>
  <si>
    <t>Permite a las entidades estatales cumplir con las obligaciones de publicidad de los diferentes actos expedidos en los procesos contractuales y permite a los interesados en participar en los procesos de contratación, proponentes, veedurías y a la ciudadanía</t>
  </si>
  <si>
    <t>Medir la efectividad de las acciones mínimas de control que deben
realizar los responsables de la información financiera de las entidades públicas y garantizar, razonablemente, la producción de información financiera con las características fundamentales de relevancia y representación fiel, definidas en el marco conceptual de! marco normativo que le sea aplicable a la entidad, de acuerdo con lo establecido en el Régimen
de Contabilidad Pública</t>
  </si>
  <si>
    <t>Establecen directrices y lineamientos en materia de conciliación y Comités de Conciliación en el Distrito Capital</t>
  </si>
  <si>
    <t>Decreto Distrital No. 061 del 14 de febrero de 2007</t>
  </si>
  <si>
    <t>Por el cual se reglamenta el funcionamiento de las Cajas Menores y los Avances en Efectivo</t>
  </si>
  <si>
    <t>Directrices para prevenir conductas irregulares relacionadas con incumplimiento de los manuales de funciones y de procedimientos y la pérdida de elementos y documentos públicos</t>
  </si>
  <si>
    <t xml:space="preserve">Seguimiento a Peticiones, Quejas, Reclamos, Sugerencias y Felicitaciones </t>
  </si>
  <si>
    <t>Decreto 648 de 2017</t>
  </si>
  <si>
    <t>Decreto 648 de 2017 Capitulo 3 Artículo  2.2.21.4.9</t>
  </si>
  <si>
    <t xml:space="preserve">Fortalecer el control interno en los organismos y entidades del Estado. </t>
  </si>
  <si>
    <t>Orientar la implementación del SIGD y la operación del MIPG, en su respectiva entidad u organismo</t>
  </si>
  <si>
    <t>Propiciar el desarrollo pleno del potencial de los habitantes de la ciudad, para alcanzar la felicidad de todos en su condición de individuos, miembros de familia y de la sociedad.</t>
  </si>
  <si>
    <t>Adopta la metodología e instrumentos para la evaluación de la Gestión del Rendimiento de los Gerentes Públicos</t>
  </si>
  <si>
    <t>Fortalecer el Sistema de Control Interno</t>
  </si>
  <si>
    <t>Lineamientos generales sobre austeridad y transparencia del gasto público en las entidades y organismos del orden distrital.</t>
  </si>
  <si>
    <t>Eficiencia administrativa, participación y servicios al ciudadano por medios electrónicos</t>
  </si>
  <si>
    <t>Resolución Nº 357 de 2008</t>
  </si>
  <si>
    <t>Lograr una información contable con las características de confiabilidad, relevancia y comprensibilidad,</t>
  </si>
  <si>
    <t>Ley 87 de 1993</t>
  </si>
  <si>
    <t>Resolución 011 de 2014</t>
  </si>
  <si>
    <t>Prescribir los métodos, la forma y términos de rendir la cuenta por parte de los responsables del manejo de fondos, bienes o recursos públicos del Distrito Capital y unificar la información que se presenta a la Contraloría de Bogotá, D.C.</t>
  </si>
  <si>
    <t>Edgar Mogollón
José Edwin Lozano</t>
  </si>
  <si>
    <t>José Edwin Lozano 
Edgar Mogollón</t>
  </si>
  <si>
    <t>Omar Urrea 
Miguel Pardo
Lily Moreno</t>
  </si>
  <si>
    <t>Edgar Mogollón 
Omar Urrea</t>
  </si>
  <si>
    <t xml:space="preserve">Jefe Oficina de Control Interno    </t>
  </si>
  <si>
    <t>Trabajador Oficial</t>
  </si>
  <si>
    <t>Decreto 648 de 2017, artículo 4
Decreto Nacional No. 1083 de 2015 artículos 2.2.21.1.5 y 2.2.21.1.6</t>
  </si>
  <si>
    <t>Auditoria Proceso Gestión Financiera y Contable</t>
  </si>
  <si>
    <t>Auditoria a la Implementación del Modelo Integrado de Planeación y Gestión MIPG</t>
  </si>
  <si>
    <t xml:space="preserve"> </t>
  </si>
  <si>
    <t>Seguimiento Estrategia Antitrámite</t>
  </si>
  <si>
    <t>Lily Moreno
Miguel A. Pardo</t>
  </si>
  <si>
    <t>Atención Vistas – Entes de Control - Atención requerimientos entes de control conforme a las competencias de la OCI</t>
  </si>
  <si>
    <t>Asesoría, acompañamiento  y Trasmisión Cuenta Anual Contraloría</t>
  </si>
  <si>
    <t>Cumplimiento Normas ISO</t>
  </si>
  <si>
    <t>Informe Integral de Gestión OCI</t>
  </si>
  <si>
    <t>Retrasos en los servicios</t>
  </si>
  <si>
    <t>Ernesto Quintana</t>
  </si>
  <si>
    <t>Proyecto San Victorino  (Alto volumen de información - terminación Contrato de dos auditores - aun en proceso de contratación)</t>
  </si>
  <si>
    <t>Seguimiento Cajas Menores (SE EFECTUAN SIN PREVIO AVISO)</t>
  </si>
  <si>
    <t>Dirigir la gestión pública al mejor desempeño institucional</t>
  </si>
  <si>
    <t>Equipo Oficina de Control Interno
José Santis</t>
  </si>
  <si>
    <t>Evidencia</t>
  </si>
  <si>
    <t>Observación</t>
  </si>
  <si>
    <t>Seguimiento implementación acciones de mejora a raíz de auditorias externas e internas</t>
  </si>
  <si>
    <t>Activos de Información y Funcionamiento Software que maneja la Empresa</t>
  </si>
  <si>
    <t xml:space="preserve">Auditoria Voto Nacional - Contratos Asociados (Auditoria de Gestión Contractual)  </t>
  </si>
  <si>
    <t>http://186.154.195.124/node/2808</t>
  </si>
  <si>
    <t>http://186.154.195.124/mision-y-vision</t>
  </si>
  <si>
    <t>http://186.154.195.124/node/2803</t>
  </si>
  <si>
    <t>http://186.154.195.124/node/3488</t>
  </si>
  <si>
    <t>http://www.eru.gov.co/es/node/1611</t>
  </si>
  <si>
    <t>http://186.154.195.124/organigrama</t>
  </si>
  <si>
    <t>http://www.eru.gov.co/es/search/content?keys=politicas+institucionales</t>
  </si>
  <si>
    <t>http://186.154.195.124/node/3317</t>
  </si>
  <si>
    <t>http://186.154.195.124/mipg/mapa-procesos</t>
  </si>
  <si>
    <t>http://186.154.195.124/search/content?keys=gestion%20documental&amp;page=0</t>
  </si>
  <si>
    <t>http://186.154.195.124/node/1652</t>
  </si>
  <si>
    <t>http://186.154.195.124/node/1625</t>
  </si>
  <si>
    <t>Calle 100, Complejo Hospitalario San Juan de Dios</t>
  </si>
  <si>
    <t>http://www.eru.gov.co/es/node/1540</t>
  </si>
  <si>
    <t>http://www.eru.gov.co/
http://186.154.195.124/</t>
  </si>
  <si>
    <t>http://186.154.195.124/search/content?keys=indicadores%20de%20gestion</t>
  </si>
  <si>
    <t>http://www.eru.gov.co/es/node/1738</t>
  </si>
  <si>
    <t>http://186.154.195.124/node/2395</t>
  </si>
  <si>
    <t>http://186.154.195.124/node/2354</t>
  </si>
  <si>
    <t>http://186.154.195.124/search/content?keys=MAPA+RIESGOS</t>
  </si>
  <si>
    <t>http://www.eru.gov.co/index.php/es/node/1515</t>
  </si>
  <si>
    <t>http://www.eru.gov.co/index.php/es/node/1754</t>
  </si>
  <si>
    <t>http://www.eru.gov.co/es/node/1759</t>
  </si>
  <si>
    <t>http://186.154.195.124/search/content?keys=Comit%C3%A9+Institucional+de+Coordinaci%C3%B3n+de+Control+Interno</t>
  </si>
  <si>
    <t>2 días</t>
  </si>
  <si>
    <t>CRONOGRAMA VIGENCIA AÑO 2021</t>
  </si>
  <si>
    <t>VIGENCIA 2021</t>
  </si>
  <si>
    <t>Evaluación de Riesgos</t>
  </si>
  <si>
    <t xml:space="preserve">
Janeth Villalba Mahecha
Jefe Oficina de Control Interno
Empresa de Renovación y Desarrollo Urbano de Bogotá D.C.
Enero 15 de 2021
</t>
  </si>
  <si>
    <t>INFORME DE TRANSICIÓN NUEVO JEFE DE CONTROL INTERNO</t>
  </si>
  <si>
    <t xml:space="preserve"> ley 1474 de 2011</t>
  </si>
  <si>
    <t>Jefe Oficina de Control Interno</t>
  </si>
  <si>
    <t>Ley 1474 de 2011 - Estatuto Anticorrupción
Decreto 019 de 2012 - "Por el cual se dictan normas para suprimir o reformar regulaciones, procedimientos y trámites innecesarios existentes en la Administración Pública.”</t>
  </si>
  <si>
    <t>Cumplimiento de las normas internacionales</t>
  </si>
  <si>
    <t>Revisar y actualizar los instrumentos básicos de la actividad de auditoria interna</t>
  </si>
  <si>
    <t>Resolución Orgánica 5544 de 2003
Resolución 5580 de 2004
Resolución 003 de 2005</t>
  </si>
  <si>
    <t>Permite el mejoramiento continuo y cumplimiento de los objetivos institucionales de la entidad pública</t>
  </si>
  <si>
    <t>Fortalecer el control interno en los organismos y entidades del Estado</t>
  </si>
  <si>
    <t>Ernesto Quintana
Miguel Pardo</t>
  </si>
  <si>
    <t>Directiva 017 de 2018</t>
  </si>
  <si>
    <t>Reuniones de Autoevaluación Proceso (quincenal)</t>
  </si>
  <si>
    <t>Revisión y actualización del Proceso Evaluación y Seguimiento: Revisión procedimientos, instructivos, formatos, indicadores y riesgos del proceso, asignación y seguimiento  de tareas y actividades programadas, determinación de directrices e instrucciones al grupo de trabajo</t>
  </si>
  <si>
    <t>Informes gestión OCI 2020-2021 -  Informe transición jefatura control interno 2022</t>
  </si>
  <si>
    <t>Contratsita tecnico</t>
  </si>
  <si>
    <t>Contratista Profesional</t>
  </si>
  <si>
    <t>PLAN ANUAL DE AUDITORIA 2020</t>
  </si>
  <si>
    <t>Actividades Programadas</t>
  </si>
  <si>
    <t>Porcentaje ejecutado</t>
  </si>
  <si>
    <t>Observaciones</t>
  </si>
  <si>
    <t>Auditoria Proceso Gestión Financiera y Contable se ejecuto en un 90% quedando pendiente el cierre programado para el mes de enero de 2021</t>
  </si>
  <si>
    <t>CUMPLIMIENTO NORMAS ISO</t>
  </si>
  <si>
    <t xml:space="preserve">Se realizaron Auditorias de Calidad a los 17 procesos de la Empresa </t>
  </si>
  <si>
    <t>Los siguientes informes se finalizaran en enero de 2021:
1. Seguimientos a publicaciones de la Contratación en la Plataforma SECOP (segundo semestre 2020) , Avance 60%
2. Seguimiento Comités Institucionales. Avance 60%
3. Seguimiento Estado de Cumplimiento Metas Plan de Desarrollo e Indicadores Avance 90%
4. Seguimiento Informes Gobierno Digital. Avance 80%
5. Seguimiento Código de Integridad. Avance 80%</t>
  </si>
  <si>
    <t xml:space="preserve">Incluye actividad "Prestar los servicios de asesoría y acompañamiento requeridos"
NOTA: Estas actividades se realizan mensualmente </t>
  </si>
  <si>
    <t>Incluye Actividades Entes de Control y seguimientos a los Planes de Mejoramiento de la Contraloría y por Procesos.</t>
  </si>
  <si>
    <t>Subgerencia</t>
  </si>
  <si>
    <t>Dirección /Oficina</t>
  </si>
  <si>
    <t xml:space="preserve">Nombre del responsable </t>
  </si>
  <si>
    <t xml:space="preserve">Teléfono del responsable </t>
  </si>
  <si>
    <t xml:space="preserve">Correo electrónico del responsable </t>
  </si>
  <si>
    <t>Código UNSPSC (cada código separado por ;)</t>
  </si>
  <si>
    <t>Nombre Contratista</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</si>
  <si>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</si>
  <si>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</si>
  <si>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</si>
  <si>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</si>
  <si>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</si>
  <si>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</si>
  <si>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</si>
  <si>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¿Se requieren vigencias futuras?</t>
  </si>
  <si>
    <t>Estado de solicitud de vigencias futuras</t>
  </si>
  <si>
    <t>Unidad de contratación (referencia)</t>
  </si>
  <si>
    <t xml:space="preserve">  </t>
  </si>
  <si>
    <t>Oficina de Control Interno</t>
  </si>
  <si>
    <t>jvillalbam@eru.gov.co</t>
  </si>
  <si>
    <t>Ernesto Arturo Quintana Pinilla</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</si>
  <si>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Gobierno Digital, Tecnologías de la Información y las Comunicaciones, Seguridad de la Información y Transparencia y Acceso a la Información Pública en el marco del Modelo Integrado de Planeación y Gestión y de acuerdo con lo definido en el Plan Anual de Auditoría.</t>
  </si>
  <si>
    <t>enero</t>
  </si>
  <si>
    <t>meses</t>
  </si>
  <si>
    <t>Contratación Directa</t>
  </si>
  <si>
    <t>Recursos Propios</t>
  </si>
  <si>
    <t>no</t>
  </si>
  <si>
    <t>Control Interno</t>
  </si>
  <si>
    <t xml:space="preserve">Omar Urrea Romero </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</si>
  <si>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evaluación y seguimiento a procesos, planes, programas y proyectos de la Empresa, de acuerdo con lo definido en el Plan Anual de Auditoría, el Modelo Integrado de Planeación y Gestión y los requisitos técnicos y legales aplicables en cada caso.</t>
  </si>
  <si>
    <t>Miguel Ángel Pardo Mateus</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</si>
  <si>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los procesos misionales y de apoyo, evaluación de la administración del riesgo, Sistema de Control Interno, cumplimiento de requisitos legales y regulaciones internas, metas del plan de desarrollo, implementación y sostenibilidad del Modelo Integrado de Planeación y Gestión MIPG, gestión ambiental, seguridad y salud en el trabajo y entes externos de control, en concordancia con el Plan Anual de Auditoría y los requisitos legales aplicables.</t>
  </si>
  <si>
    <t>Lily Johanna Moreno González</t>
  </si>
  <si>
    <t>Prestación de servicios profesionales especializados para apoyar el cumplimiento de las actividades relacionadas con asesoría, seguimiento y evaluación propias de la oficina de control interno de la Empresa de Renovación y Desarrollo Urbano de Bogotá, en lo relacionado con el Sistema Integrado de Gestión, seguimiento y evaluación del Sistema de Gestión de Calidad, Sistema de Control Interno así como el fomento de la cultura de autocontrol, en concordancia con el plan anual de auditoría, el modelo integrado de planeación y gestión y los requisitos legales aplicables.</t>
  </si>
  <si>
    <t>Edgar Efrén Mogollón Montañez</t>
  </si>
  <si>
    <t>Prestación de servicios profesionales especializados para apoyar  el cumplimiento  de las actividades  relacionadas con asesoría, seguimiento y evaluación propias de la Oficina de Control Interno de la Empresa de Renovación y Desarrollo Urbano de Bogotá, que involucren temas relacionados con el Control Fiscal, Control Administrativo, Control de legalidad, Control de Gestión y Control de Resultados, en concordancia con el Plan anual de Auditoría, el Modelo Integrado de Planeación y Gestión y los requisitos legales aplicables.</t>
  </si>
  <si>
    <t>Jose Ramon Santis Jimenez</t>
  </si>
  <si>
    <t>Prestar servicios técnicos de apoyo al cumplimiento de actividades propias de la Oficina de Control Interno de la Empresa de Renovación y Desarrollo Urbano de Bogotá D.C. en el marco del Modelo Integrado de Planeación y Gestión y el Plan Anual de Auditorias.</t>
  </si>
  <si>
    <t>Marcos Andres Rodriguez Naizaque</t>
  </si>
  <si>
    <t>Prestar servicios técnicos de apoyo al cumplimiento de actividades propias de la oficina de control interno en el marco del sistema integrado de gestión de la empresa de renovación y desarrollo urbano de Bogotá D.C. conforme a lo establecido en el plan anual de auditorías.</t>
  </si>
  <si>
    <t>Flora Isabel Ramirez Gonzalez</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</si>
  <si>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evaluación y seguimiento de mecanismos de la gestión jurídica, prevención del daño antijurídico y gestión fiscal, asociados a los proyectos de la Empresa, de acuerdo con lo definido en el Plan Anual de Auditoría, el Modelo Integrado de Planeación y Gestión y los requisitos técnicos y legales aplicables en cada caso.</t>
  </si>
  <si>
    <t>En total se realizaron 79 actividades en vigencia 2020</t>
  </si>
  <si>
    <t>LIDERAZGO ESTRATEGICO</t>
  </si>
  <si>
    <t>Honorarios vigencia 2020</t>
  </si>
  <si>
    <t>Valor total estimado vigencia 2021 con AUMENTO 4,5% (si no tiene vigencia futura sera el mismo valor de la siguiente columna)</t>
  </si>
  <si>
    <t>Valor total estimado vigencia 2021 con AUMENTO 1,61% (si no tiene vigencia futura sera el mismo valor de la siguiente columna)</t>
  </si>
  <si>
    <t>Valor estimado en la vigencia actual 4,5%</t>
  </si>
  <si>
    <t>Valor estimado en la vigencia actual 1,61%</t>
  </si>
  <si>
    <t>Valor total estimado vigencia 2021 SEGÚN HORAS LABORALES (si no tiene vigencia futura sera el mismo valor de la siguiente columna)</t>
  </si>
  <si>
    <t>Valor estimado en la vigencia actual HORAS LABORALES</t>
  </si>
  <si>
    <t>ESCENARIO 1</t>
  </si>
  <si>
    <t>AUDITOR ADICIONAL 1</t>
  </si>
  <si>
    <t>Prestar servicios profesionales especializados a la oficina de control interno en el marco del MIPG</t>
  </si>
  <si>
    <t>AUDITOR ADICIONAL 2</t>
  </si>
  <si>
    <t>marzo</t>
  </si>
  <si>
    <t>Ahorro</t>
  </si>
  <si>
    <t>ESCENARIO 2 - MINIMO REQUERIDO</t>
  </si>
  <si>
    <t>ESCENARIO 3 - NO REQUIERE
PERSONAL ADICIONAL</t>
  </si>
  <si>
    <t>FUNCIONAMIENTO</t>
  </si>
  <si>
    <t>INVERSION</t>
  </si>
  <si>
    <t>Rubro</t>
  </si>
  <si>
    <t>Auditoría de Control Fiscal en la Modalidad de Regularidad PAD 2021 Vigencia 2020</t>
  </si>
  <si>
    <t>Constitución Política de 1991, artículos 119 y 267
Ley 42 de 1993
Decreto Nacional No. 403 de 2020</t>
  </si>
  <si>
    <t>Según plan de auditoria de organismo de control</t>
  </si>
  <si>
    <t>Contraloría de Bogotá</t>
  </si>
  <si>
    <t>Auditoría de Control Fiscal en la Modalidad de Desempeño PAD 2021 Vigencia 2020</t>
  </si>
  <si>
    <t>Visitas Administrativas de Control Fiscal</t>
  </si>
  <si>
    <t>Evaluar el esquema fiduciario  y la contratación de fideicomisos y analizar la situación legal, financiera y administrativa de los recursos dispuestos para la financiación de los proyectos de la Empresa</t>
  </si>
  <si>
    <t>José Ramón Santis Jiménez
Edgar Efrén Mogollón Montañez
Marcos Andrés Rodríguez Naizaque
Miguel Ángel Pardo Mateus
Omar Urrea Romero</t>
  </si>
  <si>
    <t>Factores de Gestión Prioritarias para la Empresa (análisis OCI) y Fortalecimiento Institucional</t>
  </si>
  <si>
    <t xml:space="preserve">Decreto 062 </t>
  </si>
  <si>
    <t>Subgerencia de Planeación y administración de proyectos</t>
  </si>
  <si>
    <t>2020 - 2023</t>
  </si>
  <si>
    <t>Informe de evaluación del Sistema de Control Interno Contable</t>
  </si>
  <si>
    <t>Resolución de la Contaduría General de la Nación No. 193 de 2016</t>
  </si>
  <si>
    <t>Informe Semestral de Evaluación Independiente del Sistema de Control Interno</t>
  </si>
  <si>
    <t>Revisión Código de Ética del Auditor Interno, Estatuto Auditoría Interna y Carta de Representación de la Empresa.</t>
  </si>
  <si>
    <t>Decreto 648 de 2017 - Artículo 2.2.21.4.8 y Resolución ERU No. 054 de 2018.</t>
  </si>
  <si>
    <t>Janeth Villalba Mahecha, Omar Urrea Romero.</t>
  </si>
  <si>
    <t>Resolkución 054 de 2018</t>
  </si>
  <si>
    <t>Orientar, liderar la formulación y seguimiento de las políticas para el fortalecimiento de la función
administrativa de los organismos y entidades de Bogotá, Distrito Capital, mediante el diseño e implementación de instrumentos de coordinación y gestión, la promoción del desarrollo
institucional, el mejoramiento del servicio a la ciudadana y ciudadano, la protección de recursos documentales de interés público y la coordinación de las políticas del sistema integral de información y desarrollo tecnológico</t>
  </si>
  <si>
    <t>Convenciones</t>
  </si>
  <si>
    <t>Seguimiento Plan de Mejoramiento por Procesos</t>
  </si>
  <si>
    <t>Resolución 5580 de 2004
Resolución Orgánica 5544 de 2003
Resolución 003 de 2005</t>
  </si>
  <si>
    <t>permite el mejoramiento continuo y cumplimiento de los objetivos institucionales de la entidad pública.</t>
  </si>
  <si>
    <t>Ley 23 de 1982
Decreto 1360 de 1989
Directiva Presidencial 02 de  2002
Circular 1000-06 de 22 de junio de 2004
Circular 07 de diciembre 28 de 2005
Circular 04 de 22 de diciembre de 2006</t>
  </si>
  <si>
    <t>Inscripción del soporte lógico (software) en el Registro Nacional del derecho de Autor</t>
  </si>
  <si>
    <t>Ley 1712 de 2014
Directiva 006 de 14 de mayo de 2019
Directiva 026 de 25 de agosto de 2020
Directiva 029 de 13 de octubre de 2020</t>
  </si>
  <si>
    <t>Medir el nivel de cumplimiento de la Ley por parte de cada sujeto obligado y generar el indicador denominado índice de Transparencia y Acceso a la Información Pública ITA</t>
  </si>
  <si>
    <t>http://www.eru.gov.co/index.php/es/search/content?keys=activos+de+informacion</t>
  </si>
  <si>
    <t>Decreto Ley 1421 de
1993 y en el artículo 9 del Acuerdo 24 de 1993</t>
  </si>
  <si>
    <t>Contraloria pendiente de publicar en pagina web</t>
  </si>
  <si>
    <t>Decreto Nacional No. 612 de 2018 
Decreto Nacional No. 415 de 2016
Decreto Único Reglamentario No. 1083 de 2015
Decreto Nacional No. 2573 de 2014</t>
  </si>
  <si>
    <t>Normas Internacionales sobre atributos: 1000, 1100, 1200, 1300
Normas Internacionales sobre desempeño: 2000, 2100, 2200, 2300, 2400, 2500, 2600</t>
  </si>
  <si>
    <t>Decreto 648 de 2017 Capitulo 3 Artículo  2.2.21.4.9
Ley 1712 de 2014
Ley 1581 de 2012
Ley 1757 de 2012
Decreto Único Reglamentario No. 1081 de 2015
Resolución MINTIC No. 3564 de 2015
Acuerdo Distrital No. 559 de 2014
Acuerdo Distrital No. 716 de 2018
Decreto Nacional No. 119 de 2020
Decreto Nacional No. 691 de 2020
Resolución ERU No. 411 de 2019</t>
  </si>
  <si>
    <t>Decreto Ley 2106 de 2019, Artículo 156
Circular Externa No. 100-006 de 2019 del DAFP.</t>
  </si>
  <si>
    <t>Ley 1150 de 2007
Ley 87 de 1993
Decreto Único Reglamentario No. 1082 de 2015</t>
  </si>
  <si>
    <t>Directiva Distrital No. 003 de 2013</t>
  </si>
  <si>
    <t>Ley 1474 de 2011 Art 76 - 
Decreto Distrital No. 371 de 2010</t>
  </si>
  <si>
    <t>Decreto Distrital No. 807 de 2019</t>
  </si>
  <si>
    <t xml:space="preserve">Decreto Único Reglamentario No. 1082 de 2015 </t>
  </si>
  <si>
    <t>Ley 87 de 1993
Ley 489 de 1998</t>
  </si>
  <si>
    <t xml:space="preserve">Decreto Nacional No. 492 de 2019 </t>
  </si>
  <si>
    <t>Decreto 1499 de 2017</t>
  </si>
  <si>
    <t>Decreto No. 1008 de 2018</t>
  </si>
  <si>
    <t>Decreto 648 de 2017 artículo 4, artículo 16 , artículo 17
Decreto Distrital No. 807 de 2019 numeral 4 artículo 38, parágrafo 1
numeral 5 artículo 37
numeral 6 artículo 20</t>
  </si>
  <si>
    <t>Acuerdo del Concejo de Bogotá No. 761 de 2020 "Un nuevo contrato social y ambiental para la Bogotá del Siglo XXI"
Decreto Nacional No. 612 de 2018
Ley 1474 de 2011, artículo 9 y 73
Decreto Nacional No. 124 de 2016, artículo 1
Decreto Nacional No. 2106 de 2019, artículo 156
Ley 87 de 1993, artículos 10, 11 y 12
Decreto Nacional No. 403 de 2020</t>
  </si>
  <si>
    <t>Evaluar integralmente la gestión realizada por la Empresa para la ejecución del Proyecto desde los componentes presupuestales, contractuales y de magnitud física, alertar sobre las desviaciones y detectar situaciones de desviación y mitigación del riesgo.</t>
  </si>
  <si>
    <t>Acuerdo del Concejo de Bogotá No. 761 de 2020
Decreto Nacional No. 2106 de 2019, artículo 156
Acuerdo No. 004 de 2016
Ley 1474 de 2011, artículo 9
Ley 87 de 1993, artículos 10, 11 y 12
Decreto Nacional No. 403 de 2020</t>
  </si>
  <si>
    <t>Líder: José Edwin Lozano
Acompañantes: Omar Urrea, Edgar Mogollón, Andrés Rodríguez, José Santis, Flora Ramírez.</t>
  </si>
  <si>
    <t>Auditoria Plan estratégico y gestión Tecnología y Comunicaciones</t>
  </si>
  <si>
    <t>Líder: Ernesto Quintana.
Acompañantes: José Santis, Miguel Pardo, Andrés Rodríguez.</t>
  </si>
  <si>
    <t>Acuerdo del Concejo de Bogotá No. 761 de 2020
Decreto Nacional No. 2106 de 2019, artículo 156
Ley 1474 de 2011, artículo 9
Ley 87 de 1993, artículos 10, 11 y 12
Decreto Nacional No. 403 de 2020
Decreto Único Reglamentario No. 1077 de 2015
Decreto Distrital No. 221 de 2020
Decreto Nacional No. 1469 de 2010
Decreto Nacional No. 2218 de 2015
Decreto Nacional No. 1197 de 2016
Decreto Nacional No. 583 de 2017
Decreto Nacional No. 1023 de 2017
Decreto Nacional No. 2013 de 2017
Ley No. 1796 de 2016
Decreto Distrital No. 845 de 2019
Decreto Distrital No. 563 de 2017</t>
  </si>
  <si>
    <t>Auditoria Gestión Social asociada a la Adquisición Predial y grupos de interés</t>
  </si>
  <si>
    <t>Ernesto Quintana - José R. Santis</t>
  </si>
  <si>
    <t>Decreto Distrital No. 839 de 2018</t>
  </si>
  <si>
    <t>Edgar Mogollón
José Santis</t>
  </si>
  <si>
    <t>Acuerdo del Concejo de Bogotá No. 761 de 2020 "Un nuevo contrato social y ambiental para la Bogotá del Siglo XXI"
Decreto Distrital No. 807 de 2019</t>
  </si>
  <si>
    <t>Seguimiento a la implementación  del Código de Integridad de la Empresa vigencia 2020</t>
  </si>
  <si>
    <t>Resolución 080 de 2018 - "Por la cual se adopta el Código de Integridad del Servicio Público en la Empresa de Renovación y Desarrollo Urbano de Bogotá D.C. y se dictan otras disposiciones"</t>
  </si>
  <si>
    <t>Verificar el cumplimiento del Plan de Acción establecido para la implementación del Código de Integridad de la Empresa, durante la vigencia 2020.</t>
  </si>
  <si>
    <t>José Santis
Omar Urrea</t>
  </si>
  <si>
    <t>Seguimiento a la implementación del código de integridad de la Empresa vigencia 2021.</t>
  </si>
  <si>
    <t>Verificar el cumplimiento del Plan de Acción establecido para la implementación del Código de Integridad de la Empresa, del 01/01/2021 al 30/09/2021.</t>
  </si>
  <si>
    <t>Seguimiento Reporte - Ley e índice de Transparencia y Acceso a la Información - ITA.</t>
  </si>
  <si>
    <t>Fomentar en toda la institución la
formación de una cultura de propio control o autocontrol que contribuya al
mejoramiento continúo en el cumplimiento de la misión institucional</t>
  </si>
  <si>
    <t>Diligenciamiento Encuestas Gobierno Corporativo - Veeduría Distrital.</t>
  </si>
  <si>
    <t>Seguimiento a la actualización de bases de datos en RNBD</t>
  </si>
  <si>
    <t>Actualización de la información contenida en el Registro Nacional de Bases de Datos</t>
  </si>
  <si>
    <t>Auditoría de Control Fiscal en la Modalidad de Cumplimiento PAD 2021 Vigencia 2020</t>
  </si>
  <si>
    <t>Presentar el estado del Sistema de Control Interno de la Empresa de Renovación y Desarrollo Urbano de Bogotá, en cumplimiento de lo dispuesto en la Ley 1774 de 2011 y los
lineamientos impartidos por el Departamento Administrativo de la Función Pública en el Manual Operativo del Modelo Integrado de Planeación y Gestión – MIPG</t>
  </si>
  <si>
    <t>PLAN ANUAL DE AUDITORIA : Empresa de Renovación y Desarrollo Urbano de Bogotá D.C.
Vigencia:2021</t>
  </si>
  <si>
    <t>Lily Moreno</t>
  </si>
  <si>
    <t>Proyecto: Formulación, Gestión y Estructuración de Proyectos de Desarrollo, Revitalización o Renovación Urbana. Incluido aspecto contractual</t>
  </si>
  <si>
    <t>Auditoria de Fiducias. Alcance por muestra confiable.</t>
  </si>
  <si>
    <t>Unidad Auditable 13</t>
  </si>
  <si>
    <t>Unidad Auditable 14</t>
  </si>
  <si>
    <t>Unidad Auditable 15</t>
  </si>
  <si>
    <t>Unidad Auditable 16</t>
  </si>
  <si>
    <t>Unidad Auditable 17</t>
  </si>
  <si>
    <t>Asesoria y seguimiento a la Implementación del Sistema de Gestión de Calidad bajo concepto del estándar NTC ISO 9001:2015</t>
  </si>
  <si>
    <t>ISO 9001:2015</t>
  </si>
  <si>
    <t>Prestar la asesoría, asistencia técnica y seguimiento al estado de implementación del Sistema de Gestión de la Calidad bajo el concepto del estándar NTC ISO 9001:2015 en todo el cilo PHVA.</t>
  </si>
  <si>
    <t>Evaluar  la conformidad del Sistema de Gestión de la Calidad de la Empresa con los requisitos del estándar NTC ISO 9001:2015</t>
  </si>
  <si>
    <t>Miguel Pardo
Edgar Mogollón, Flora Ramirez</t>
  </si>
  <si>
    <t>Evaluación y Seguimiento Implementación MIPG  7 dimensiones y 18 políticas - e informes FURAG.</t>
  </si>
  <si>
    <t>Janeth Villalba Mahecha, Omar Urrea Romero. Lily Moreno.</t>
  </si>
  <si>
    <t>Líder: Miguel Ángel Pardo.
Acompañantes: Equipo Auditor OCI</t>
  </si>
  <si>
    <t>Líder: Lily Moreno
Acompañantes: Flora Ramírez, Andrés Rodríguez.</t>
  </si>
  <si>
    <t>Auditoria Proceso Evaluación y seguimiento - Normas Internacionales de Auditoria - Oficina PAD
Auditorias cruzadas OCI - Alcaldia.</t>
  </si>
  <si>
    <t>Janeth Villalba, Omar Urrea, Miguel Pardo, Ernesto Quintana, Edgar Mogollón, Jose Santis.</t>
  </si>
  <si>
    <t>Lily Moreno, Edgar Mogollon</t>
  </si>
  <si>
    <t>Auditores Internos, Equipo auditor OCI</t>
  </si>
  <si>
    <t>Diagnostico al Sistema de Gestión de la Calidad bajo el concepto del estándar NTC ISO 9001:2015 de la Empresa.</t>
  </si>
  <si>
    <t>Edgar Mogollón - Andres Rodriguez</t>
  </si>
  <si>
    <t>Equipo Auditor OCI</t>
  </si>
  <si>
    <t>Miguel Pardo, Flora Ramirez.</t>
  </si>
  <si>
    <t>Lider: Miguel Pardo
Equipo auditor OCI</t>
  </si>
  <si>
    <t>Lily Moreno,  José Edwin Lozano, Miguel Pardo. Omar Urrea.</t>
  </si>
  <si>
    <t>Edgar Mogollón
Omar Urrea</t>
  </si>
  <si>
    <t>Equipo Auditor OCI - Responsables de procesos - atienden auditoria externa</t>
  </si>
  <si>
    <t>Actividad En proceso</t>
  </si>
  <si>
    <t>Actividad se evalúa en otros trimestres</t>
  </si>
  <si>
    <t>Actividad fuera de términos</t>
  </si>
  <si>
    <t>Líder: Jose Edwin Lozano
Equipo Auditor OCI</t>
  </si>
  <si>
    <t>N°</t>
  </si>
  <si>
    <t>Versión 2 - 2021</t>
  </si>
  <si>
    <t xml:space="preserve"> Vigencia 2021:  Jefe Oficina OCI,Un (1) Gestor Senior 3 de planta, Seis (6) contratistas Profesionales Especializados y Dos (2)  Contratistas Técnico.
                        - Tecnológicos: Equipo de cómputo, sistemas de información, sistemas de redes y correo electrónico de la empresa.</t>
  </si>
  <si>
    <t>Seguimiento y Control de Acciones de Plan Anticorrupción y Atención al Ciudadano</t>
  </si>
  <si>
    <t>Ejecutado</t>
  </si>
  <si>
    <t>Líder: Omar Urrea 
Acompañantes: Miguel Ángel Pardo Mateus, Jose Edwin Lozano, Edgar Mogollon, Jose Santis, Ernesto Quintana.</t>
  </si>
  <si>
    <t xml:space="preserve">Se adjunta soporte magnético de la presentación del informe ante la SIC
</t>
  </si>
  <si>
    <t>Constancia de confirmación registro de bases de datos personales en el RNBD vigencia 2021 ante la SIC con fecha 31 de marzo de 2021,  por parte de la Subgerencia de Gestión Corporativa - Proceso de Gestión de TICs.
Se realizó análisis comparativo frente a la anterior vigencia, con radicado I2021001519 de 21 de mayo de 2021</t>
  </si>
  <si>
    <t>Reunión de Cierre. Resultados del Trabajo de Auditoría al PETI. 11 de noviembre de 2021.
Informe final Radicado I2021003066 de 23 de noviembre de 2021.</t>
  </si>
  <si>
    <t>Radicado I2021000827 de 4 de marzo de 2021.</t>
  </si>
  <si>
    <t>Informe al seguimiento del cumplimiento de la estrategia de racionalización de tramites de la Empresa - Vigencia 2020.</t>
  </si>
  <si>
    <t xml:space="preserve">Se remitió el Informe de seguimiento a la implementación de la política de Gobierno Digital de la Empresa, el 4 de noviembre de 2021 con radicado I2021002884.
</t>
  </si>
  <si>
    <t>Dentro del marco del trabajo de Auditoría al Plan estratégico y gestión Tecnología y Comunicaciones PETI, se realizó el seguimiento a la implementación de la política de Gobierno Digital de la Empresa.</t>
  </si>
  <si>
    <t>Informe presentación de resultados del diligenciamiento del formulario de autodiagnóstico para la Medición del ITA - PGN.
Seguimiento a los resultados presentados en el Informe de Medición del ITA - PGN.
Asistencia a sesiones de trabajo durante los meses de mayo de 2021 y junio de 2021 con la OAC y la SPAP.</t>
  </si>
  <si>
    <t>Se remitió en fecha 4 de noviembre de 2021 el Informe de auditoría de software para la vigencia 2021, con radicado I2021002885.</t>
  </si>
  <si>
    <t>Dentro del marco del trabajo de Auditoría al Plan estratégico y gestión Tecnología y Comunicaciones PETI, se realizó el seguimiento a los activos de información de la Empresa.</t>
  </si>
  <si>
    <t>Acta No. 1 Comité CICCI de Enero 26 y 27 de 2021</t>
  </si>
  <si>
    <t>Reunión apertura trabajo de auditoría interna Factores Claves de Éxito el 15 de marzo de 2021.
Plan de Trabajo de Auditoria
Correos electrónicos de 08 y 14 de marzo de 2020
Documentos de trabajo
Reunión de instalación del 15 de marzo de 2020
Entrega del Informe preliminar del Trabajo de Auditoria a la Jefe de la Oficina de Control Interno según correo electrónico del 03 de junio de 2021.
Informe Definitivo de Auditoria según radicado No. 20I2021002285 del 20 de agosto de 2021.
Publicación: http://eru.gov.co/transparencia/planeacion-presupuesto-e-informes/informes-oficina-control-interno</t>
  </si>
  <si>
    <t xml:space="preserve">• CUADROS MENSUALES DE SEGUIMIENTO A HALLAZGOS SC AIC.
• MESAS CONJUNTAS DE TRABAJO SUBGERENCIA DE PLANEACIÓN Y DESARROLLO DE PROYECTOS Y LA OFICINA DE CONTROL INTERNO PARA EL SEGUIMIENTO AL PLAN DE ACCIÓN - IMPLEMENTACIÓN DE LOS ESTÁNDARES DE LA NTC ISO 9001:2015
• REUNIONES VIRTUALES DE ACOMPAÑAMIENTO – CERTIFICACIÓN ISO 9001:2015 – LIDERES OPERATIVOS DE LOS PROCESOS,
</t>
  </si>
  <si>
    <t xml:space="preserve">Informe publicaciones secop periodo agosto 1 al 31 de diciembre de 2020. Radicado  I2021000583 del 18 de febrero de 2021.
Informe publicaciones secop periodo enero 1 al 28 de febrero de 2021 Radicado I2021001285 del 30 de Abril de 2021 
Informe publicaciones secop periodo marzo 1 al 30 de Abril de 2021 Radicado I2021001705 del 11 de Julio de 2021 
Informe publicaciones secop período mayo 1 al 30 de junio de 2021, Radicado I2021002088 de Julio 29 de 2021
Informe publicaciones secop período julio 1 al 31 de agosto de 2021, Radicado I2021002695 de octubre 13 de 2021.
Informe publicaciones secop período de 1 septiembre al  30 de octubre 2021  Radicado I 2021003185 de Diciembre 3 de 2021.
</t>
  </si>
  <si>
    <t>http://www.eru.gov.co/es/node/1877
Radicado I2021000724 del 25 de febrero de 2021</t>
  </si>
  <si>
    <t>Radicado I2021000585 de 18 de febrero de 2021
http://www.eru.gov.co/transparencia/control
Informe Semestral de Evaluación Independiente del Sistema de Control Interno
Correo electrónico del 12 de enero de 2021
Correo electrónico del 18 de enero de 2021
Informe de evaluación independiente del Sistema de Control Interno según radicado No. I2021002218 del 13 de agosto de 2021.
Publicación: http://eru.gov.co/transparencia/planeacion-presupuesto-e-informes/informes-oficina-control-interno</t>
  </si>
  <si>
    <t>Informe de seguimiento segun radicado No. I2021002605 del 04 de octubre de 2021.</t>
  </si>
  <si>
    <t>Informe de Seguimiento del segundo semestre de 2020.
Radicado I2021000567 del 17 de febrero de 2021.
Informe se deguimiento del primer semestre 2021, Radicado I20210022216 agosto 13 de 2021</t>
  </si>
  <si>
    <t>Informe de seguimiento y evaluación al cumplimiento de la austeridad en el gasto, cuarto trimestre de 2020
Radicado I2021000492 del 15 de febrero de 2021
Informe de seguimiento y evaluación al cumplimiento de la austeridad en el gasto,primer trimestre de 2021 Radicado I2021001285 de abril 30 de 2021
Informe de seguimiento y evaluación al cumplimiento de la austeridad en el gasto, segundo trimestre de 2021, Radicado I2021002265 de agosto 18 de 2021.
Informe de seguimiento y evaluación al cumplimiento de la austeridad en el gasto tercer trimestre de 2021, Radicado I 2021002841 de octubre 29 de 2021.</t>
  </si>
  <si>
    <t>El informe de evaluación del Sistema de Adminsitración de Riesgos que incorpora los riesgos de gestión.</t>
  </si>
  <si>
    <t>El informe de evaluación del Sistema de Adminsitración de Riesgos que incorpora los riesgos de corrupción.</t>
  </si>
  <si>
    <t>Se preparó el plan de trabajo para la consolidación y registro de las respuestas a las preguntas del formulario FURAG MECI 2020 el cual fue respondido en la plataforma FURAG de la Función  Pública dentro de los plazos estipulados.</t>
  </si>
  <si>
    <t>Informe seguimiento comité sostenibilidad tecnico contable vigencia 2020-2021.
Radicado I2021002284 de fecha 20 de agosto de 2021.</t>
  </si>
  <si>
    <t>Informe de Seguimiento al Código de Integridad 2020
Radicado I2021000400 del 05 de febrero de 2021.</t>
  </si>
  <si>
    <t>Trabajo de auditorìa realizado. Se elaborò el Informe de Seguimiento al Còdigo de Integridad 2020.</t>
  </si>
  <si>
    <t>Informe de Seguimiento al Código de Integridad 2021
Radicado I2021003039 del 22 de nov de 2021.</t>
  </si>
  <si>
    <t>Trabajo de auditorìa realizado. Se elaborò el Informe de Seguimiento al Còdigo de Integridad 2021.</t>
  </si>
  <si>
    <t>Correos electrónicos cuenta institucional jvillalbam@eru.gov.co
Actas de comités</t>
  </si>
  <si>
    <t>La Oficina de Control Interno funge como instancia permanente de asesoria y acompañamiento lo cual se evidencia en la revisión y observaciones a los requerimientos de entes de control, en la asistencia y acompañamiento a los comités instiitucionales y en las respuestas a las consultas realizadas por los diferentes procesos.</t>
  </si>
  <si>
    <t>Invitaciones electrónicas
Actas de Comités</t>
  </si>
  <si>
    <t>Asistencia a 42 sesiones de coordinación interna de acuerdo con las solicitudes de acompañamiento requeridas mediante invitaciones electrónicas.
Asistencia en el segundo trimestre a  19 sesiones de coordinación interna de acuerdo con las solicitudes de acompañamiento requeridas mediante invitaciones electrónicas.</t>
  </si>
  <si>
    <t>Mediante correos electrónicos emitidos desde la Jefe de la Oficina de Control Interno se hace el reparto y seguimiento de los requerimientos cursados por los organismos de control. El estado de cada trámite y respuesta se controla a través de un cuadro control que se actualiza de manera permanente.</t>
  </si>
  <si>
    <t>Presentado primer informe el 25 de mayo de 2021, con radicado No. S2021001970.
Presentado segundo Informe el 12 de noviembre de 2021 con radicado No. S2021004478</t>
  </si>
  <si>
    <t>Radicado I2021000568 de 17 de febrero de 2021
Radicado I2021001462 de 18 de mayo de 2021
Radicado I2021002089 de 29 de julio de 2021
Radicado I2021002796 de 25 de octubre de 2021</t>
  </si>
  <si>
    <t>Informe de seguimiento Plan de Mejoramiento de la Contraloría con corte a 31 de diciembre de 2020
Informe de seguimiento Plan de Mejoramiento de la Contraloría con corte a 31 de marzo de 2021
Informe de seguimiento Plan de Mejoramiento de la Contraloría con corte a 30 de junio de 2021
Informe de seguimiento Plan de Mejoramiento de la Contraloría con corte a 30 de septiembre de 2021</t>
  </si>
  <si>
    <t xml:space="preserve">Se realizo Campaña de Autocontrol del primer semestre de la Vigencia 2021 denominada "Líneas de Defensa". Ejecutada con las publicaciones del 23, 27,28 y 29 Abril y conferencia del 29 de abril de 2021
Entrega Premios a los dos (2) participantes ganadores en la Charla de Autocontrol "Líneas de Defensa" el 21 de mayo de 2021.
Se realizo la segunda Campaña de Autocontrol  el   12 de noviembre de 2021, denominda "Taller de Riesgos". Ejecutada con publicaciones de expectativa del 9 al 12 de noviembre de 2021.
Entrega de Premios a seis (6) participoantes y dos (2) Directivos el 2 de Diciembre de 2021 en el Cierre de Gestión de la Empresa.  </t>
  </si>
  <si>
    <t>Seguimiento Plan de Mejoramiento por Procesos Octubre - Diciembre de 2020
Radicado I2021000836 del 05 de marzo de 2021
Informe de Seguimiento Plan de Mejoramiento por Procesos corte marzo 31 de 2021
Radicado I2021001704
RAD I2021002381 INFORME DE SEGUIMIENTO PLAN DE MEJORAMIENTO POR PROCESOS CORTE JUNIO 30 DE 2021
RAD I2021002842 INFORME DE SEGUIMIENTO PLAN DE MEJORAMIENTO POR PROCESOS CORTE SEPTIEMBRE 30 DE 2021</t>
  </si>
  <si>
    <t>Informe final Radicado I2021002859 del 2 de noviembre de 2021</t>
  </si>
  <si>
    <t>Matriz de Seguimiento mapa de riesgos Septiembre - Diciembre de 2020 publicado en la Pagima Web Link: http://www.eru.gov.co/index.php/es/transparencia/control?title=&amp;field_subcategoria_control_value=1
Seguimiento Mapa de Riesgos por Procesos Rad. I2021000835
Matriz de Seguimiento Mapa de Riesgos Enero - Abril 2021
http://www.eru.gov.co/transparencia/planeacion-presupuesto-e-informes/informes-oficina-control-interno
El informe de evaluación actualmente se encuentra en elaboración.
Matriz de Seguimiento Mapa de Riesgos Mayo - Agosto 2021
http://www.eru.gov.co/transparencia/planeacion-presupuesto-e-informes/informes-oficina-control-interno
Informe de evaluación segun radicado No. I2021002585 del 01 de octubre de 2021</t>
  </si>
  <si>
    <t>Formulario FURAG - MECI 2020 diligenciado
Certificado de diligenciamiento
Correo electrónico del 24 de marzo de 2021.
Se presento informe el dia 22 de junio de 2021, con radicado No. I2021001800.
Presentación Informe Desempeño Institucional IDI (FURAG) 2020 - MECI - MIPG a la alta dirección 22 de junio de 2021 radicado I2021001800
RAD I2021003067 INFORME DE SEGUIMIENTO PLAN DE ADECUACIÓN Y SOSTENIBILIDAD DEL MIPG CORTE SEPTIEMBRE 30 DE 2021</t>
  </si>
  <si>
    <t xml:space="preserve">Informe de Arqueo de  cajas menores de funcionamiento e inversión en el mes de diciembre de 2020
Radicado I2020000151 del 31 de diciembre de 2020.
Radicado I2021001076 - I2021001077 del 7 de abril de 2021 Informes de Arqueo de Cajas Menores de funcionamiento e inversión en el mes de junio de 2021.
Radicado I2021001908 Julio 7 de 2021-Inversión
Radicado I2021001918 Julio 8 de 2021-funcionamiento
Informe Arqueo Caja menor Inversión - I2021003204 - dic 7 de 2021
Informe Arqueo Caja menor Funcionamiento - I2021003205 - dic 7 de 2021
</t>
  </si>
  <si>
    <t>Se culminó el ejercicio de las auditorías cruzadas por parte de los cuatro grupos de auditores de la Empresa de Renovación y Desarrollo Urbano, la Orquesta Filarmónica de Bogotá, la Secretaría Distrital de la Mujer y Canal Capital. En el mes de septiembre se participó en:
1) Septiembre 03 de 2021: Cierre auditoría cruzada a Orquesta Filarmónica de Bogotá y Cierre auditoría a Canal Capital.
2) Septiembre 06 de 2021: Cierre auditoría cruzada a Secretaría Distrital de la Mujer y cierre auditoría a Empresa de Renovación y Desarrollo Urbano de Bogotá.
Se consolidó el Informe de Resultados con destino al Comité Distrital de Auditoría.El informe fue enviado al Comité Distrital de Auditoría mediante comunicación radicada S2021004077 del 14 de octubre de 2021 y fue expuesto en la reunión del Comité de octubre 15 de 2021, según consta en Acta 03 del Comité Distrital de Auditoría de esa fecha.</t>
  </si>
  <si>
    <t>Avance del 100% consolidado del ejercicio de auditorías cruzadas. Se presentó el resultado en Informe Final al Comité Distrital de Auditoría, Radicado S2021004077.</t>
  </si>
  <si>
    <t>Se elimina el informe de septiembre ya que el proceso remitio la información del primer seguimiento de manera tardia y se radico el informe el 5 de Octubre de 2021</t>
  </si>
  <si>
    <r>
      <t>Radicado I2021000641 del 22 de febrero de 2021
http://www.eru.gov.co/es/transparencia/control?title=&amp;field_subcategoria_control_value=1
Mediante correo electrónico del 07 de julio de 2021 se solicitó la información sobre las metas plan de desarrollo con corte al 30 de junio de 2021.
Informe Plan de Inversión 2021 con corte 31 de Agosto de 2021 - Presupuesto pendiente de Ejecutar por areas, Radicado I2021002672 del 11 de Octubre de 2021 y presentación Comite de Desempeño Octubre 26 de 2021 por parte de la OCI</t>
    </r>
    <r>
      <rPr>
        <sz val="18"/>
        <color rgb="FFFF0000"/>
        <rFont val="Calibri"/>
        <family val="2"/>
        <scheme val="minor"/>
      </rPr>
      <t xml:space="preserve">
</t>
    </r>
    <r>
      <rPr>
        <sz val="18"/>
        <rFont val="Calibri"/>
        <family val="2"/>
        <scheme val="minor"/>
      </rPr>
      <t xml:space="preserve">
Información Presentada en Comites de Gestión y Desempeño por parte de la SPAP
</t>
    </r>
    <r>
      <rPr>
        <sz val="18"/>
        <color rgb="FF0000FF"/>
        <rFont val="Calibri"/>
        <family val="2"/>
        <scheme val="minor"/>
      </rPr>
      <t xml:space="preserve">
</t>
    </r>
  </si>
  <si>
    <t>Certificado de confirmación presentación Informe software legal vigencia 2021 ante la DNDA con fecha 19 de marzo de 2021.
Se remitió en fecha 4 de noviembre de 2021 el Informe de auditoría de software para la vigencia 2021, con radicado I2021002885, como complemento al informe de derechos de Autor remitido en febrero de 2021.
Informe final Auditoria PETI Radicado I2021003066 de 23 de noviembre de 2021.</t>
  </si>
  <si>
    <t>Se han realizado seguimiento de los diferentes temas tratados en el Comité de Sostenibilidad Contable y frente a las recomendaciones que ha efectuado la OCI al respecto.</t>
  </si>
  <si>
    <t>TAREAS QUE DEBEN SER ATENDIDAS CONFORME LOS ROLES DE CONTROL INTERNO</t>
  </si>
  <si>
    <t>Tareas Atendidas conforme los Roles de la OCI</t>
  </si>
  <si>
    <t xml:space="preserve">Los tiempos de cada tarea dependen del Objeto de la misma </t>
  </si>
  <si>
    <t xml:space="preserve">Radicados 20201100052633 de 14 de diciembre de 2020 y I2021000152 de 19 de enero de 2021.
Participación en la implementación de la Resolución 1519 de 2020 dentro de la sección de transparencia de la página web de la Empresa.
</t>
  </si>
  <si>
    <t>Acta No. 1 Comité CICCI de Enero 26 y 27 de 2021
Acta No. 2 Comité CICCI de Abril 21 de 2021
Acta No. 3 Comité CICCI de Julio 8 de 2021
Acta No. 4 Comité CICCI de Oct 7 de 2021</t>
  </si>
  <si>
    <t xml:space="preserve">En proceso modificaciòn Resolución de de Comites
La jefatura de Control Interno efectuò revisiòn del contenido de las actas en el marco de sus competencias.  </t>
  </si>
  <si>
    <t xml:space="preserve">La Contralorìa informò que posterga para la vigencia 2022. No obstante solicitò información de varios proyectos tales como: CHSJD, Usme Idipron, la Estaciòn, en los meses de octubre, noviembre y diciembre, requerimientos que fueron atendidos de manera oportuna </t>
  </si>
  <si>
    <t>Certificado cuenta anual  2020, emitido por la Contraloria, 
fecha 15 de febrero de 2021
Se solicita la informaciòn para la Cuenta Anual Vig 2021 para Enero 2022</t>
  </si>
  <si>
    <t>Programado</t>
  </si>
  <si>
    <t>En riesgo</t>
  </si>
  <si>
    <t>En ejecuciòn</t>
  </si>
  <si>
    <t>Plan Anticorrupción Septiembre - Diciembre de 2020 publicado en la Pagima Web Link: http://www.eru.gov.co/index.php/es/transparencia/control?title=&amp;field_subcategoria_control_value=1
Plan Anticorrupción 2021 publicado en la Paguina Web Link: http://www.eru.gov.co/index.php/es/transparencia/planeacion
Seguimiento Plan Anticorrupción y de atención al ciudadano Enero-Abril 2021
http://www.eru.gov.co/transparencia/planeacion-presupuesto-e-informes/informes-oficina-control-interno
Seguimiento Plan Anticorrupción y de atención al ciudadano Mayo-Agosto 2021 http://www.eru.gov.co/transparencia/planeacion-presupuesto-e-informes/informes-oficina-control-interno
Informe de Evaluación del Sistema de Administración de Riesgo para el Cierre Metodológico de que trata la Guía para la Administración del riesgo y el diseño de controles en entidades públicas versión 4 de octubre de 2018 con corte 31 de agosto de 2021 y Balance de Estado del Plan Anticorrupción y de Atención al Ciudadano PAAC.  Rad I20201002585</t>
  </si>
  <si>
    <t>Matriz de Seguimiento mapa de riesgos Septiembre - Diciembre de 2020 publicado en la Pagima Web Link: http://www.eru.gov.co/index.php/es/transparencia/control?title=&amp;field_subcategoria_control_value=1
Seguimiento Mapa de Riesgos por Procesos Rad. I2021000835
Matriz de Seguimiento Mapa de Riesgos Enero - Abril 2021
http://www.eru.gov.co/transparencia/planeacion-presupuesto-e-informes/informes-oficina-control-interno. El informe de evaluación actualmente se encuentra en elaboración.
Matriz de Seguimiento Mapa de Riesgos Mayo - Agosto 2021
http://www.eru.gov.co/transparencia/planeacion-presupuesto-e-informes/informes-oficina-control-interno
Informe de evaluación segun radicado No. I2021002585 del 01 de octubre de 2021</t>
  </si>
  <si>
    <t>Actas de Visita y correos electrònicos envìo informaciòn</t>
  </si>
  <si>
    <t>Se realizo reunión de apertura en el10 de agosto de 2021.
En virtud que no se recibieron objeciones dentro de los términos establecidos, hasta el 19 de noviembre de 2021, y agotadas todas las etapas metodológicas y los mecanismos de contradicción y réplica, se remitió el informe definitivo a fin de proceder con el cumplimiento del procedimiento PD-17 Planes de Mejoramiento.</t>
  </si>
  <si>
    <r>
      <t>Se adjunta soporte magnético de la presentación del informe ante la DNDA.
Dentro del marco del trabajo de Auditoría al Plan estratégico y gestión Tecnología y Comunicaciones PETI, se realizó la auditoría al software instalado en los equipos de cómputo de la Empresa.
La verificación en sitio del software instalado en los computadores de la Empresa se realizó en el mes de octubre de 2021, dado</t>
    </r>
    <r>
      <rPr>
        <sz val="20"/>
        <rFont val="Calibri"/>
        <family val="2"/>
        <scheme val="minor"/>
      </rPr>
      <t xml:space="preserve"> el tema de la pandemia de COVID-19 para garantizar el manejo del riesgo.</t>
    </r>
  </si>
  <si>
    <r>
      <rPr>
        <b/>
        <sz val="16"/>
        <rFont val="Calibri"/>
        <family val="2"/>
        <scheme val="minor"/>
      </rPr>
      <t>ENERO - SEPTIEMBRE:</t>
    </r>
    <r>
      <rPr>
        <sz val="16"/>
        <rFont val="Calibri"/>
        <family val="2"/>
        <scheme val="minor"/>
      </rPr>
      <t xml:space="preserve"> Se dispone en cuadro excel, los hallazgos producto del segundo ciclo de auditorias internas de calidad 2020, para el seguimiento al estado de implementación del Sistema de Gestión de la Calidad bajo el concepto del estándar NTC ISO 9001:2015 y se realiza seguimiento mensual a dicho cuadro.
</t>
    </r>
    <r>
      <rPr>
        <b/>
        <sz val="16"/>
        <rFont val="Calibri"/>
        <family val="2"/>
        <scheme val="minor"/>
      </rPr>
      <t xml:space="preserve">MARZO - SEPTIEMBRE: </t>
    </r>
    <r>
      <rPr>
        <sz val="16"/>
        <rFont val="Calibri"/>
        <family val="2"/>
        <scheme val="minor"/>
      </rPr>
      <t xml:space="preserve">• Se realizó seguimiento mensual (marzo, abril, mayo, junio, julio, agosto y sept) a los hallazgos producto de las Auditorías Internas de Calidad 2020.
• Se realizaron mesas conjuntas de trabajo con la Subgerencia de Planeación y la Oficina de Control Interno para el seguimiento al plan de acción - implementación de los estándares de la NTC ISO 9001:2015 (marzo, abril, mayo, junio, julio, agosto y septiembre). • Reuniones virtuales de acompañamiento – certificación ISO 9001:2015 – Lideres Operativos de los procesos, con temas relacionados al plan de acción - implementación de los estándares de la NTC ISO 9001:2015 (marzo, abril, mayo, junio, julio, agosto, y septiembre).
</t>
    </r>
    <r>
      <rPr>
        <b/>
        <sz val="16"/>
        <rFont val="Calibri"/>
        <family val="2"/>
        <scheme val="minor"/>
      </rPr>
      <t>OCTUBRE - NOVIEMBRE:</t>
    </r>
    <r>
      <rPr>
        <sz val="16"/>
        <rFont val="Calibri"/>
        <family val="2"/>
        <scheme val="minor"/>
      </rPr>
      <t xml:space="preserve">• Se realizó seguimiento mensual (marzo, abril, mayo, junio, julio, agosto, sept, octubre y noviembre) a los hallazgos producto de las Auditorías Internas de Calidad 2020. • Se realizaron mesas conjuntas de trabajo con la Subgerencia de Planeación y la Oficina de Control Interno para el seguimiento al plan de acción - implementación de los estándares de la NTC ISO 9001:2015 (marzo, abril, mayo, junio, julio, agosto, sept, octubre y noviembre).• Reuniones virtuales de acompañamiento – certificación ISO 9001:2015 – Lideres Operativos de los procesos, con temas relacionados al plan de acción - implementación de los estándares de la NTC ISO 9001:2015 (marzo, abril, mayo, junio, julio, agosto, septiembre, octubre y noviembre).
</t>
    </r>
    <r>
      <rPr>
        <b/>
        <sz val="16"/>
        <rFont val="Calibri"/>
        <family val="2"/>
        <scheme val="minor"/>
      </rPr>
      <t xml:space="preserve">DICIEMBRE: </t>
    </r>
    <r>
      <rPr>
        <sz val="16"/>
        <rFont val="Calibri"/>
        <family val="2"/>
        <scheme val="minor"/>
      </rPr>
      <t>Se realizó seguimiento mensual (diciembre) a los hallazgos producto de las Auditorías Internas de Calidad 2020 y 2021 y Auditoria Cruzada NIA. • Se realizaron mesas conjuntas de trabajo con la Subgerencia de Planeación y la Oficina de Control Interno para apoyo a la Auditorìa de Precertificaciòn bajo los estándares de la NTC ISO 9001:2015 realizada por el ICONTEC • Reuniòn virtual de acompañamiento – certificación ISO 9001:2015 – Lideres Operativos de los procesos cuyo tema fue la Auditorìa de Precertificaciòn bajo los estándares de la NTC ISO 9001:2015 realizada por el ICONTEC.</t>
    </r>
  </si>
  <si>
    <t>• Reunión del Equipo Auditor.
• Lista de Auditores Internos de Calidad 2021.
• Documento del Plan de Trabajo - Auditorías Internas de Calidad 2021.
• Documento de las Listas de Verificación - Auditorías Internas de Calidad 2021.
• Presentaciòn Auditorías Internas de Calidad 2021 ante Comitè de Gestiòn y Desempeño Institucional.
•Reunion Grupos Auditores.
•Reuniones de Apertura.
•Reuniones de Implementaciòn.
•Reuniones de apoya a los Grupos de Auditores.
•Revision y consolidaciòn de los informes preliminares de auditorias.
•Reuniones de Cierre.
•Revision de observaciones de los procesos auditados.
•Revision y consolidacion de los informes finales de auditorias.
•Elaboracion del Informe Integral del Ciclo de Auditorias &gt;Internas de Calidad 2021.
•Informe Integral Ciclo Auditorias Internas Calidad 2021. Rad I2021003028-nov22-2021.
•Informe Integral de Evaluaciòn de Auditores - Ciclo Auditorias Internas Calidad 2021. Rad I2021003362 de dic 17 de 2021.
•Auditorìa de Precertificaciòn bajo los estándares de la NTC ISO 9001:2015 realizada por el ICONTEC al Proceso de Evaluaciòn y Seguimiento. (Reuniones de Apertura, implementaciòn y cierre).</t>
  </si>
  <si>
    <r>
      <rPr>
        <b/>
        <sz val="16"/>
        <rFont val="Calibri"/>
        <family val="2"/>
        <scheme val="minor"/>
      </rPr>
      <t>JUNIO A SEPTIEMBRE:</t>
    </r>
    <r>
      <rPr>
        <sz val="16"/>
        <rFont val="Calibri"/>
        <family val="2"/>
        <scheme val="minor"/>
      </rPr>
      <t xml:space="preserve">
• Reunión del Equipo Auditor para coordinar la realización las Auditorías Internas de Calidad 2021.
• Construcción de la lista de Auditores Internos para los Equipos de Auditores que implementaran las Auditorías Internas de Calidad 2021.
• Elaboración del documento del Plan de Trabajo - Auditorías Internas de Calidad 2021.
• Elaboración del documento de las Listas de Verificación - Auditorías Internas de Calidad 2021.
• Presentaciòn en power point Auditorías Internas de Calidad 2021 ante Comitè de Gestiòn y Desempeño Institucional.
•Lista de asistencia - Reunion Grupos Auditores.
•Lista de asistencia - Reuniones de Apertura.
•Lista de asistencia - Reuniones de Implementaciòn.
</t>
    </r>
    <r>
      <rPr>
        <b/>
        <sz val="16"/>
        <rFont val="Calibri"/>
        <family val="2"/>
        <scheme val="minor"/>
      </rPr>
      <t>OCTUBRE - NOVIEMBRE:</t>
    </r>
    <r>
      <rPr>
        <sz val="16"/>
        <rFont val="Calibri"/>
        <family val="2"/>
        <scheme val="minor"/>
      </rPr>
      <t xml:space="preserve">
•Lista de asistencia - Reuniones de apoya a los Grupos de Auditores.
•Informes preliminares de auditorias.
•Lista de asistencia - Reuniones de Cierre.
•Observaciones de los procesos auditados.
•Informes finales de auditorias.
•Informe Integral Ciclo Auditorias Internas Calidad 2021. 
</t>
    </r>
    <r>
      <rPr>
        <b/>
        <sz val="16"/>
        <rFont val="Calibri"/>
        <family val="2"/>
        <scheme val="minor"/>
      </rPr>
      <t>DICIEMBRE:</t>
    </r>
    <r>
      <rPr>
        <sz val="16"/>
        <rFont val="Calibri"/>
        <family val="2"/>
        <scheme val="minor"/>
      </rPr>
      <t xml:space="preserve">
•Informe Integral de Evaluaciòn de Auditores - Ciclo Auditorias Internas Calidad 2021. Rad I2021003362 de dic 17 de 2021
•Informe Auditorìa de Precertificaciòn bajo los estándares de la NTC ISO 9001:2015 realizada por el ICONTEC/ Proceso de Evaluaciòn y Seguimiento.
</t>
    </r>
  </si>
  <si>
    <t>Acta de Autoevaluaciòn OCI No 1
Acta de Autoevaluaciòn OCI No 2
Acta de Autoevaluaciòn OCI No 3
Acta de Autoevaluaciòn OCI No 4
Acta de Autoevaluaciòn OCI No 5
Acta de Autoevaluaciòn OCI No 6
Acta de Autoevaluaciòn OCI No 7
Acta de Autoevaluaciòn OCI No 8
Acta de Autoevaluaciòn OCI No 9
Acta de Autoevaluaciòn OCI No 10
Acta de Autoevaluaciòn OCI No 11
Acta de Autoevaluaciòn OCI No 12
Acta de Autoevaluaciòn OCI No 13
Acta de Autoevaluaciòn OCI No 14
Acta de Autoevaluaciòn OCI No 15
Acta de Autoevaluaciòn OCI No 16
Acta de Autoevaluaciòn OCI No 17</t>
  </si>
  <si>
    <t>Al 31/12/2021, se realizado17 Reuniones de Autoevaluaciòn de la OCI, asì:
Reuniòn 1 - 08/01/2021
Reuniòn 2 - 19/01/2021
Reuniòn 3 - 08/02/2021
Reuniòn 4 - 24/02/2021
Reuniòn 5 - 05/03/2021
Reuniòn 6 - 11/03/2021
Reunión 7 - 31/03/2021
Reunión 8 - 28/04/2021
Reunión 9 - 28/05/2021
Reunión 10 - 29/06/2021
Reunión 11 - 28/07/2021
Reunión 12 - 19/08/2021
Reunión 13 - 28/09/2021
Reunión 14 - 29/10/2021
Reunión 15 - 16/11/2021
Reunión 16 - 10/12/2021
Reunión 17 - 27/12/2021</t>
  </si>
  <si>
    <r>
      <t xml:space="preserve">Versiones actualizadas de los siguientes documentos del proceso de Evaluación y Seguimiento:
• Formato Informe de Evaluación y Auditoría Integral
• Procedimiento Planes de Mejoramiento
• Formato Carta de Representación
• Procedimiento Auditorías Internas SIG y de Evaluación Independiente
• Caracterización del proceso
• Indicadores de Gestión del proceso.
</t>
    </r>
    <r>
      <rPr>
        <b/>
        <sz val="16"/>
        <rFont val="Calibri"/>
        <family val="2"/>
        <scheme val="minor"/>
      </rPr>
      <t>DICIEMBRE:</t>
    </r>
    <r>
      <rPr>
        <sz val="16"/>
        <rFont val="Calibri"/>
        <family val="2"/>
        <scheme val="minor"/>
      </rPr>
      <t xml:space="preserve">
Versiones actualizadas de los siguientes documentos del proceso de Evaluación y Seguimiento:
PD-55 Relación con Entes Externos de Control en versión 4
PD-56 Rendición de cuentas SIVICOF en versión 3
PD-57 Auditorías internas SIG y de Evaluación Independiente en versión 3
 PD-17 Planes de Mejoramiento en versión 4
FT-115 Informe de Auditoria Integral en versión 5
FT-203 Lista de Verificación Documental de Trabajos de Auditoría en versión 1
</t>
    </r>
  </si>
  <si>
    <r>
      <t>Actualización de los siguientes documentos del proceso de Evaluación y Seguimiento:
• FORMATO: INFORME DE EVALUACIÓN Y AUDITORÍA INTEGRAL, incluye recomendaciones grupo trabajo OCI.
• PROCEDIMIENTO: PLANES DE MEJORAMIENTO, basado en mejora a raìz de auditoría interna de calidad realizada al proceso de Evaluación y Seguimiento.
• FORMATO: CARTA DE REPRESENTACIÓN, adecuación del formato y solicitud de incorporación del mismo, a los documentos SIG del Proceso de Evaluación y Seguimiento, en cumplimiento de lo establecido en las Normas internacionales de Auditoría que aplica el proceso.
• PROCEDIMIENTO: AUDITORÍAS INTERNAS SIG Y DE EVALUACIÓN INDEPENDIENTE, basado en la inclusión del formato Carta de Representación en los documentos del proceso de Evaluación y Seguimiento.
• CARACTERIZACION DEL PROCESO, en el nuevo formato establecido por la SPAP, y con las recomendaciones del responsable del SIG y del grupo de trabajo OCI.
• INDICADORES DE GESTION DEL PROCESO, en el nuevo formato establecido por la SPAP, y con las recomendaciones del responsable del SIG y del grupo de trabajo OCI.</t>
    </r>
    <r>
      <rPr>
        <b/>
        <sz val="16"/>
        <rFont val="Calibri"/>
        <family val="2"/>
        <scheme val="minor"/>
      </rPr>
      <t xml:space="preserve">
</t>
    </r>
    <r>
      <rPr>
        <sz val="16"/>
        <rFont val="Calibri"/>
        <family val="2"/>
        <scheme val="minor"/>
      </rPr>
      <t xml:space="preserve">OCTUBRE - NOVIEMBRE: Mesas de Trabajo con la SPAP - SIG  para revision final y tramite de aprobacion de los siguientes documentos del Proceso de Evaluaciòn y Seguimiento:
PD-55 Relación con Entes Externos de Control en versión 4 - PD-56 Rendición de cuentas SIVICOF en versión 3 - PD-57 Auditorías internas SIG y de Evaluación Independiente en versión 3
FT-115 Informe de Auditoria Integral en versión 5 - FT-203 Lista de Verificación Documental de Trabajos de Auditoría en versión 1
</t>
    </r>
    <r>
      <rPr>
        <b/>
        <sz val="16"/>
        <rFont val="Calibri"/>
        <family val="2"/>
        <scheme val="minor"/>
      </rPr>
      <t>DICIEMBRE</t>
    </r>
    <r>
      <rPr>
        <sz val="16"/>
        <rFont val="Calibri"/>
        <family val="2"/>
        <scheme val="minor"/>
      </rPr>
      <t xml:space="preserve">: Actualización de los siguientes documentos del proceso de Evaluación y Seguimiento: PD-55 Relación con Entes Externos de Control en versión 4
PD-56 Rendición de cuentas SIVICOF en versión 3, PD-57 Auditorías internas SIG y de Evaluación Independiente en versión 3
, PD-17 Planes de Mejoramiento en versión 4, FT-115 Informe de Auditoria Integral en versión 5, FT-203 Lista de Verificación Documental de Trabajos de Auditoría en versión 1
</t>
    </r>
  </si>
  <si>
    <t>Correo electrónico institucional jvillalbam@eru.gov.co
Cuadro control de requerimientos
A la fecha 31 de Diciembre de 2021 se recibieron 678 requerimientos de los cuales 667 se atendieron y 11 estan en proceso de gestión.</t>
  </si>
  <si>
    <t>Reunión de Cierre. Resultados del Trabajo de Auditoría el 23 de diciembre de 2021.
Informe final Radicado I2021003440 de dic 24 de 2021 .</t>
  </si>
  <si>
    <t>Reunión de Cierre 23 de diciembre de 2021</t>
  </si>
  <si>
    <t>Presentaron Plan de mejoramiento el 18 de noviembre de 2021</t>
  </si>
  <si>
    <t>Se culminó la Auditoría a Proyectos de Obra. Informe Final Radicado I2021003443 de dic 24 de 2021. La reunión de cierre se realizó el 23 de diciembre de 2021.</t>
  </si>
  <si>
    <t>Se está a la espera de la formulación del Plan de Mejoiramiento por parte de las áreas que atendieron la auditoría.</t>
  </si>
  <si>
    <t>1. Asistencia de todo el personal a un Curso de Actualización en las normas de auditoría internacional, modalidad virtual, los días 4, 11, 18 y 25 de febrero de 2021 (Doce horas)
2. Correo electrónico de marzo 16 de 2021 desde el correo de la Jefe de Oficina, ratificando los ajustes a la Carta de Representación de la Actividad de Auditoría Interna con todos los integrantes del Comité Institucional de Coordinación de Control Interno. Los ajustes se produjeron como resultado de los aspectos revisados en el curso de actualización señalado en el punto número 01.
3. Hallazgo en auditorias cruzadas efectuada por Canal Capital donde recomienda revisar y hacer los ajustes pertinentes a los instrumentos mínimos de la actividad de auditoría interna. Se formuló Plan de Mejoramiento al respecto, el cual se encuentra en ejecución.
4. Se entrega propuesta de actualización al Estatuto de Auditoría de la Empresa, incluiyendo los ajustes sugeridos por la Auditoría Cruzada de Canal Capital.
5. Se entrega propuesta de Cronograma de Trabajo para 2022 con la inclusión de las actividades que se sugiere realizar para cerrar las brechas en materia de implementación de las Normas del Marco Internacional para la Práctica Profesional de la Auditoría Interna.</t>
  </si>
  <si>
    <t>1. Fortalecer el conocimiento del marco normativo aplicable sobre los instrumentos básicos de la actividad de auditoría interna.
2. Se actualizó el modelo de Carta de Representación y se incluyó como parte de los documentos del proceso de Evaluación en el Sistema de Gestión de la Empresa. Los demás instrumentos no requieren actualización en este momento.
3. Estos instrumentos se encuentran nuevamente en revisión para atender la observación de la auditoría cruzada practicada por Canal Capital. A la fecha, se avanza en la ejecución de las actividades formuladas en el Plan de Mejoramiento. El ajuste fundamental consiste en incluir en el Estatuto de Auditoría Interna de la Empresa las acciones referentes al desarrollo de la actividad de asesoría por parte de la Oficina en el marco de las normas internacionales de auditoría.
4. En 2022 se sugiere avanzar en el cierre de brechas para la adopción de las Normas del Marco Internacional de la Práctica Profesional de la Auditoría Interna.</t>
  </si>
  <si>
    <t>Pagina web - Subcategoria Reportes de Control Interno
Correo electrónico del 06 de enero de 2021
Correo electrónico del 10 de febrero de 2021
CBN 1038 Informe de Gestion de la OCI 2021
http://www.eru.gov.co/transparencia/control
El informe de seguimiento se encuentra culminado.
Correo electronico 5 de enero de 2022.</t>
  </si>
  <si>
    <r>
      <t xml:space="preserve">Informe de gestión oficina de Control Interno - Vigencia 2020.
Se preparó el informe de gestión de la Oficina de Control Interno para la vigencia 2021  el cual fue remitido a la Subgerencia de Planeación y Administración de Proyectos y fue incorporado dentro de la rendición de cuentas fiscal a través de SIVICOF.
Se entregò el seguimiento del Plan de Acción de la OCI y los Indicadores de Gestión Conforme lo requerido por la SPAP de manera oportuna.
</t>
    </r>
    <r>
      <rPr>
        <sz val="18"/>
        <rFont val="Calibri"/>
        <family val="2"/>
        <scheme val="minor"/>
      </rPr>
      <t xml:space="preserve">Corte Noviembre de 2021: El Informe final de la Gestión 2021 se encuentra 100% 
</t>
    </r>
  </si>
  <si>
    <t>Informe Remitido a la Contraloria de Bogota a través de SIVICOF.
 Documento CBN-1038. Certificado anual Contraloria 2020 fecha 15 de febrero de 2021
Entrega corte Diciembre 31 de 2021, según Circular Conjunta de la Veedurìa - Alcaldìa 
Informe entregado el 5 de Diciembre de 2022 por correo electrónico.</t>
  </si>
  <si>
    <t>El informe  se encuentra en proceso de elaboración con un avance del 90%</t>
  </si>
  <si>
    <r>
      <t xml:space="preserve">Resultados Seguimiento Metas Plan de Desarrollo y Proyectos de Inversión. Corte 31 de diciembre de 2020.
</t>
    </r>
    <r>
      <rPr>
        <b/>
        <sz val="18"/>
        <rFont val="Calibri"/>
        <family val="2"/>
        <scheme val="minor"/>
      </rPr>
      <t>Corte Noviembre de 2021: El informe se encuentra en proceso de elaboración con un avance del 85%</t>
    </r>
  </si>
  <si>
    <t>Rad I2021002626 Seguimiento Acuerdos de Gestión Cierre 2020, Suscripción 2021</t>
  </si>
  <si>
    <t>N/A para la vigencia 2021</t>
  </si>
  <si>
    <t>Visitas Usminia, CHSJD, Usme II Idipron, La Estaciòn</t>
  </si>
  <si>
    <t xml:space="preserve">Se atendio la Auditoria de Regularidad de la Contraloria de Bogota cuyo informe  radicado E2021006302  de octubre 15 de 2021 y se remitio el Plan de Mejoramiento correspondiente en los terminos establecidos  </t>
  </si>
  <si>
    <t xml:space="preserve">Certificado cuenta mensual  emitido por la contraloria:
Diciembre: 8 de Enero de 2021
Enero: 9 de Febrero de 2021
Febrero: 8 de marzo de 2021
Marzo: 12 de abril 2021
Abril: 10 de mayo de 2021
Mayo: 09 de junio de 2021
Junio: 09 de julio de 2021
Julio: 09 de agosto de 2021
Agosto: 09 de septiembre de 2021
Septiembre: 11 de cotubre de 2021
Octubre: 09 de noviembre de 2021
Noviembre: 10 de diciembre de 2021.
</t>
  </si>
  <si>
    <t>Cuadro de Registro de tareas y compromisos adquiridos, corte diciembre 31 de 2021 se asignaron 333 tareas de las cuales se han atendido 311 y en proceso de gestión 22</t>
  </si>
  <si>
    <t>Fecha: Diciembre 2021- Oficina de Control Interno</t>
  </si>
  <si>
    <t>No fue requerido en el periodo evaluado</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</si>
</sst>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 #,##0_-;\-&quot;$&quot;\ * #,##0_-;_-&quot;$&quot;\ * &quot;-&quot;_-;_-@_-"/>
    <numFmt numFmtId="41" formatCode="_-* #,##0_-;\-* #,##0_-;_-* &quot;-&quot;_-;_-@_-"/>
    <numFmt numFmtId="43" formatCode="_-* #,##0.00_-;\-* #,##0.00_-;_-* &quot;-&quot;??_-;_-@_-"/>
    <numFmt numFmtId="164" formatCode="_(&quot;$&quot;\ * #,##0.00_);_(&quot;$&quot;\ * \(#,##0.00\);_(&quot;$&quot;\ * &quot;-&quot;??_);_(@_)"/>
    <numFmt numFmtId="165" formatCode="_-&quot;$&quot;* #,##0_-;\-&quot;$&quot;* #,##0_-;_-&quot;$&quot;* &quot;-&quot;_-;_-@_-"/>
    <numFmt numFmtId="166" formatCode="[$-C0A]dd\-mmm\-yy;@"/>
    <numFmt numFmtId="167" formatCode="[$-C0A]d\-mmm\-yyyy;@"/>
    <numFmt numFmtId="168" formatCode="0.0"/>
    <numFmt numFmtId="169" formatCode="#,###\ &quot;COP&quot;"/>
  </numFmts>
  <fonts count="77" x14ac:knownFonts="1">
    <font>
      <sz val="11"/>
      <color theme="1"/>
      <name val="Calibri"/>
      <family val="2"/>
      <scheme val="minor"/>
    </font>
    <font>
      <sz val="11"/>
      <color theme="1"/>
      <name val="Calibri"/>
      <family val="2"/>
      <scheme val="minor"/>
    </font>
    <font>
      <sz val="10"/>
      <color theme="1"/>
      <name val="Arial"/>
      <family val="2"/>
    </font>
    <font>
      <b/>
      <sz val="11"/>
      <name val="Calibri"/>
      <family val="2"/>
    </font>
    <font>
      <sz val="9"/>
      <color indexed="81"/>
      <name val="Tahoma"/>
      <family val="2"/>
    </font>
    <font>
      <sz val="10"/>
      <name val="Calibri"/>
      <family val="2"/>
    </font>
    <font>
      <sz val="10"/>
      <color theme="1"/>
      <name val="Calibri"/>
      <family val="2"/>
    </font>
    <font>
      <b/>
      <sz val="10"/>
      <name val="Calibri"/>
      <family val="2"/>
    </font>
    <font>
      <b/>
      <sz val="10"/>
      <color theme="1"/>
      <name val="Arial"/>
      <family val="2"/>
    </font>
    <font>
      <sz val="10"/>
      <name val="Arial"/>
      <family val="2"/>
    </font>
    <font>
      <b/>
      <sz val="11"/>
      <color theme="1"/>
      <name val="Calibri"/>
      <family val="2"/>
      <scheme val="minor"/>
    </font>
    <font>
      <b/>
      <sz val="11"/>
      <name val="Calibri"/>
      <family val="2"/>
      <scheme val="minor"/>
    </font>
    <font>
      <sz val="10"/>
      <color theme="1"/>
      <name val="Calibri"/>
      <family val="2"/>
      <scheme val="minor"/>
    </font>
    <font>
      <u/>
      <sz val="11"/>
      <color theme="10"/>
      <name val="Calibri"/>
      <family val="2"/>
      <scheme val="minor"/>
    </font>
    <font>
      <b/>
      <sz val="15"/>
      <color theme="1"/>
      <name val="Calibri"/>
      <family val="2"/>
      <scheme val="minor"/>
    </font>
    <font>
      <sz val="11"/>
      <color rgb="FF000000"/>
      <name val="Calibri"/>
      <family val="2"/>
      <scheme val="minor"/>
    </font>
    <font>
      <sz val="11"/>
      <color theme="1"/>
      <name val="Century Gothic"/>
      <family val="2"/>
    </font>
    <font>
      <b/>
      <sz val="11"/>
      <color theme="1"/>
      <name val="Century Gothic"/>
      <family val="2"/>
    </font>
    <font>
      <b/>
      <sz val="14"/>
      <color theme="1"/>
      <name val="Century Gothic"/>
      <family val="2"/>
    </font>
    <font>
      <i/>
      <sz val="11"/>
      <color theme="1"/>
      <name val="Century Gothic"/>
      <family val="2"/>
    </font>
    <font>
      <b/>
      <sz val="22"/>
      <color rgb="FF000000"/>
      <name val="Calibri"/>
      <family val="2"/>
      <scheme val="minor"/>
    </font>
    <font>
      <sz val="22"/>
      <color theme="1"/>
      <name val="Calibri"/>
      <family val="2"/>
      <scheme val="minor"/>
    </font>
    <font>
      <sz val="22"/>
      <name val="Calibri"/>
      <family val="2"/>
      <scheme val="minor"/>
    </font>
    <font>
      <b/>
      <sz val="22"/>
      <name val="Calibri"/>
      <family val="2"/>
      <scheme val="minor"/>
    </font>
    <font>
      <b/>
      <sz val="22"/>
      <color theme="1"/>
      <name val="Calibri"/>
      <family val="2"/>
      <scheme val="minor"/>
    </font>
    <font>
      <u/>
      <sz val="11"/>
      <color theme="10"/>
      <name val="Calibri"/>
      <family val="2"/>
    </font>
    <font>
      <sz val="11"/>
      <color indexed="8"/>
      <name val="Calibri"/>
      <family val="2"/>
    </font>
    <font>
      <b/>
      <sz val="35"/>
      <color rgb="FF000000"/>
      <name val="Calibri Light"/>
      <family val="2"/>
      <scheme val="major"/>
    </font>
    <font>
      <sz val="14"/>
      <color rgb="FF000000"/>
      <name val="Century Gothic"/>
      <family val="2"/>
    </font>
    <font>
      <sz val="11"/>
      <color rgb="FF000000"/>
      <name val="Century Gothic"/>
      <family val="2"/>
    </font>
    <font>
      <sz val="8"/>
      <color theme="0"/>
      <name val="Calibri"/>
      <family val="2"/>
      <scheme val="minor"/>
    </font>
    <font>
      <sz val="11"/>
      <color rgb="FF0000FF"/>
      <name val="Century Gothic"/>
      <family val="2"/>
    </font>
    <font>
      <b/>
      <sz val="11"/>
      <color rgb="FF0000FF"/>
      <name val="Century Gothic"/>
      <family val="2"/>
    </font>
    <font>
      <b/>
      <i/>
      <sz val="11"/>
      <color theme="1"/>
      <name val="Century Gothic"/>
      <family val="2"/>
    </font>
    <font>
      <u/>
      <sz val="11"/>
      <color theme="10"/>
      <name val="Century Gothic"/>
      <family val="2"/>
    </font>
    <font>
      <sz val="8"/>
      <color theme="1"/>
      <name val="Calibri"/>
      <family val="2"/>
      <scheme val="minor"/>
    </font>
    <font>
      <b/>
      <sz val="8"/>
      <color theme="1"/>
      <name val="Calibri"/>
      <family val="2"/>
      <scheme val="minor"/>
    </font>
    <font>
      <sz val="8"/>
      <color rgb="FF9C0006"/>
      <name val="Calibri"/>
      <family val="2"/>
      <scheme val="minor"/>
    </font>
    <font>
      <b/>
      <sz val="22"/>
      <color rgb="FF000000"/>
      <name val="Century Gothic"/>
      <family val="2"/>
    </font>
    <font>
      <b/>
      <sz val="22"/>
      <name val="Century Gothic"/>
      <family val="2"/>
    </font>
    <font>
      <b/>
      <sz val="22"/>
      <color theme="1"/>
      <name val="Century Gothic"/>
      <family val="2"/>
    </font>
    <font>
      <sz val="9"/>
      <name val="Century Gothic"/>
      <family val="2"/>
    </font>
    <font>
      <sz val="8"/>
      <name val="Century Gothic"/>
      <family val="2"/>
    </font>
    <font>
      <sz val="11"/>
      <name val="Century Gothic"/>
      <family val="2"/>
    </font>
    <font>
      <b/>
      <sz val="11"/>
      <name val="Century Gothic"/>
      <family val="2"/>
    </font>
    <font>
      <b/>
      <sz val="12"/>
      <name val="Century Gothic"/>
      <family val="2"/>
    </font>
    <font>
      <b/>
      <sz val="8"/>
      <color theme="1"/>
      <name val="Century Gothic"/>
      <family val="2"/>
    </font>
    <font>
      <sz val="8"/>
      <color theme="1"/>
      <name val="Century Gothic"/>
      <family val="2"/>
    </font>
    <font>
      <b/>
      <sz val="9"/>
      <color indexed="81"/>
      <name val="Tahoma"/>
      <family val="2"/>
    </font>
    <font>
      <b/>
      <sz val="12"/>
      <color rgb="FF9C0006"/>
      <name val="Century Gothic"/>
      <family val="2"/>
    </font>
    <font>
      <b/>
      <sz val="14"/>
      <color rgb="FF0000FF"/>
      <name val="Century Gothic"/>
      <family val="2"/>
    </font>
    <font>
      <b/>
      <u/>
      <sz val="14"/>
      <color rgb="FF0000FF"/>
      <name val="Calibri"/>
      <family val="2"/>
      <scheme val="minor"/>
    </font>
    <font>
      <sz val="11"/>
      <color rgb="FF000000"/>
      <name val="Calibri"/>
      <family val="2"/>
    </font>
    <font>
      <b/>
      <sz val="11"/>
      <color rgb="FF000000"/>
      <name val="Century Gothic"/>
      <family val="2"/>
    </font>
    <font>
      <sz val="10"/>
      <color rgb="FF000000"/>
      <name val="Century Gothic"/>
      <family val="2"/>
    </font>
    <font>
      <b/>
      <sz val="10"/>
      <name val="Century Gothic"/>
      <family val="2"/>
    </font>
    <font>
      <b/>
      <sz val="10"/>
      <color rgb="FF000000"/>
      <name val="Century Gothic"/>
      <family val="2"/>
    </font>
    <font>
      <b/>
      <sz val="10"/>
      <color theme="1"/>
      <name val="Calibri"/>
      <family val="2"/>
    </font>
    <font>
      <b/>
      <sz val="16"/>
      <color theme="1"/>
      <name val="Century Gothic"/>
      <family val="2"/>
    </font>
    <font>
      <sz val="8"/>
      <name val="Calibri"/>
      <family val="2"/>
      <scheme val="minor"/>
    </font>
    <font>
      <sz val="11"/>
      <name val="Century Gothic"/>
      <family val="2"/>
    </font>
    <font>
      <b/>
      <sz val="11"/>
      <color theme="1"/>
      <name val="Arial"/>
      <family val="2"/>
    </font>
    <font>
      <b/>
      <sz val="10"/>
      <color theme="1"/>
      <name val="Verdana"/>
      <family val="2"/>
    </font>
    <font>
      <sz val="10"/>
      <color theme="1"/>
      <name val="Verdana"/>
      <family val="2"/>
    </font>
    <font>
      <sz val="9"/>
      <color theme="1"/>
      <name val="Arial"/>
      <family val="2"/>
    </font>
    <font>
      <sz val="9"/>
      <name val="Arial"/>
      <family val="2"/>
    </font>
    <font>
      <b/>
      <sz val="14"/>
      <color theme="1"/>
      <name val="Calibri"/>
      <family val="2"/>
      <scheme val="minor"/>
    </font>
    <font>
      <sz val="18"/>
      <color theme="1"/>
      <name val="Calibri"/>
      <family val="2"/>
      <scheme val="minor"/>
    </font>
    <font>
      <sz val="18"/>
      <name val="Calibri"/>
      <family val="2"/>
      <scheme val="minor"/>
    </font>
    <font>
      <b/>
      <sz val="18"/>
      <color theme="1"/>
      <name val="Calibri"/>
      <family val="2"/>
      <scheme val="minor"/>
    </font>
    <font>
      <b/>
      <sz val="18"/>
      <name val="Calibri"/>
      <family val="2"/>
      <scheme val="minor"/>
    </font>
    <font>
      <i/>
      <sz val="18"/>
      <color theme="1"/>
      <name val="Calibri"/>
      <family val="2"/>
      <scheme val="minor"/>
    </font>
    <font>
      <sz val="16"/>
      <name val="Calibri"/>
      <family val="2"/>
      <scheme val="minor"/>
    </font>
    <font>
      <b/>
      <sz val="16"/>
      <name val="Calibri"/>
      <family val="2"/>
      <scheme val="minor"/>
    </font>
    <font>
      <sz val="18"/>
      <color rgb="FF0000FF"/>
      <name val="Calibri"/>
      <family val="2"/>
      <scheme val="minor"/>
    </font>
    <font>
      <sz val="18"/>
      <color rgb="FFFF0000"/>
      <name val="Calibri"/>
      <family val="2"/>
      <scheme val="minor"/>
    </font>
    <font>
      <sz val="20"/>
      <name val="Calibri"/>
      <family val="2"/>
      <scheme val="minor"/>
    </font>
  </fonts>
  <fills count="43">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theme="3" tint="0.79998168889431442"/>
        <bgColor theme="0"/>
      </patternFill>
    </fill>
    <fill>
      <patternFill patternType="solid">
        <fgColor theme="3"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D9D9D9"/>
      </patternFill>
    </fill>
    <fill>
      <patternFill patternType="solid">
        <fgColor theme="8" tint="0.79998168889431442"/>
        <bgColor rgb="FFD9D9D9"/>
      </patternFill>
    </fill>
    <fill>
      <patternFill patternType="solid">
        <fgColor rgb="FFFFC7CE"/>
      </patternFill>
    </fill>
    <fill>
      <patternFill patternType="solid">
        <fgColor theme="4"/>
      </patternFill>
    </fill>
    <fill>
      <patternFill patternType="solid">
        <fgColor theme="5"/>
      </patternFill>
    </fill>
    <fill>
      <patternFill patternType="solid">
        <fgColor theme="9" tint="0.39997558519241921"/>
        <bgColor indexed="64"/>
      </patternFill>
    </fill>
    <fill>
      <patternFill patternType="solid">
        <fgColor rgb="FF00206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bgColor indexed="64"/>
      </patternFill>
    </fill>
    <fill>
      <patternFill patternType="solid">
        <fgColor rgb="FF00B050"/>
        <bgColor indexed="64"/>
      </patternFill>
    </fill>
    <fill>
      <patternFill patternType="solid">
        <fgColor rgb="FFD6DCE4"/>
        <bgColor rgb="FFD6DCE4"/>
      </patternFill>
    </fill>
    <fill>
      <patternFill patternType="solid">
        <fgColor rgb="FFCCCCFF"/>
        <bgColor indexed="64"/>
      </patternFill>
    </fill>
    <fill>
      <patternFill patternType="solid">
        <fgColor rgb="FFFF0000"/>
        <bgColor rgb="FFFF0000"/>
      </patternFill>
    </fill>
    <fill>
      <patternFill patternType="solid">
        <fgColor rgb="FFFFFF00"/>
        <bgColor rgb="FFFFFF00"/>
      </patternFill>
    </fill>
    <fill>
      <patternFill patternType="solid">
        <fgColor rgb="FFFFC000"/>
        <bgColor rgb="FFFFC000"/>
      </patternFill>
    </fill>
    <fill>
      <patternFill patternType="solid">
        <fgColor rgb="FF92D050"/>
        <bgColor rgb="FF92D050"/>
      </patternFill>
    </fill>
    <fill>
      <patternFill patternType="solid">
        <fgColor rgb="FFFFFFFF"/>
        <bgColor rgb="FFFFFFFF"/>
      </patternFill>
    </fill>
    <fill>
      <patternFill patternType="solid">
        <fgColor theme="3" tint="0.59999389629810485"/>
        <bgColor indexed="64"/>
      </patternFill>
    </fill>
    <fill>
      <patternFill patternType="solid">
        <fgColor theme="1"/>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7"/>
        <bgColor indexed="64"/>
      </patternFill>
    </fill>
    <fill>
      <patternFill patternType="solid">
        <fgColor theme="7" tint="0.39997558519241921"/>
        <bgColor indexed="64"/>
      </patternFill>
    </fill>
    <fill>
      <patternFill patternType="solid">
        <fgColor rgb="FFDBE5F1"/>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auto="1"/>
      </left>
      <right style="medium">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auto="1"/>
      </left>
      <right style="medium">
        <color indexed="64"/>
      </right>
      <top/>
      <bottom style="thin">
        <color auto="1"/>
      </bottom>
      <diagonal/>
    </border>
    <border>
      <left style="hair">
        <color indexed="64"/>
      </left>
      <right style="hair">
        <color indexed="64"/>
      </right>
      <top/>
      <bottom/>
      <diagonal/>
    </border>
    <border>
      <left style="hair">
        <color indexed="64"/>
      </left>
      <right/>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auto="1"/>
      </left>
      <right/>
      <top style="thin">
        <color auto="1"/>
      </top>
      <bottom/>
      <diagonal/>
    </border>
    <border>
      <left style="thin">
        <color indexed="64"/>
      </left>
      <right/>
      <top style="medium">
        <color indexed="64"/>
      </top>
      <bottom style="thin">
        <color indexed="64"/>
      </bottom>
      <diagonal/>
    </border>
    <border>
      <left/>
      <right style="thin">
        <color auto="1"/>
      </right>
      <top style="thin">
        <color auto="1"/>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medium">
        <color rgb="FF000000"/>
      </right>
      <top/>
      <bottom style="thin">
        <color rgb="FF000000"/>
      </bottom>
      <diagonal/>
    </border>
    <border>
      <left style="medium">
        <color rgb="FF000000"/>
      </left>
      <right/>
      <top style="medium">
        <color rgb="FF000000"/>
      </top>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rgb="FF000000"/>
      </right>
      <top style="medium">
        <color indexed="64"/>
      </top>
      <bottom style="medium">
        <color indexed="64"/>
      </bottom>
      <diagonal/>
    </border>
    <border>
      <left style="medium">
        <color rgb="FF000000"/>
      </left>
      <right style="thin">
        <color rgb="FF000000"/>
      </right>
      <top style="medium">
        <color indexed="64"/>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indexed="64"/>
      </top>
      <bottom/>
      <diagonal/>
    </border>
    <border>
      <left/>
      <right/>
      <top style="thin">
        <color auto="1"/>
      </top>
      <bottom style="medium">
        <color auto="1"/>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bottom style="thin">
        <color indexed="64"/>
      </bottom>
      <diagonal/>
    </border>
  </borders>
  <cellStyleXfs count="1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xf numFmtId="0" fontId="13" fillId="0" borderId="0" applyNumberFormat="0" applyFill="0" applyBorder="0" applyAlignment="0" applyProtection="0"/>
    <xf numFmtId="0" fontId="25" fillId="0" borderId="0" applyNumberFormat="0" applyFill="0" applyBorder="0" applyAlignment="0" applyProtection="0">
      <alignment vertical="top"/>
      <protection locked="0"/>
    </xf>
    <xf numFmtId="164" fontId="26" fillId="0" borderId="0" applyFont="0" applyFill="0" applyBorder="0" applyAlignment="0" applyProtection="0"/>
    <xf numFmtId="164" fontId="1" fillId="0" borderId="0" applyFont="0" applyFill="0" applyBorder="0" applyAlignment="0" applyProtection="0"/>
    <xf numFmtId="0" fontId="9" fillId="0" borderId="0"/>
    <xf numFmtId="0" fontId="1" fillId="0" borderId="0"/>
    <xf numFmtId="0" fontId="30" fillId="15" borderId="0" applyNumberFormat="0" applyBorder="0" applyAlignment="0" applyProtection="0"/>
    <xf numFmtId="0" fontId="30" fillId="16" borderId="0" applyNumberFormat="0" applyBorder="0" applyAlignment="0" applyProtection="0"/>
    <xf numFmtId="0" fontId="37" fillId="14" borderId="0" applyNumberFormat="0" applyBorder="0" applyAlignment="0" applyProtection="0"/>
    <xf numFmtId="0" fontId="52" fillId="0" borderId="0"/>
    <xf numFmtId="0" fontId="62" fillId="42" borderId="0" applyNumberFormat="0" applyBorder="0" applyProtection="0">
      <alignment horizontal="center" vertical="center"/>
    </xf>
    <xf numFmtId="49" fontId="63" fillId="0" borderId="0" applyFill="0" applyBorder="0" applyProtection="0">
      <alignment horizontal="left" vertical="center"/>
    </xf>
    <xf numFmtId="169" fontId="2" fillId="0" borderId="0" applyFont="0" applyFill="0" applyBorder="0" applyAlignment="0" applyProtection="0"/>
    <xf numFmtId="41" fontId="1" fillId="0" borderId="0" applyFont="0" applyFill="0" applyBorder="0" applyAlignment="0" applyProtection="0"/>
  </cellStyleXfs>
  <cellXfs count="721">
    <xf numFmtId="0" fontId="0" fillId="0" borderId="0" xfId="0"/>
    <xf numFmtId="0" fontId="0" fillId="0" borderId="1" xfId="0" applyBorder="1"/>
    <xf numFmtId="0" fontId="0" fillId="0" borderId="16" xfId="0" applyBorder="1"/>
    <xf numFmtId="0" fontId="0" fillId="0" borderId="17" xfId="0" applyBorder="1"/>
    <xf numFmtId="9" fontId="0" fillId="0" borderId="18" xfId="2" applyFont="1" applyBorder="1"/>
    <xf numFmtId="0" fontId="0" fillId="0" borderId="19" xfId="0" applyBorder="1"/>
    <xf numFmtId="9" fontId="0" fillId="0" borderId="20" xfId="2" applyFont="1" applyBorder="1"/>
    <xf numFmtId="0" fontId="0" fillId="0" borderId="21" xfId="0" applyBorder="1"/>
    <xf numFmtId="0" fontId="0" fillId="0" borderId="5" xfId="0" applyBorder="1"/>
    <xf numFmtId="9" fontId="0" fillId="0" borderId="22" xfId="2" applyFont="1" applyBorder="1"/>
    <xf numFmtId="0" fontId="0" fillId="0" borderId="23" xfId="0" applyBorder="1"/>
    <xf numFmtId="0" fontId="0" fillId="0" borderId="12" xfId="0" applyBorder="1"/>
    <xf numFmtId="0" fontId="0" fillId="0" borderId="24" xfId="0" applyBorder="1"/>
    <xf numFmtId="0" fontId="0" fillId="0" borderId="26" xfId="0" applyBorder="1"/>
    <xf numFmtId="0" fontId="0" fillId="0" borderId="27" xfId="0" applyBorder="1"/>
    <xf numFmtId="0" fontId="10" fillId="9" borderId="28" xfId="0" applyFont="1" applyFill="1" applyBorder="1" applyAlignment="1">
      <alignment horizontal="center"/>
    </xf>
    <xf numFmtId="0" fontId="0" fillId="0" borderId="0" xfId="0" applyAlignment="1">
      <alignment wrapText="1"/>
    </xf>
    <xf numFmtId="0" fontId="0" fillId="7" borderId="34" xfId="0" applyFill="1" applyBorder="1"/>
    <xf numFmtId="0" fontId="0" fillId="7" borderId="35" xfId="0" applyFill="1" applyBorder="1"/>
    <xf numFmtId="0" fontId="0" fillId="7" borderId="36" xfId="0" applyFill="1" applyBorder="1"/>
    <xf numFmtId="0" fontId="0" fillId="7" borderId="13" xfId="0" applyFill="1" applyBorder="1"/>
    <xf numFmtId="0" fontId="0" fillId="7" borderId="0" xfId="0" applyFill="1" applyBorder="1"/>
    <xf numFmtId="0" fontId="0" fillId="7" borderId="14" xfId="0" applyFill="1" applyBorder="1"/>
    <xf numFmtId="0" fontId="0" fillId="7" borderId="7" xfId="0" applyFill="1" applyBorder="1"/>
    <xf numFmtId="0" fontId="0" fillId="7" borderId="4" xfId="0" applyFill="1" applyBorder="1"/>
    <xf numFmtId="0" fontId="0" fillId="7" borderId="8" xfId="0" applyFill="1" applyBorder="1"/>
    <xf numFmtId="0" fontId="0" fillId="7" borderId="0" xfId="0" applyFill="1"/>
    <xf numFmtId="0" fontId="15" fillId="7" borderId="13" xfId="0" applyFont="1" applyFill="1" applyBorder="1" applyAlignment="1">
      <alignment horizontal="justify" vertical="center"/>
    </xf>
    <xf numFmtId="0" fontId="18" fillId="7" borderId="0" xfId="0" applyFont="1" applyFill="1" applyBorder="1"/>
    <xf numFmtId="0" fontId="15" fillId="7" borderId="7" xfId="0" applyFont="1" applyFill="1" applyBorder="1" applyAlignment="1">
      <alignment horizontal="justify" vertical="center"/>
    </xf>
    <xf numFmtId="0" fontId="17" fillId="0" borderId="28" xfId="0" applyFont="1" applyBorder="1"/>
    <xf numFmtId="14" fontId="16" fillId="0" borderId="30" xfId="0" applyNumberFormat="1" applyFont="1" applyBorder="1"/>
    <xf numFmtId="0" fontId="16" fillId="0" borderId="0" xfId="0" applyFont="1"/>
    <xf numFmtId="9" fontId="0" fillId="0" borderId="40" xfId="2" applyFont="1" applyBorder="1"/>
    <xf numFmtId="0" fontId="0" fillId="0" borderId="26" xfId="0" applyBorder="1" applyAlignment="1">
      <alignment horizontal="center"/>
    </xf>
    <xf numFmtId="9" fontId="0" fillId="7" borderId="35" xfId="0" applyNumberFormat="1" applyFill="1" applyBorder="1"/>
    <xf numFmtId="9" fontId="0" fillId="7" borderId="0" xfId="0" applyNumberFormat="1" applyFill="1" applyBorder="1"/>
    <xf numFmtId="0" fontId="21" fillId="0" borderId="0" xfId="0" applyFont="1" applyAlignment="1">
      <alignment horizontal="center" vertical="center" wrapText="1"/>
    </xf>
    <xf numFmtId="0" fontId="21" fillId="7" borderId="0" xfId="0" applyFont="1" applyFill="1" applyAlignment="1">
      <alignment horizontal="center" vertical="center"/>
    </xf>
    <xf numFmtId="0" fontId="21" fillId="0" borderId="0" xfId="0" applyFont="1" applyAlignment="1">
      <alignment horizontal="center" vertical="center"/>
    </xf>
    <xf numFmtId="0" fontId="21" fillId="7" borderId="0" xfId="0" applyFont="1" applyFill="1" applyAlignment="1">
      <alignment horizontal="left" vertical="top"/>
    </xf>
    <xf numFmtId="0" fontId="21" fillId="7" borderId="0" xfId="0" applyFont="1" applyFill="1" applyBorder="1" applyAlignment="1">
      <alignment horizontal="left" vertical="top"/>
    </xf>
    <xf numFmtId="0" fontId="21" fillId="7" borderId="0" xfId="0" applyFont="1" applyFill="1"/>
    <xf numFmtId="0" fontId="21" fillId="0" borderId="0" xfId="0" applyFont="1"/>
    <xf numFmtId="0" fontId="21" fillId="0" borderId="0" xfId="0" applyFont="1" applyAlignment="1">
      <alignment horizontal="left" vertical="center" wrapText="1"/>
    </xf>
    <xf numFmtId="0" fontId="21" fillId="0" borderId="0" xfId="0" applyFont="1" applyFill="1" applyAlignment="1">
      <alignment horizontal="left" vertical="top"/>
    </xf>
    <xf numFmtId="0" fontId="17" fillId="0" borderId="1" xfId="0" applyFont="1" applyBorder="1" applyAlignment="1">
      <alignment horizontal="center" vertical="center"/>
    </xf>
    <xf numFmtId="0" fontId="28" fillId="7" borderId="13" xfId="0" applyFont="1" applyFill="1" applyBorder="1" applyAlignment="1">
      <alignment horizontal="left" vertical="center" wrapText="1"/>
    </xf>
    <xf numFmtId="0" fontId="28" fillId="7" borderId="0" xfId="0" applyFont="1" applyFill="1" applyBorder="1" applyAlignment="1">
      <alignment horizontal="left" vertical="center" wrapText="1"/>
    </xf>
    <xf numFmtId="0" fontId="28" fillId="7" borderId="14" xfId="0" applyFont="1" applyFill="1" applyBorder="1" applyAlignment="1">
      <alignment horizontal="left" vertical="center" wrapText="1"/>
    </xf>
    <xf numFmtId="0" fontId="28" fillId="7" borderId="2" xfId="0" applyFont="1" applyFill="1" applyBorder="1" applyAlignment="1">
      <alignment horizontal="left" vertical="center" wrapText="1"/>
    </xf>
    <xf numFmtId="0" fontId="28" fillId="7" borderId="37" xfId="0" applyFont="1" applyFill="1" applyBorder="1" applyAlignment="1">
      <alignment horizontal="left" vertical="center" wrapText="1"/>
    </xf>
    <xf numFmtId="0" fontId="28" fillId="7" borderId="38" xfId="0" applyFont="1" applyFill="1" applyBorder="1" applyAlignment="1">
      <alignment horizontal="left" vertical="center" wrapText="1"/>
    </xf>
    <xf numFmtId="0" fontId="18" fillId="7" borderId="37" xfId="0" applyFont="1" applyFill="1" applyBorder="1" applyAlignment="1">
      <alignment horizontal="left" vertical="center"/>
    </xf>
    <xf numFmtId="0" fontId="17" fillId="0" borderId="0" xfId="0" applyFont="1" applyBorder="1"/>
    <xf numFmtId="14" fontId="16" fillId="0" borderId="0" xfId="0" applyNumberFormat="1" applyFont="1" applyBorder="1"/>
    <xf numFmtId="0" fontId="18" fillId="7" borderId="0" xfId="0" applyFont="1" applyFill="1" applyBorder="1" applyAlignment="1">
      <alignment horizontal="left" vertical="center"/>
    </xf>
    <xf numFmtId="0" fontId="17" fillId="10" borderId="1" xfId="0" applyFont="1" applyFill="1" applyBorder="1" applyAlignment="1">
      <alignment horizontal="center" vertical="center" wrapText="1"/>
    </xf>
    <xf numFmtId="0" fontId="16" fillId="0" borderId="1" xfId="0" applyFont="1" applyBorder="1" applyAlignment="1">
      <alignment wrapText="1"/>
    </xf>
    <xf numFmtId="0" fontId="16" fillId="0" borderId="1" xfId="0" applyFont="1" applyBorder="1"/>
    <xf numFmtId="0" fontId="16" fillId="0" borderId="1" xfId="0" applyFont="1" applyBorder="1" applyAlignment="1">
      <alignment vertical="center" wrapText="1"/>
    </xf>
    <xf numFmtId="0" fontId="16" fillId="0" borderId="1" xfId="0" applyFont="1" applyBorder="1" applyAlignment="1">
      <alignment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8" fillId="10" borderId="1" xfId="0" applyFont="1" applyFill="1" applyBorder="1" applyAlignment="1">
      <alignment horizontal="center" wrapText="1"/>
    </xf>
    <xf numFmtId="0" fontId="18" fillId="10" borderId="1" xfId="0" applyFont="1" applyFill="1" applyBorder="1" applyAlignment="1">
      <alignment horizontal="center" vertical="center" wrapText="1"/>
    </xf>
    <xf numFmtId="0" fontId="29" fillId="0" borderId="1" xfId="0" applyFont="1" applyBorder="1" applyAlignment="1">
      <alignment horizontal="left" vertical="center" wrapText="1"/>
    </xf>
    <xf numFmtId="0" fontId="0" fillId="18" borderId="0" xfId="0" applyFill="1"/>
    <xf numFmtId="0" fontId="17" fillId="7" borderId="42" xfId="0" applyFont="1" applyFill="1" applyBorder="1" applyAlignment="1">
      <alignment vertical="center"/>
    </xf>
    <xf numFmtId="0" fontId="0" fillId="7" borderId="0" xfId="0" applyFill="1" applyAlignment="1">
      <alignment wrapText="1"/>
    </xf>
    <xf numFmtId="0" fontId="17" fillId="7" borderId="0" xfId="0" applyFont="1" applyFill="1" applyBorder="1" applyAlignment="1">
      <alignment vertical="center"/>
    </xf>
    <xf numFmtId="0" fontId="0" fillId="7" borderId="0" xfId="0" applyFill="1" applyBorder="1" applyAlignment="1">
      <alignment horizontal="center"/>
    </xf>
    <xf numFmtId="0" fontId="16" fillId="0" borderId="19" xfId="0" applyFont="1" applyBorder="1"/>
    <xf numFmtId="0" fontId="0" fillId="0" borderId="13" xfId="0" applyBorder="1"/>
    <xf numFmtId="0" fontId="0" fillId="0" borderId="0" xfId="0" applyBorder="1"/>
    <xf numFmtId="0" fontId="0" fillId="0" borderId="14" xfId="0" applyBorder="1"/>
    <xf numFmtId="0" fontId="17" fillId="10" borderId="19" xfId="0" applyFont="1" applyFill="1" applyBorder="1" applyAlignment="1">
      <alignment horizontal="center" vertical="center" wrapText="1"/>
    </xf>
    <xf numFmtId="0" fontId="17" fillId="10" borderId="20" xfId="0" applyFont="1" applyFill="1" applyBorder="1" applyAlignment="1">
      <alignment horizontal="center" vertical="center" wrapText="1"/>
    </xf>
    <xf numFmtId="0" fontId="16" fillId="0" borderId="20" xfId="0" applyFont="1" applyBorder="1" applyAlignment="1">
      <alignment horizontal="left" vertical="center"/>
    </xf>
    <xf numFmtId="0" fontId="16" fillId="0" borderId="20" xfId="0" applyFont="1" applyBorder="1" applyAlignment="1">
      <alignment wrapText="1"/>
    </xf>
    <xf numFmtId="0" fontId="16" fillId="0" borderId="5" xfId="0" applyFont="1" applyBorder="1" applyAlignment="1">
      <alignment horizontal="left" vertical="center" wrapText="1"/>
    </xf>
    <xf numFmtId="0" fontId="16" fillId="0" borderId="22" xfId="0" applyFont="1" applyBorder="1" applyAlignment="1">
      <alignment wrapText="1"/>
    </xf>
    <xf numFmtId="0" fontId="33" fillId="20" borderId="1" xfId="0" applyFont="1" applyFill="1" applyBorder="1" applyAlignment="1">
      <alignment horizontal="center"/>
    </xf>
    <xf numFmtId="0" fontId="17" fillId="0" borderId="1" xfId="0" applyFont="1" applyBorder="1" applyAlignment="1">
      <alignment horizontal="left" vertical="center"/>
    </xf>
    <xf numFmtId="0" fontId="34" fillId="0" borderId="1" xfId="5" quotePrefix="1" applyFont="1" applyBorder="1" applyAlignment="1">
      <alignment horizontal="center" vertical="center" wrapText="1"/>
    </xf>
    <xf numFmtId="0" fontId="17" fillId="0" borderId="1" xfId="0" applyFont="1" applyBorder="1" applyAlignment="1">
      <alignment horizontal="left" vertical="center" wrapText="1"/>
    </xf>
    <xf numFmtId="0" fontId="34" fillId="0" borderId="1" xfId="5" applyFont="1" applyBorder="1" applyAlignment="1">
      <alignment horizontal="center" vertical="center"/>
    </xf>
    <xf numFmtId="0" fontId="34" fillId="0" borderId="1" xfId="5" quotePrefix="1" applyFont="1" applyBorder="1" applyAlignment="1">
      <alignment horizontal="center" vertical="center"/>
    </xf>
    <xf numFmtId="0" fontId="17" fillId="0" borderId="1" xfId="0" applyFont="1" applyBorder="1" applyAlignment="1">
      <alignment vertical="center" wrapText="1"/>
    </xf>
    <xf numFmtId="0" fontId="34" fillId="0" borderId="1" xfId="5" quotePrefix="1" applyFont="1" applyBorder="1"/>
    <xf numFmtId="0" fontId="35" fillId="0" borderId="0" xfId="0" applyFont="1"/>
    <xf numFmtId="0" fontId="35" fillId="0" borderId="0" xfId="0" applyFont="1" applyAlignment="1">
      <alignment horizontal="center"/>
    </xf>
    <xf numFmtId="0" fontId="35" fillId="21" borderId="1" xfId="0" applyFont="1" applyFill="1" applyBorder="1" applyAlignment="1">
      <alignment horizontal="center"/>
    </xf>
    <xf numFmtId="0" fontId="35" fillId="17" borderId="1" xfId="0" applyFont="1" applyFill="1" applyBorder="1" applyAlignment="1">
      <alignment horizontal="center"/>
    </xf>
    <xf numFmtId="0" fontId="43"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1" xfId="0" applyFont="1" applyFill="1" applyBorder="1" applyAlignment="1">
      <alignment horizontal="center" wrapText="1"/>
    </xf>
    <xf numFmtId="0" fontId="16" fillId="11" borderId="1" xfId="11" applyFont="1" applyFill="1" applyBorder="1" applyAlignment="1">
      <alignment horizontal="center" vertical="center"/>
    </xf>
    <xf numFmtId="0" fontId="16" fillId="11" borderId="1" xfId="11" applyFont="1" applyFill="1" applyBorder="1" applyAlignment="1">
      <alignment horizontal="center" vertical="center" wrapText="1"/>
    </xf>
    <xf numFmtId="0" fontId="16" fillId="7" borderId="0" xfId="0" applyFont="1" applyFill="1"/>
    <xf numFmtId="9" fontId="16" fillId="7" borderId="0" xfId="2" applyFont="1" applyFill="1"/>
    <xf numFmtId="0" fontId="16" fillId="0" borderId="13" xfId="0" applyFont="1" applyFill="1" applyBorder="1"/>
    <xf numFmtId="0" fontId="16" fillId="0" borderId="0" xfId="0" applyFont="1" applyFill="1" applyBorder="1"/>
    <xf numFmtId="0" fontId="16" fillId="0" borderId="14" xfId="0" applyFont="1" applyFill="1" applyBorder="1"/>
    <xf numFmtId="0" fontId="41" fillId="0" borderId="19"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16" fillId="11" borderId="19" xfId="11" applyFont="1" applyFill="1" applyBorder="1" applyAlignment="1">
      <alignment horizontal="center" vertical="center"/>
    </xf>
    <xf numFmtId="0" fontId="16" fillId="11" borderId="20" xfId="11" applyFont="1" applyFill="1" applyBorder="1" applyAlignment="1">
      <alignment horizontal="center" vertical="center" wrapText="1"/>
    </xf>
    <xf numFmtId="0" fontId="43" fillId="0" borderId="20" xfId="0" applyFont="1" applyFill="1" applyBorder="1" applyAlignment="1">
      <alignment horizontal="center" vertical="center" wrapText="1"/>
    </xf>
    <xf numFmtId="0" fontId="42" fillId="0" borderId="5" xfId="12" applyFont="1" applyFill="1" applyBorder="1"/>
    <xf numFmtId="0" fontId="42" fillId="0" borderId="5" xfId="12" applyFont="1" applyFill="1" applyBorder="1" applyAlignment="1">
      <alignment horizontal="center"/>
    </xf>
    <xf numFmtId="0" fontId="44" fillId="24" borderId="5" xfId="0" applyFont="1" applyFill="1" applyBorder="1" applyAlignment="1">
      <alignment horizontal="center" vertical="center" wrapText="1"/>
    </xf>
    <xf numFmtId="0" fontId="35" fillId="0" borderId="1" xfId="0" applyFont="1" applyBorder="1"/>
    <xf numFmtId="0" fontId="35" fillId="7" borderId="0" xfId="0" applyFont="1" applyFill="1"/>
    <xf numFmtId="0" fontId="36" fillId="7" borderId="0" xfId="0" applyFont="1" applyFill="1" applyBorder="1" applyAlignment="1">
      <alignment horizontal="center"/>
    </xf>
    <xf numFmtId="0" fontId="35" fillId="7" borderId="0" xfId="0" applyFont="1" applyFill="1" applyBorder="1"/>
    <xf numFmtId="0" fontId="35" fillId="7" borderId="0" xfId="0" applyFont="1" applyFill="1" applyBorder="1" applyAlignment="1">
      <alignment horizontal="center"/>
    </xf>
    <xf numFmtId="0" fontId="36" fillId="7" borderId="0" xfId="0" applyFont="1" applyFill="1" applyBorder="1"/>
    <xf numFmtId="0" fontId="46" fillId="11" borderId="1" xfId="0" applyFont="1" applyFill="1" applyBorder="1" applyAlignment="1">
      <alignment horizontal="center"/>
    </xf>
    <xf numFmtId="0" fontId="47" fillId="0" borderId="1" xfId="0" applyFont="1" applyBorder="1" applyAlignment="1">
      <alignment horizontal="center"/>
    </xf>
    <xf numFmtId="0" fontId="35" fillId="0" borderId="52" xfId="0" applyFont="1" applyBorder="1"/>
    <xf numFmtId="0" fontId="47" fillId="0" borderId="1" xfId="0" applyFont="1" applyBorder="1"/>
    <xf numFmtId="0" fontId="46" fillId="11" borderId="1" xfId="0" applyFont="1" applyFill="1" applyBorder="1"/>
    <xf numFmtId="0" fontId="46" fillId="0" borderId="0" xfId="0" applyFont="1"/>
    <xf numFmtId="0" fontId="35" fillId="0" borderId="0" xfId="0" applyFont="1" applyFill="1" applyBorder="1"/>
    <xf numFmtId="0" fontId="35" fillId="0" borderId="0" xfId="0" applyFont="1" applyFill="1" applyBorder="1" applyAlignment="1">
      <alignment horizontal="center"/>
    </xf>
    <xf numFmtId="0" fontId="35" fillId="0" borderId="0" xfId="0" applyFont="1" applyBorder="1"/>
    <xf numFmtId="0" fontId="13" fillId="7" borderId="0" xfId="5" applyFill="1"/>
    <xf numFmtId="0" fontId="16" fillId="0" borderId="1" xfId="0" applyFont="1" applyFill="1" applyBorder="1" applyAlignment="1">
      <alignment horizontal="center" vertical="center"/>
    </xf>
    <xf numFmtId="0" fontId="17" fillId="0" borderId="1" xfId="0" applyFont="1" applyFill="1" applyBorder="1" applyAlignment="1">
      <alignment vertical="center" wrapText="1"/>
    </xf>
    <xf numFmtId="0" fontId="35" fillId="0" borderId="53" xfId="0" applyFont="1" applyBorder="1" applyAlignment="1">
      <alignment horizontal="center"/>
    </xf>
    <xf numFmtId="0" fontId="17" fillId="7" borderId="0" xfId="0" applyFont="1" applyFill="1" applyBorder="1" applyAlignment="1">
      <alignment vertical="center" wrapText="1"/>
    </xf>
    <xf numFmtId="0" fontId="46" fillId="0" borderId="1" xfId="0" applyFont="1" applyBorder="1" applyAlignment="1">
      <alignment horizontal="center" vertical="center"/>
    </xf>
    <xf numFmtId="0" fontId="46" fillId="0" borderId="1" xfId="0" applyFont="1" applyBorder="1" applyAlignment="1">
      <alignment horizontal="center" vertical="center" wrapText="1"/>
    </xf>
    <xf numFmtId="0" fontId="46" fillId="22" borderId="1" xfId="0" applyFont="1" applyFill="1" applyBorder="1" applyAlignment="1">
      <alignment horizontal="center" vertical="center" wrapText="1"/>
    </xf>
    <xf numFmtId="0" fontId="46" fillId="17" borderId="1" xfId="0" applyFont="1" applyFill="1" applyBorder="1" applyAlignment="1">
      <alignment horizontal="center" vertical="center" wrapText="1"/>
    </xf>
    <xf numFmtId="0" fontId="47" fillId="0" borderId="0" xfId="0" applyFont="1"/>
    <xf numFmtId="0" fontId="16" fillId="20" borderId="1" xfId="0" applyFont="1" applyFill="1" applyBorder="1" applyAlignment="1">
      <alignment horizontal="center"/>
    </xf>
    <xf numFmtId="9" fontId="33" fillId="20" borderId="1" xfId="0" applyNumberFormat="1" applyFont="1" applyFill="1" applyBorder="1" applyAlignment="1">
      <alignment horizontal="center" wrapText="1"/>
    </xf>
    <xf numFmtId="9" fontId="33" fillId="23" borderId="1" xfId="0" applyNumberFormat="1" applyFont="1" applyFill="1" applyBorder="1" applyAlignment="1">
      <alignment horizontal="center" wrapText="1"/>
    </xf>
    <xf numFmtId="10" fontId="33" fillId="20" borderId="1" xfId="0" applyNumberFormat="1" applyFont="1" applyFill="1" applyBorder="1" applyAlignment="1">
      <alignment horizontal="center" vertical="center" wrapText="1"/>
    </xf>
    <xf numFmtId="0" fontId="16" fillId="20" borderId="1" xfId="0" applyFont="1" applyFill="1" applyBorder="1" applyAlignment="1">
      <alignment horizontal="center" vertical="center" wrapText="1"/>
    </xf>
    <xf numFmtId="0" fontId="16" fillId="20" borderId="1" xfId="0" applyFont="1" applyFill="1" applyBorder="1" applyAlignment="1">
      <alignment horizontal="center" wrapText="1"/>
    </xf>
    <xf numFmtId="0" fontId="47" fillId="22" borderId="1" xfId="0" applyFont="1" applyFill="1" applyBorder="1" applyAlignment="1">
      <alignment horizontal="center"/>
    </xf>
    <xf numFmtId="168" fontId="47" fillId="0" borderId="1" xfId="0" applyNumberFormat="1" applyFont="1" applyBorder="1" applyAlignment="1">
      <alignment horizontal="center"/>
    </xf>
    <xf numFmtId="168" fontId="47" fillId="0" borderId="1" xfId="0" applyNumberFormat="1" applyFont="1" applyBorder="1" applyAlignment="1">
      <alignment horizontal="center" wrapText="1"/>
    </xf>
    <xf numFmtId="1" fontId="47" fillId="17" borderId="1" xfId="0" applyNumberFormat="1" applyFont="1" applyFill="1" applyBorder="1" applyAlignment="1">
      <alignment horizontal="center" wrapText="1"/>
    </xf>
    <xf numFmtId="1" fontId="47" fillId="0" borderId="1" xfId="0" applyNumberFormat="1" applyFont="1" applyBorder="1" applyAlignment="1">
      <alignment horizontal="center" wrapText="1"/>
    </xf>
    <xf numFmtId="0" fontId="47" fillId="0" borderId="44" xfId="0" applyFont="1" applyBorder="1" applyAlignment="1"/>
    <xf numFmtId="0" fontId="47" fillId="0" borderId="45" xfId="0" applyFont="1" applyBorder="1" applyAlignment="1"/>
    <xf numFmtId="0" fontId="46" fillId="0" borderId="12" xfId="0" applyFont="1" applyBorder="1" applyAlignment="1"/>
    <xf numFmtId="1" fontId="46" fillId="0" borderId="1" xfId="0" applyNumberFormat="1" applyFont="1" applyBorder="1" applyAlignment="1">
      <alignment horizontal="center"/>
    </xf>
    <xf numFmtId="0" fontId="47" fillId="7" borderId="0" xfId="0" applyFont="1" applyFill="1"/>
    <xf numFmtId="0" fontId="47" fillId="7" borderId="0" xfId="0" applyFont="1" applyFill="1" applyBorder="1"/>
    <xf numFmtId="1" fontId="35" fillId="0" borderId="1" xfId="0" applyNumberFormat="1" applyFont="1" applyBorder="1"/>
    <xf numFmtId="0" fontId="46" fillId="11" borderId="1" xfId="0" applyFont="1" applyFill="1" applyBorder="1" applyAlignment="1">
      <alignment wrapText="1"/>
    </xf>
    <xf numFmtId="0" fontId="0" fillId="7" borderId="0" xfId="0" applyFill="1" applyAlignment="1"/>
    <xf numFmtId="0" fontId="17" fillId="26" borderId="34" xfId="0" applyFont="1" applyFill="1" applyBorder="1" applyAlignment="1"/>
    <xf numFmtId="0" fontId="17" fillId="26" borderId="35" xfId="0" applyFont="1" applyFill="1" applyBorder="1" applyAlignment="1"/>
    <xf numFmtId="0" fontId="17" fillId="26" borderId="36" xfId="0" applyFont="1" applyFill="1" applyBorder="1" applyAlignment="1"/>
    <xf numFmtId="0" fontId="17" fillId="26" borderId="7" xfId="0" applyFont="1" applyFill="1" applyBorder="1" applyAlignment="1"/>
    <xf numFmtId="0" fontId="17" fillId="26" borderId="4" xfId="0" applyFont="1" applyFill="1" applyBorder="1" applyAlignment="1"/>
    <xf numFmtId="0" fontId="17" fillId="26" borderId="8" xfId="0" applyFont="1" applyFill="1" applyBorder="1" applyAlignment="1"/>
    <xf numFmtId="0" fontId="17" fillId="0" borderId="13" xfId="0" applyFont="1" applyFill="1" applyBorder="1"/>
    <xf numFmtId="0" fontId="16" fillId="7" borderId="1" xfId="0" applyFont="1" applyFill="1" applyBorder="1" applyAlignment="1">
      <alignment wrapText="1"/>
    </xf>
    <xf numFmtId="0" fontId="43" fillId="0" borderId="44" xfId="0" applyFont="1" applyFill="1" applyBorder="1" applyAlignment="1">
      <alignment horizontal="center" vertical="center" wrapText="1"/>
    </xf>
    <xf numFmtId="0" fontId="16" fillId="27" borderId="1" xfId="0" applyFont="1" applyFill="1" applyBorder="1" applyAlignment="1">
      <alignment wrapText="1"/>
    </xf>
    <xf numFmtId="0" fontId="17" fillId="7" borderId="0" xfId="0" applyFont="1" applyFill="1"/>
    <xf numFmtId="0" fontId="16" fillId="0" borderId="0" xfId="0" pivotButton="1" applyFont="1"/>
    <xf numFmtId="0" fontId="16" fillId="0" borderId="0" xfId="0" applyFont="1" applyAlignment="1">
      <alignment horizontal="left"/>
    </xf>
    <xf numFmtId="0" fontId="16" fillId="0" borderId="0" xfId="0" applyNumberFormat="1" applyFont="1"/>
    <xf numFmtId="0" fontId="10" fillId="0" borderId="20" xfId="0" applyFont="1" applyBorder="1" applyAlignment="1">
      <alignment horizontal="center"/>
    </xf>
    <xf numFmtId="0" fontId="46" fillId="11" borderId="19" xfId="0" applyFont="1" applyFill="1" applyBorder="1" applyAlignment="1">
      <alignment wrapText="1"/>
    </xf>
    <xf numFmtId="0" fontId="35" fillId="7" borderId="20" xfId="0" applyFont="1" applyFill="1" applyBorder="1"/>
    <xf numFmtId="1" fontId="35" fillId="7" borderId="20" xfId="0" applyNumberFormat="1" applyFont="1" applyFill="1" applyBorder="1"/>
    <xf numFmtId="0" fontId="46" fillId="11" borderId="21" xfId="0" applyFont="1" applyFill="1" applyBorder="1" applyAlignment="1">
      <alignment wrapText="1"/>
    </xf>
    <xf numFmtId="0" fontId="49" fillId="14" borderId="8" xfId="13" applyFont="1" applyBorder="1" applyAlignment="1">
      <alignment horizontal="center"/>
    </xf>
    <xf numFmtId="0" fontId="50" fillId="0" borderId="13" xfId="0" applyFont="1" applyFill="1" applyBorder="1"/>
    <xf numFmtId="0" fontId="51" fillId="0" borderId="13" xfId="5" applyFont="1" applyFill="1" applyBorder="1"/>
    <xf numFmtId="0" fontId="16" fillId="7" borderId="0" xfId="0" applyFont="1" applyFill="1" applyBorder="1" applyAlignment="1">
      <alignment horizontal="left" vertical="center" wrapText="1"/>
    </xf>
    <xf numFmtId="0" fontId="17" fillId="26" borderId="7" xfId="0" applyFont="1" applyFill="1" applyBorder="1" applyAlignment="1">
      <alignment horizontal="center" vertical="center"/>
    </xf>
    <xf numFmtId="0" fontId="16" fillId="7" borderId="0" xfId="0" applyFont="1" applyFill="1" applyAlignment="1">
      <alignment wrapText="1"/>
    </xf>
    <xf numFmtId="0" fontId="13" fillId="18" borderId="0" xfId="5" applyFill="1" applyAlignment="1">
      <alignment vertical="center"/>
    </xf>
    <xf numFmtId="0" fontId="18" fillId="10" borderId="9" xfId="0" applyFont="1" applyFill="1" applyBorder="1" applyAlignment="1">
      <alignment horizontal="center" vertical="center" wrapText="1"/>
    </xf>
    <xf numFmtId="0" fontId="16" fillId="0" borderId="9" xfId="0" applyFont="1" applyBorder="1" applyAlignment="1">
      <alignment vertical="center" wrapText="1"/>
    </xf>
    <xf numFmtId="0" fontId="0" fillId="18" borderId="0" xfId="0" applyFill="1" applyBorder="1" applyAlignment="1"/>
    <xf numFmtId="0" fontId="0" fillId="18" borderId="0" xfId="0" applyFill="1" applyBorder="1"/>
    <xf numFmtId="0" fontId="12" fillId="18" borderId="0" xfId="0" applyFont="1" applyFill="1" applyBorder="1" applyAlignment="1">
      <alignment vertical="center"/>
    </xf>
    <xf numFmtId="0" fontId="13" fillId="18" borderId="0" xfId="5" applyFill="1" applyBorder="1" applyAlignment="1">
      <alignment vertical="center"/>
    </xf>
    <xf numFmtId="0" fontId="29" fillId="0" borderId="0" xfId="14" applyFont="1" applyAlignment="1"/>
    <xf numFmtId="0" fontId="53" fillId="29" borderId="75" xfId="14" applyFont="1" applyFill="1" applyBorder="1" applyAlignment="1">
      <alignment horizontal="center"/>
    </xf>
    <xf numFmtId="9" fontId="29" fillId="0" borderId="86" xfId="14" applyNumberFormat="1" applyFont="1" applyBorder="1"/>
    <xf numFmtId="0" fontId="29" fillId="0" borderId="87" xfId="14" applyFont="1" applyBorder="1"/>
    <xf numFmtId="0" fontId="29" fillId="0" borderId="0" xfId="14" applyFont="1" applyAlignment="1"/>
    <xf numFmtId="0" fontId="29" fillId="0" borderId="0" xfId="14" applyFont="1" applyAlignment="1"/>
    <xf numFmtId="0" fontId="10" fillId="0" borderId="17" xfId="0" applyFont="1" applyBorder="1" applyAlignment="1">
      <alignment vertical="center"/>
    </xf>
    <xf numFmtId="0" fontId="10" fillId="0" borderId="1" xfId="0" applyFont="1" applyBorder="1" applyAlignment="1">
      <alignment vertical="center"/>
    </xf>
    <xf numFmtId="0" fontId="10" fillId="0" borderId="5" xfId="0" applyFont="1" applyBorder="1" applyAlignment="1">
      <alignment vertical="center"/>
    </xf>
    <xf numFmtId="0" fontId="0" fillId="0" borderId="0" xfId="0" applyAlignment="1">
      <alignment vertical="center" wrapText="1"/>
    </xf>
    <xf numFmtId="0" fontId="0" fillId="0" borderId="26" xfId="0" applyBorder="1" applyAlignment="1">
      <alignment wrapText="1"/>
    </xf>
    <xf numFmtId="0" fontId="0" fillId="0" borderId="51" xfId="0" applyBorder="1"/>
    <xf numFmtId="0" fontId="0" fillId="0" borderId="20" xfId="0" applyBorder="1"/>
    <xf numFmtId="0" fontId="56" fillId="35" borderId="20" xfId="14" applyFont="1" applyFill="1" applyBorder="1" applyAlignment="1">
      <alignment horizontal="center"/>
    </xf>
    <xf numFmtId="0" fontId="0" fillId="0" borderId="12" xfId="0" applyBorder="1" applyAlignment="1">
      <alignment wrapText="1"/>
    </xf>
    <xf numFmtId="0" fontId="0" fillId="0" borderId="1" xfId="0" applyBorder="1" applyAlignment="1">
      <alignment wrapText="1"/>
    </xf>
    <xf numFmtId="0" fontId="43" fillId="30" borderId="58" xfId="14" applyFont="1" applyFill="1" applyBorder="1"/>
    <xf numFmtId="0" fontId="29" fillId="0" borderId="0" xfId="14" applyFont="1" applyAlignment="1">
      <alignment wrapText="1"/>
    </xf>
    <xf numFmtId="0" fontId="0" fillId="0" borderId="23"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43" xfId="0" applyBorder="1" applyAlignment="1">
      <alignment wrapText="1"/>
    </xf>
    <xf numFmtId="0" fontId="10" fillId="0" borderId="1" xfId="0" applyFont="1" applyBorder="1"/>
    <xf numFmtId="0" fontId="10" fillId="0" borderId="1" xfId="0" applyFont="1" applyBorder="1" applyAlignment="1">
      <alignment horizontal="center"/>
    </xf>
    <xf numFmtId="0" fontId="0" fillId="0" borderId="1" xfId="0" applyFont="1" applyBorder="1"/>
    <xf numFmtId="9" fontId="0" fillId="0" borderId="1" xfId="0" applyNumberFormat="1" applyBorder="1" applyAlignment="1">
      <alignment horizontal="right"/>
    </xf>
    <xf numFmtId="0" fontId="0" fillId="0" borderId="1" xfId="0" applyBorder="1" applyAlignment="1">
      <alignment horizontal="right"/>
    </xf>
    <xf numFmtId="0" fontId="0" fillId="37" borderId="1" xfId="0" applyFill="1" applyBorder="1" applyAlignment="1">
      <alignment horizontal="right"/>
    </xf>
    <xf numFmtId="14" fontId="0" fillId="0" borderId="1" xfId="0" applyNumberFormat="1" applyBorder="1"/>
    <xf numFmtId="0" fontId="13" fillId="0" borderId="1" xfId="5" applyBorder="1" applyAlignment="1">
      <alignment horizontal="left" vertical="center"/>
    </xf>
    <xf numFmtId="0" fontId="13" fillId="0" borderId="1" xfId="5" applyBorder="1" applyAlignment="1">
      <alignment horizontal="left" vertical="center" wrapText="1"/>
    </xf>
    <xf numFmtId="0" fontId="16" fillId="0" borderId="5" xfId="0" applyFont="1" applyBorder="1" applyAlignment="1">
      <alignment horizontal="center" vertical="center" wrapText="1"/>
    </xf>
    <xf numFmtId="0" fontId="43" fillId="0" borderId="19" xfId="0" applyFont="1" applyFill="1" applyBorder="1" applyAlignment="1">
      <alignment horizontal="center" vertical="center"/>
    </xf>
    <xf numFmtId="0" fontId="43" fillId="0" borderId="1" xfId="0" applyFont="1" applyFill="1" applyBorder="1" applyAlignment="1">
      <alignment horizontal="left" vertical="center"/>
    </xf>
    <xf numFmtId="0" fontId="43" fillId="0" borderId="1" xfId="0" applyFont="1" applyFill="1" applyBorder="1" applyAlignment="1">
      <alignment vertical="center" wrapText="1"/>
    </xf>
    <xf numFmtId="0" fontId="43" fillId="0" borderId="1" xfId="0" applyFont="1" applyFill="1" applyBorder="1" applyAlignment="1">
      <alignment horizontal="center" vertical="center"/>
    </xf>
    <xf numFmtId="0" fontId="43" fillId="0" borderId="92" xfId="0" applyFont="1" applyFill="1" applyBorder="1"/>
    <xf numFmtId="0" fontId="43" fillId="0" borderId="9" xfId="0" applyFont="1" applyFill="1" applyBorder="1"/>
    <xf numFmtId="0" fontId="43" fillId="0" borderId="9" xfId="0" applyFont="1" applyFill="1" applyBorder="1" applyAlignment="1">
      <alignment horizontal="center"/>
    </xf>
    <xf numFmtId="0" fontId="43" fillId="0" borderId="9" xfId="0" applyNumberFormat="1" applyFont="1" applyFill="1" applyBorder="1" applyAlignment="1">
      <alignment horizontal="center"/>
    </xf>
    <xf numFmtId="0" fontId="43" fillId="0" borderId="9" xfId="0" applyFont="1" applyFill="1" applyBorder="1" applyAlignment="1">
      <alignment horizontal="center" vertical="center" wrapText="1"/>
    </xf>
    <xf numFmtId="0" fontId="43" fillId="0" borderId="90" xfId="0" applyFont="1" applyFill="1" applyBorder="1" applyAlignment="1">
      <alignment horizontal="center" vertical="center" wrapText="1"/>
    </xf>
    <xf numFmtId="0" fontId="29" fillId="0" borderId="0" xfId="14" applyFont="1" applyAlignment="1"/>
    <xf numFmtId="9" fontId="29" fillId="0" borderId="86" xfId="14" applyNumberFormat="1" applyFont="1" applyBorder="1" applyAlignment="1">
      <alignment vertical="center"/>
    </xf>
    <xf numFmtId="1" fontId="35" fillId="7" borderId="0" xfId="0" applyNumberFormat="1" applyFont="1" applyFill="1"/>
    <xf numFmtId="0" fontId="21" fillId="0" borderId="0" xfId="0" applyNumberFormat="1" applyFont="1" applyFill="1" applyBorder="1" applyAlignment="1">
      <alignment horizontal="center" vertical="top" wrapText="1"/>
    </xf>
    <xf numFmtId="0" fontId="21" fillId="0" borderId="0" xfId="0" applyFont="1" applyAlignment="1">
      <alignment horizontal="left" vertical="top"/>
    </xf>
    <xf numFmtId="14" fontId="16" fillId="0" borderId="1" xfId="0" applyNumberFormat="1" applyFont="1" applyBorder="1" applyAlignment="1">
      <alignment horizontal="center" vertical="center"/>
    </xf>
    <xf numFmtId="0" fontId="0" fillId="0" borderId="0" xfId="0" applyBorder="1" applyAlignment="1">
      <alignment horizontal="center"/>
    </xf>
    <xf numFmtId="0" fontId="16" fillId="7" borderId="0" xfId="0" applyFont="1" applyFill="1" applyAlignment="1">
      <alignment horizontal="center" wrapText="1"/>
    </xf>
    <xf numFmtId="0" fontId="16" fillId="7" borderId="0" xfId="0" applyFont="1" applyFill="1" applyAlignment="1">
      <alignment horizontal="center"/>
    </xf>
    <xf numFmtId="0" fontId="0" fillId="7" borderId="0" xfId="0" applyFill="1" applyAlignment="1">
      <alignment horizontal="center"/>
    </xf>
    <xf numFmtId="0" fontId="16" fillId="0" borderId="1" xfId="0" applyFont="1" applyBorder="1" applyAlignment="1">
      <alignment horizontal="center" vertical="center" wrapText="1"/>
    </xf>
    <xf numFmtId="0" fontId="13" fillId="0" borderId="1" xfId="5" applyBorder="1" applyAlignment="1">
      <alignment vertical="center" wrapText="1"/>
    </xf>
    <xf numFmtId="14" fontId="16" fillId="0" borderId="1" xfId="0" applyNumberFormat="1" applyFont="1" applyBorder="1" applyAlignment="1">
      <alignment horizontal="center" vertical="center" wrapText="1"/>
    </xf>
    <xf numFmtId="0" fontId="13" fillId="0" borderId="5" xfId="5" applyBorder="1" applyAlignment="1">
      <alignment wrapText="1"/>
    </xf>
    <xf numFmtId="14" fontId="16" fillId="0" borderId="5" xfId="0" applyNumberFormat="1" applyFont="1" applyBorder="1" applyAlignment="1">
      <alignment horizontal="center" vertical="center" wrapText="1"/>
    </xf>
    <xf numFmtId="9" fontId="29" fillId="0" borderId="28" xfId="14" applyNumberFormat="1" applyFont="1" applyBorder="1" applyAlignment="1">
      <alignment vertical="center"/>
    </xf>
    <xf numFmtId="9" fontId="29" fillId="0" borderId="29" xfId="14" applyNumberFormat="1" applyFont="1" applyBorder="1" applyAlignment="1">
      <alignment vertical="center"/>
    </xf>
    <xf numFmtId="9" fontId="29" fillId="0" borderId="30" xfId="14" applyNumberFormat="1" applyFont="1" applyBorder="1" applyAlignment="1">
      <alignment vertical="center"/>
    </xf>
    <xf numFmtId="0" fontId="56" fillId="35" borderId="95" xfId="14" applyFont="1" applyFill="1" applyBorder="1" applyAlignment="1">
      <alignment horizontal="center" vertical="center"/>
    </xf>
    <xf numFmtId="9" fontId="29" fillId="0" borderId="96" xfId="14" applyNumberFormat="1" applyFont="1" applyBorder="1" applyAlignment="1">
      <alignment vertical="center"/>
    </xf>
    <xf numFmtId="14" fontId="29" fillId="0" borderId="3" xfId="14" applyNumberFormat="1" applyFont="1" applyBorder="1" applyAlignment="1">
      <alignment vertical="center"/>
    </xf>
    <xf numFmtId="1" fontId="54" fillId="35" borderId="3" xfId="14" applyNumberFormat="1" applyFont="1" applyFill="1" applyBorder="1" applyAlignment="1">
      <alignment horizontal="center" vertical="center"/>
    </xf>
    <xf numFmtId="9" fontId="29" fillId="0" borderId="97" xfId="14" applyNumberFormat="1" applyFont="1" applyBorder="1" applyAlignment="1">
      <alignment vertical="center"/>
    </xf>
    <xf numFmtId="0" fontId="54" fillId="31" borderId="79" xfId="14" applyFont="1" applyFill="1" applyBorder="1" applyAlignment="1">
      <alignment horizontal="center" vertical="center"/>
    </xf>
    <xf numFmtId="0" fontId="54" fillId="32" borderId="79" xfId="14" applyFont="1" applyFill="1" applyBorder="1" applyAlignment="1">
      <alignment horizontal="center" vertical="center"/>
    </xf>
    <xf numFmtId="0" fontId="54" fillId="33" borderId="79" xfId="14" applyFont="1" applyFill="1" applyBorder="1" applyAlignment="1">
      <alignment horizontal="center" vertical="center"/>
    </xf>
    <xf numFmtId="0" fontId="54" fillId="34" borderId="0" xfId="14" applyFont="1" applyFill="1" applyBorder="1" applyAlignment="1">
      <alignment horizontal="center" vertical="center"/>
    </xf>
    <xf numFmtId="0" fontId="55" fillId="29" borderId="98" xfId="14" applyFont="1" applyFill="1" applyBorder="1" applyAlignment="1">
      <alignment horizontal="center" vertical="center"/>
    </xf>
    <xf numFmtId="0" fontId="29" fillId="0" borderId="95" xfId="14" applyFont="1" applyBorder="1" applyAlignment="1">
      <alignment horizontal="center" vertical="center"/>
    </xf>
    <xf numFmtId="0" fontId="29" fillId="0" borderId="99" xfId="14" applyFont="1" applyBorder="1" applyAlignment="1">
      <alignment horizontal="center" vertical="center"/>
    </xf>
    <xf numFmtId="0" fontId="56" fillId="35" borderId="100" xfId="14" applyFont="1" applyFill="1" applyBorder="1" applyAlignment="1">
      <alignment horizontal="center" vertical="center"/>
    </xf>
    <xf numFmtId="0" fontId="29" fillId="0" borderId="99" xfId="14" applyFont="1" applyBorder="1" applyAlignment="1">
      <alignment vertical="center"/>
    </xf>
    <xf numFmtId="9" fontId="29" fillId="0" borderId="101" xfId="14" applyNumberFormat="1" applyFont="1" applyBorder="1" applyAlignment="1">
      <alignment vertical="center"/>
    </xf>
    <xf numFmtId="0" fontId="29" fillId="0" borderId="102" xfId="14" applyFont="1" applyBorder="1" applyAlignment="1">
      <alignment vertical="center"/>
    </xf>
    <xf numFmtId="9" fontId="29" fillId="0" borderId="100" xfId="14" applyNumberFormat="1" applyFont="1" applyBorder="1" applyAlignment="1">
      <alignment vertical="center"/>
    </xf>
    <xf numFmtId="9" fontId="54" fillId="35" borderId="38" xfId="14" applyNumberFormat="1" applyFont="1" applyFill="1" applyBorder="1" applyAlignment="1">
      <alignment horizontal="center" vertical="center"/>
    </xf>
    <xf numFmtId="0" fontId="29" fillId="0" borderId="3" xfId="14" applyFont="1" applyBorder="1" applyAlignment="1">
      <alignment vertical="center"/>
    </xf>
    <xf numFmtId="0" fontId="29" fillId="0" borderId="84" xfId="14" applyFont="1" applyBorder="1"/>
    <xf numFmtId="0" fontId="29" fillId="0" borderId="104" xfId="14" applyFont="1" applyBorder="1"/>
    <xf numFmtId="0" fontId="29" fillId="0" borderId="103" xfId="14" applyFont="1" applyBorder="1"/>
    <xf numFmtId="0" fontId="29" fillId="0" borderId="105" xfId="14" applyFont="1" applyBorder="1"/>
    <xf numFmtId="0" fontId="53" fillId="0" borderId="85" xfId="14" applyFont="1" applyBorder="1"/>
    <xf numFmtId="9" fontId="0" fillId="0" borderId="91" xfId="2" applyFont="1" applyBorder="1"/>
    <xf numFmtId="9" fontId="0" fillId="0" borderId="44" xfId="2" applyFont="1" applyBorder="1"/>
    <xf numFmtId="9" fontId="0" fillId="0" borderId="94" xfId="2" applyFont="1" applyBorder="1"/>
    <xf numFmtId="0" fontId="6" fillId="2" borderId="88" xfId="3" applyFont="1" applyFill="1" applyBorder="1" applyAlignment="1">
      <alignment horizontal="center" vertical="center"/>
    </xf>
    <xf numFmtId="0" fontId="6" fillId="3" borderId="88" xfId="3" applyFont="1" applyFill="1" applyBorder="1" applyAlignment="1">
      <alignment horizontal="center" vertical="center"/>
    </xf>
    <xf numFmtId="0" fontId="6" fillId="4" borderId="88" xfId="3" applyFont="1" applyFill="1" applyBorder="1" applyAlignment="1">
      <alignment horizontal="center" vertical="center"/>
    </xf>
    <xf numFmtId="0" fontId="6" fillId="5" borderId="0" xfId="3" applyFont="1" applyFill="1" applyBorder="1" applyAlignment="1">
      <alignment horizontal="center" vertical="center"/>
    </xf>
    <xf numFmtId="0" fontId="7" fillId="9" borderId="34" xfId="3" applyFont="1" applyFill="1" applyBorder="1" applyAlignment="1">
      <alignment horizontal="center" vertical="center"/>
    </xf>
    <xf numFmtId="0" fontId="0" fillId="0" borderId="40" xfId="0" applyBorder="1" applyAlignment="1">
      <alignment horizontal="justify"/>
    </xf>
    <xf numFmtId="0" fontId="8" fillId="6" borderId="18" xfId="3" applyFont="1" applyFill="1" applyBorder="1" applyAlignment="1">
      <alignment horizontal="center"/>
    </xf>
    <xf numFmtId="0" fontId="8" fillId="6" borderId="20" xfId="3" applyFont="1" applyFill="1" applyBorder="1" applyAlignment="1">
      <alignment horizontal="center"/>
    </xf>
    <xf numFmtId="0" fontId="8" fillId="6" borderId="22" xfId="3" applyFont="1" applyFill="1" applyBorder="1" applyAlignment="1">
      <alignment horizontal="center"/>
    </xf>
    <xf numFmtId="0" fontId="8" fillId="6" borderId="16" xfId="3" applyFont="1" applyFill="1" applyBorder="1" applyAlignment="1">
      <alignment horizontal="center"/>
    </xf>
    <xf numFmtId="0" fontId="8" fillId="6" borderId="19" xfId="3" applyFont="1" applyFill="1" applyBorder="1" applyAlignment="1">
      <alignment horizontal="center"/>
    </xf>
    <xf numFmtId="0" fontId="8" fillId="6" borderId="21" xfId="3" applyFont="1" applyFill="1" applyBorder="1" applyAlignment="1">
      <alignment horizontal="center"/>
    </xf>
    <xf numFmtId="9" fontId="0" fillId="0" borderId="32" xfId="2" applyFont="1" applyBorder="1"/>
    <xf numFmtId="9" fontId="0" fillId="0" borderId="45" xfId="2" applyFont="1" applyBorder="1"/>
    <xf numFmtId="9" fontId="0" fillId="0" borderId="107" xfId="2" applyFont="1" applyBorder="1"/>
    <xf numFmtId="0" fontId="0" fillId="0" borderId="25" xfId="0" applyBorder="1" applyAlignment="1">
      <alignment horizontal="center"/>
    </xf>
    <xf numFmtId="9" fontId="2" fillId="7" borderId="25" xfId="2" applyFont="1" applyFill="1" applyBorder="1" applyAlignment="1">
      <alignment horizontal="center"/>
    </xf>
    <xf numFmtId="9" fontId="2" fillId="7" borderId="26" xfId="2" applyFont="1" applyFill="1" applyBorder="1" applyAlignment="1">
      <alignment horizontal="center"/>
    </xf>
    <xf numFmtId="9" fontId="2" fillId="7" borderId="27" xfId="2" applyFont="1" applyFill="1" applyBorder="1" applyAlignment="1">
      <alignment horizontal="center"/>
    </xf>
    <xf numFmtId="1" fontId="2" fillId="7" borderId="25" xfId="1" applyNumberFormat="1" applyFont="1" applyFill="1" applyBorder="1" applyAlignment="1">
      <alignment horizontal="center"/>
    </xf>
    <xf numFmtId="1" fontId="2" fillId="7" borderId="26" xfId="1" applyNumberFormat="1" applyFont="1" applyFill="1" applyBorder="1" applyAlignment="1">
      <alignment horizontal="center"/>
    </xf>
    <xf numFmtId="1" fontId="2" fillId="7" borderId="27" xfId="1" applyNumberFormat="1" applyFont="1" applyFill="1" applyBorder="1" applyAlignment="1">
      <alignment horizontal="center"/>
    </xf>
    <xf numFmtId="14" fontId="0" fillId="0" borderId="25" xfId="0" applyNumberFormat="1" applyBorder="1"/>
    <xf numFmtId="14" fontId="0" fillId="0" borderId="26" xfId="0" applyNumberFormat="1" applyBorder="1"/>
    <xf numFmtId="14" fontId="0" fillId="0" borderId="27" xfId="0" applyNumberFormat="1" applyBorder="1"/>
    <xf numFmtId="0" fontId="10" fillId="0" borderId="0" xfId="0" applyFont="1" applyAlignment="1">
      <alignment horizontal="center" vertical="center" wrapText="1"/>
    </xf>
    <xf numFmtId="0" fontId="10" fillId="0" borderId="1" xfId="0" applyFont="1" applyBorder="1" applyAlignment="1">
      <alignment horizontal="center" vertical="center"/>
    </xf>
    <xf numFmtId="0" fontId="43" fillId="20" borderId="1" xfId="0" applyFont="1" applyFill="1" applyBorder="1" applyAlignment="1">
      <alignment vertical="center" wrapText="1"/>
    </xf>
    <xf numFmtId="0" fontId="43" fillId="17" borderId="1" xfId="0" applyFont="1" applyFill="1" applyBorder="1" applyAlignment="1">
      <alignment vertical="center" wrapText="1"/>
    </xf>
    <xf numFmtId="0" fontId="43" fillId="39" borderId="1" xfId="0" applyFont="1" applyFill="1" applyBorder="1" applyAlignment="1">
      <alignment vertical="center" wrapText="1"/>
    </xf>
    <xf numFmtId="0" fontId="43" fillId="40" borderId="1" xfId="0" applyFont="1" applyFill="1" applyBorder="1" applyAlignment="1">
      <alignment vertical="center" wrapText="1"/>
    </xf>
    <xf numFmtId="0" fontId="43" fillId="36" borderId="1" xfId="0" applyFont="1" applyFill="1" applyBorder="1" applyAlignment="1">
      <alignment vertical="center" wrapText="1"/>
    </xf>
    <xf numFmtId="0" fontId="43" fillId="41" borderId="1" xfId="0" applyFont="1" applyFill="1" applyBorder="1" applyAlignment="1">
      <alignment vertical="center" wrapText="1"/>
    </xf>
    <xf numFmtId="0" fontId="43" fillId="0" borderId="1" xfId="0" applyFont="1" applyBorder="1" applyAlignment="1">
      <alignment horizontal="center" vertical="center"/>
    </xf>
    <xf numFmtId="0" fontId="10" fillId="20" borderId="1" xfId="0" applyFont="1" applyFill="1" applyBorder="1" applyAlignment="1">
      <alignment horizontal="center"/>
    </xf>
    <xf numFmtId="0" fontId="0" fillId="25" borderId="1" xfId="0" applyFill="1" applyBorder="1" applyAlignment="1">
      <alignment horizontal="center" vertical="center"/>
    </xf>
    <xf numFmtId="9" fontId="0" fillId="25" borderId="1" xfId="0" applyNumberFormat="1" applyFill="1" applyBorder="1" applyAlignment="1">
      <alignment horizontal="center" vertical="center"/>
    </xf>
    <xf numFmtId="0" fontId="0" fillId="25" borderId="1" xfId="0" applyFill="1" applyBorder="1" applyAlignment="1">
      <alignment wrapText="1"/>
    </xf>
    <xf numFmtId="0" fontId="62" fillId="42" borderId="1" xfId="15" applyBorder="1" applyAlignment="1" applyProtection="1">
      <alignment horizontal="center" vertical="center" wrapText="1"/>
    </xf>
    <xf numFmtId="1" fontId="62" fillId="42" borderId="1" xfId="15" applyNumberFormat="1" applyBorder="1" applyAlignment="1" applyProtection="1">
      <alignment horizontal="center" vertical="center" wrapText="1"/>
      <protection locked="0"/>
    </xf>
    <xf numFmtId="0" fontId="64" fillId="0" borderId="1" xfId="0" applyFont="1" applyBorder="1" applyAlignment="1">
      <alignment horizontal="center" vertical="center"/>
    </xf>
    <xf numFmtId="0" fontId="64" fillId="0" borderId="6" xfId="9" applyFont="1" applyBorder="1" applyAlignment="1">
      <alignment horizontal="justify" vertical="center"/>
    </xf>
    <xf numFmtId="0" fontId="64" fillId="0" borderId="6" xfId="0" applyFont="1" applyBorder="1" applyAlignment="1">
      <alignment horizontal="center" vertical="center"/>
    </xf>
    <xf numFmtId="0" fontId="64" fillId="0" borderId="1" xfId="9" applyFont="1" applyBorder="1" applyAlignment="1">
      <alignment horizontal="justify" vertical="center" wrapText="1"/>
    </xf>
    <xf numFmtId="0" fontId="64" fillId="0" borderId="1" xfId="9" applyFont="1" applyBorder="1" applyAlignment="1">
      <alignment horizontal="justify" vertical="center"/>
    </xf>
    <xf numFmtId="0" fontId="65" fillId="7" borderId="1" xfId="9" applyFont="1" applyFill="1" applyBorder="1" applyAlignment="1">
      <alignment horizontal="justify" vertical="center" wrapText="1"/>
    </xf>
    <xf numFmtId="0" fontId="0" fillId="0" borderId="0" xfId="0" applyAlignment="1">
      <alignment vertical="center"/>
    </xf>
    <xf numFmtId="0" fontId="0" fillId="0" borderId="1" xfId="0" applyBorder="1" applyAlignment="1">
      <alignment vertical="center"/>
    </xf>
    <xf numFmtId="0" fontId="0" fillId="0" borderId="6" xfId="0" applyBorder="1" applyAlignment="1">
      <alignment vertical="center"/>
    </xf>
    <xf numFmtId="0" fontId="13" fillId="0" borderId="6" xfId="5" applyBorder="1" applyAlignment="1">
      <alignment vertical="center"/>
    </xf>
    <xf numFmtId="0" fontId="63" fillId="0" borderId="6" xfId="16" applyNumberFormat="1" applyBorder="1" applyAlignment="1" applyProtection="1">
      <alignment horizontal="left" vertical="center"/>
      <protection locked="0"/>
    </xf>
    <xf numFmtId="49" fontId="63" fillId="0" borderId="6" xfId="16" applyBorder="1" applyAlignment="1" applyProtection="1">
      <alignment horizontal="left" vertical="center"/>
      <protection locked="0"/>
    </xf>
    <xf numFmtId="165" fontId="0" fillId="0" borderId="6" xfId="17" applyNumberFormat="1" applyFont="1" applyBorder="1" applyAlignment="1" applyProtection="1">
      <alignment vertical="center"/>
      <protection locked="0"/>
    </xf>
    <xf numFmtId="0" fontId="13" fillId="0" borderId="1" xfId="5" applyBorder="1" applyAlignment="1">
      <alignment vertical="center"/>
    </xf>
    <xf numFmtId="0" fontId="63" fillId="0" borderId="1" xfId="16" applyNumberFormat="1" applyBorder="1" applyAlignment="1" applyProtection="1">
      <alignment horizontal="left" vertical="center"/>
      <protection locked="0"/>
    </xf>
    <xf numFmtId="49" fontId="63" fillId="0" borderId="1" xfId="16" applyBorder="1" applyAlignment="1" applyProtection="1">
      <alignment horizontal="left" vertical="center"/>
      <protection locked="0"/>
    </xf>
    <xf numFmtId="165" fontId="0" fillId="0" borderId="1" xfId="17" applyNumberFormat="1" applyFont="1" applyBorder="1" applyAlignment="1" applyProtection="1">
      <alignment vertical="center"/>
      <protection locked="0"/>
    </xf>
    <xf numFmtId="49" fontId="63" fillId="0" borderId="6" xfId="16" applyBorder="1" applyAlignment="1" applyProtection="1">
      <alignment horizontal="center" vertical="center"/>
      <protection locked="0"/>
    </xf>
    <xf numFmtId="49" fontId="63" fillId="0" borderId="1" xfId="16" applyBorder="1" applyAlignment="1" applyProtection="1">
      <alignment horizontal="center" vertical="center"/>
      <protection locked="0"/>
    </xf>
    <xf numFmtId="0" fontId="60" fillId="0" borderId="1" xfId="0" applyFont="1" applyFill="1" applyBorder="1"/>
    <xf numFmtId="0" fontId="66" fillId="0" borderId="0" xfId="0" applyFont="1"/>
    <xf numFmtId="9" fontId="66" fillId="0" borderId="0" xfId="0" applyNumberFormat="1" applyFont="1"/>
    <xf numFmtId="41" fontId="0" fillId="0" borderId="0" xfId="0" applyNumberFormat="1" applyAlignment="1">
      <alignment vertical="center"/>
    </xf>
    <xf numFmtId="42" fontId="63" fillId="0" borderId="1" xfId="18" applyNumberFormat="1" applyFont="1" applyBorder="1" applyAlignment="1" applyProtection="1">
      <alignment horizontal="left" vertical="center"/>
      <protection locked="0"/>
    </xf>
    <xf numFmtId="0" fontId="10" fillId="0" borderId="0" xfId="0" applyFont="1" applyAlignment="1">
      <alignment horizontal="center" vertical="center"/>
    </xf>
    <xf numFmtId="165" fontId="0" fillId="0" borderId="1" xfId="0" applyNumberFormat="1" applyBorder="1" applyAlignment="1">
      <alignment vertical="center"/>
    </xf>
    <xf numFmtId="0" fontId="10" fillId="0" borderId="0" xfId="0" applyFont="1" applyAlignment="1">
      <alignment vertical="center"/>
    </xf>
    <xf numFmtId="165" fontId="10" fillId="0" borderId="1" xfId="0" applyNumberFormat="1" applyFont="1" applyBorder="1" applyAlignment="1">
      <alignment vertical="center"/>
    </xf>
    <xf numFmtId="0" fontId="29" fillId="0" borderId="3" xfId="14" applyFont="1" applyBorder="1" applyAlignment="1">
      <alignment horizontal="justify" vertical="center"/>
    </xf>
    <xf numFmtId="0" fontId="21" fillId="0" borderId="0" xfId="0" applyNumberFormat="1" applyFont="1" applyFill="1" applyBorder="1" applyAlignment="1">
      <alignment horizontal="left" vertical="center" wrapText="1"/>
    </xf>
    <xf numFmtId="167" fontId="22" fillId="0" borderId="0" xfId="0" applyNumberFormat="1" applyFont="1" applyFill="1" applyBorder="1" applyAlignment="1">
      <alignment horizontal="center" vertical="center" wrapText="1"/>
    </xf>
    <xf numFmtId="0" fontId="21" fillId="0" borderId="0" xfId="0" applyNumberFormat="1" applyFont="1" applyFill="1" applyBorder="1" applyAlignment="1">
      <alignment horizontal="center" vertical="center"/>
    </xf>
    <xf numFmtId="0" fontId="21" fillId="0" borderId="0" xfId="0" applyFont="1" applyFill="1" applyBorder="1" applyAlignment="1">
      <alignment horizontal="left" vertical="top"/>
    </xf>
    <xf numFmtId="0" fontId="21" fillId="0" borderId="0" xfId="0" applyFont="1" applyFill="1" applyBorder="1" applyAlignment="1">
      <alignment horizontal="left" vertical="top" wrapText="1"/>
    </xf>
    <xf numFmtId="0" fontId="24" fillId="0" borderId="0" xfId="0" applyNumberFormat="1" applyFont="1" applyFill="1" applyBorder="1" applyAlignment="1">
      <alignment horizontal="left" vertical="center" wrapText="1"/>
    </xf>
    <xf numFmtId="0" fontId="23" fillId="3" borderId="3" xfId="0" applyNumberFormat="1" applyFont="1" applyFill="1" applyBorder="1" applyAlignment="1">
      <alignment horizontal="left" vertical="top" wrapText="1"/>
    </xf>
    <xf numFmtId="0" fontId="21" fillId="0" borderId="3" xfId="0" applyNumberFormat="1" applyFont="1" applyFill="1" applyBorder="1" applyAlignment="1">
      <alignment horizontal="left" vertical="top" wrapText="1"/>
    </xf>
    <xf numFmtId="0" fontId="60" fillId="0" borderId="44" xfId="0" applyFont="1" applyFill="1" applyBorder="1" applyAlignment="1">
      <alignment horizontal="center" vertical="center" wrapText="1"/>
    </xf>
    <xf numFmtId="0" fontId="13" fillId="0" borderId="1" xfId="5" applyFill="1" applyBorder="1" applyAlignment="1">
      <alignment horizontal="left" vertical="center" wrapText="1"/>
    </xf>
    <xf numFmtId="0" fontId="67" fillId="0" borderId="1" xfId="0" applyNumberFormat="1" applyFont="1" applyFill="1" applyBorder="1" applyAlignment="1">
      <alignment horizontal="left" vertical="center" wrapText="1"/>
    </xf>
    <xf numFmtId="0" fontId="67" fillId="0" borderId="44" xfId="0" applyNumberFormat="1" applyFont="1" applyFill="1" applyBorder="1" applyAlignment="1">
      <alignment horizontal="left" vertical="center" wrapText="1"/>
    </xf>
    <xf numFmtId="0" fontId="67" fillId="0" borderId="19" xfId="0" applyFont="1" applyFill="1" applyBorder="1" applyAlignment="1">
      <alignment horizontal="center" vertical="center"/>
    </xf>
    <xf numFmtId="0" fontId="67" fillId="0" borderId="1" xfId="0" applyFont="1" applyFill="1" applyBorder="1" applyAlignment="1">
      <alignment horizontal="center" vertical="center"/>
    </xf>
    <xf numFmtId="0" fontId="67" fillId="0" borderId="44" xfId="0" applyFont="1" applyFill="1" applyBorder="1" applyAlignment="1">
      <alignment horizontal="center" vertical="center"/>
    </xf>
    <xf numFmtId="0" fontId="67" fillId="0" borderId="1" xfId="0" applyNumberFormat="1" applyFont="1" applyFill="1" applyBorder="1" applyAlignment="1">
      <alignment horizontal="left" vertical="top"/>
    </xf>
    <xf numFmtId="0" fontId="67" fillId="0" borderId="20" xfId="0" applyNumberFormat="1" applyFont="1" applyFill="1" applyBorder="1" applyAlignment="1">
      <alignment horizontal="left" vertical="top"/>
    </xf>
    <xf numFmtId="0" fontId="67" fillId="0" borderId="1" xfId="0" applyFont="1" applyFill="1" applyBorder="1" applyAlignment="1">
      <alignment horizontal="center" vertical="center" wrapText="1"/>
    </xf>
    <xf numFmtId="0" fontId="67" fillId="0" borderId="1" xfId="0" applyFont="1" applyBorder="1" applyAlignment="1">
      <alignment horizontal="justify" vertical="center" wrapText="1"/>
    </xf>
    <xf numFmtId="0" fontId="67" fillId="0" borderId="19" xfId="0" applyNumberFormat="1" applyFont="1" applyFill="1" applyBorder="1" applyAlignment="1">
      <alignment horizontal="left" vertical="top"/>
    </xf>
    <xf numFmtId="0" fontId="67" fillId="0" borderId="1" xfId="0" applyFont="1" applyFill="1" applyBorder="1" applyAlignment="1">
      <alignment horizontal="justify" vertical="center" wrapText="1"/>
    </xf>
    <xf numFmtId="0" fontId="67" fillId="0" borderId="9" xfId="0" applyNumberFormat="1" applyFont="1" applyFill="1" applyBorder="1" applyAlignment="1">
      <alignment horizontal="left" vertical="center" wrapText="1"/>
    </xf>
    <xf numFmtId="0" fontId="67" fillId="0" borderId="50" xfId="0" applyNumberFormat="1" applyFont="1" applyFill="1" applyBorder="1" applyAlignment="1">
      <alignment horizontal="left" vertical="center" wrapText="1"/>
    </xf>
    <xf numFmtId="0" fontId="67" fillId="0" borderId="1" xfId="0" applyFont="1" applyFill="1" applyBorder="1" applyAlignment="1">
      <alignment horizontal="left" vertical="center" wrapText="1"/>
    </xf>
    <xf numFmtId="0" fontId="67" fillId="0" borderId="12" xfId="0" applyFont="1" applyFill="1" applyBorder="1" applyAlignment="1">
      <alignment horizontal="left" vertical="top"/>
    </xf>
    <xf numFmtId="0" fontId="67" fillId="0" borderId="1" xfId="0" applyFont="1" applyBorder="1" applyAlignment="1">
      <alignment horizontal="left" vertical="center" wrapText="1"/>
    </xf>
    <xf numFmtId="0" fontId="67" fillId="0" borderId="90" xfId="0" applyNumberFormat="1" applyFont="1" applyFill="1" applyBorder="1" applyAlignment="1">
      <alignment horizontal="left" vertical="center" wrapText="1"/>
    </xf>
    <xf numFmtId="0" fontId="67" fillId="0" borderId="33" xfId="0" applyFont="1" applyFill="1" applyBorder="1" applyAlignment="1">
      <alignment horizontal="center" vertical="center"/>
    </xf>
    <xf numFmtId="0" fontId="67" fillId="0" borderId="9" xfId="0" applyFont="1" applyFill="1" applyBorder="1" applyAlignment="1">
      <alignment horizontal="center" vertical="center"/>
    </xf>
    <xf numFmtId="0" fontId="67" fillId="0" borderId="90" xfId="0" applyFont="1" applyFill="1" applyBorder="1" applyAlignment="1">
      <alignment horizontal="center" vertical="center"/>
    </xf>
    <xf numFmtId="0" fontId="67" fillId="0" borderId="33" xfId="0" applyNumberFormat="1" applyFont="1" applyFill="1" applyBorder="1" applyAlignment="1">
      <alignment horizontal="left" vertical="top"/>
    </xf>
    <xf numFmtId="0" fontId="67" fillId="0" borderId="9" xfId="0" applyNumberFormat="1" applyFont="1" applyFill="1" applyBorder="1" applyAlignment="1">
      <alignment horizontal="left" vertical="top"/>
    </xf>
    <xf numFmtId="0" fontId="67" fillId="0" borderId="9" xfId="0" applyFont="1" applyBorder="1" applyAlignment="1">
      <alignment horizontal="left" vertical="center" wrapText="1"/>
    </xf>
    <xf numFmtId="0" fontId="67" fillId="0" borderId="44" xfId="0" applyFont="1" applyBorder="1" applyAlignment="1">
      <alignment horizontal="justify" vertical="center" wrapText="1"/>
    </xf>
    <xf numFmtId="0" fontId="67" fillId="0" borderId="19" xfId="0" applyFont="1" applyBorder="1" applyAlignment="1">
      <alignment horizontal="center" vertical="center"/>
    </xf>
    <xf numFmtId="0" fontId="67" fillId="0" borderId="1" xfId="0" applyFont="1" applyBorder="1" applyAlignment="1">
      <alignment horizontal="center" vertical="center"/>
    </xf>
    <xf numFmtId="0" fontId="67" fillId="0" borderId="44" xfId="0" applyFont="1" applyBorder="1" applyAlignment="1">
      <alignment horizontal="center" vertical="center"/>
    </xf>
    <xf numFmtId="0" fontId="67" fillId="0" borderId="19" xfId="0" applyFont="1" applyBorder="1" applyAlignment="1">
      <alignment horizontal="left" vertical="top"/>
    </xf>
    <xf numFmtId="0" fontId="67" fillId="0" borderId="1" xfId="0" applyFont="1" applyBorder="1" applyAlignment="1">
      <alignment horizontal="left" vertical="top"/>
    </xf>
    <xf numFmtId="0" fontId="67" fillId="0" borderId="20" xfId="0" applyFont="1" applyBorder="1" applyAlignment="1">
      <alignment horizontal="left" vertical="top"/>
    </xf>
    <xf numFmtId="0" fontId="67" fillId="38" borderId="45" xfId="0" applyNumberFormat="1" applyFont="1" applyFill="1" applyBorder="1" applyAlignment="1">
      <alignment horizontal="left" vertical="top"/>
    </xf>
    <xf numFmtId="0" fontId="67" fillId="38" borderId="47" xfId="0" applyNumberFormat="1" applyFont="1" applyFill="1" applyBorder="1" applyAlignment="1">
      <alignment horizontal="left" vertical="top"/>
    </xf>
    <xf numFmtId="0" fontId="67" fillId="0" borderId="31" xfId="0" applyFont="1" applyBorder="1" applyAlignment="1">
      <alignment horizontal="center" vertical="center"/>
    </xf>
    <xf numFmtId="0" fontId="67" fillId="0" borderId="6" xfId="0" applyFont="1" applyBorder="1" applyAlignment="1">
      <alignment horizontal="center" vertical="center"/>
    </xf>
    <xf numFmtId="0" fontId="67" fillId="0" borderId="93" xfId="0" applyFont="1" applyBorder="1" applyAlignment="1">
      <alignment horizontal="center" vertical="center"/>
    </xf>
    <xf numFmtId="0" fontId="67" fillId="0" borderId="31" xfId="0" applyFont="1" applyBorder="1" applyAlignment="1">
      <alignment horizontal="left" vertical="top"/>
    </xf>
    <xf numFmtId="0" fontId="67" fillId="0" borderId="41" xfId="0" applyFont="1" applyBorder="1" applyAlignment="1">
      <alignment horizontal="left" vertical="top"/>
    </xf>
    <xf numFmtId="0" fontId="67" fillId="0" borderId="1" xfId="0" applyNumberFormat="1" applyFont="1" applyFill="1" applyBorder="1" applyAlignment="1">
      <alignment horizontal="left" vertical="top" wrapText="1"/>
    </xf>
    <xf numFmtId="0" fontId="67" fillId="0" borderId="19" xfId="0" applyFont="1" applyFill="1" applyBorder="1" applyAlignment="1">
      <alignment horizontal="left" vertical="top"/>
    </xf>
    <xf numFmtId="0" fontId="67" fillId="0" borderId="1" xfId="0" applyFont="1" applyFill="1" applyBorder="1" applyAlignment="1">
      <alignment horizontal="left" vertical="top"/>
    </xf>
    <xf numFmtId="0" fontId="67" fillId="0" borderId="41" xfId="0" applyFont="1" applyFill="1" applyBorder="1" applyAlignment="1">
      <alignment horizontal="left" vertical="top"/>
    </xf>
    <xf numFmtId="0" fontId="67" fillId="0" borderId="19" xfId="0" applyFont="1" applyFill="1" applyBorder="1" applyAlignment="1">
      <alignment horizontal="center" vertical="center" wrapText="1"/>
    </xf>
    <xf numFmtId="0" fontId="67" fillId="0" borderId="12" xfId="0" applyFont="1" applyFill="1" applyBorder="1" applyAlignment="1">
      <alignment horizontal="justify" vertical="center" wrapText="1"/>
    </xf>
    <xf numFmtId="0" fontId="67" fillId="0" borderId="44" xfId="0" applyNumberFormat="1" applyFont="1" applyFill="1" applyBorder="1" applyAlignment="1">
      <alignment horizontal="center" vertical="center"/>
    </xf>
    <xf numFmtId="0" fontId="67" fillId="0" borderId="41" xfId="0" applyNumberFormat="1" applyFont="1" applyFill="1" applyBorder="1" applyAlignment="1">
      <alignment horizontal="left" vertical="top"/>
    </xf>
    <xf numFmtId="0" fontId="67" fillId="0" borderId="44" xfId="0" applyFont="1" applyBorder="1" applyAlignment="1">
      <alignment horizontal="left" vertical="center" wrapText="1"/>
    </xf>
    <xf numFmtId="14" fontId="67" fillId="0" borderId="19" xfId="0" applyNumberFormat="1" applyFont="1" applyBorder="1" applyAlignment="1">
      <alignment horizontal="left" vertical="top"/>
    </xf>
    <xf numFmtId="166" fontId="68" fillId="0" borderId="19" xfId="0" applyNumberFormat="1" applyFont="1" applyFill="1" applyBorder="1" applyAlignment="1">
      <alignment horizontal="center" vertical="center" wrapText="1"/>
    </xf>
    <xf numFmtId="166" fontId="68" fillId="0" borderId="1" xfId="0" applyNumberFormat="1" applyFont="1" applyFill="1" applyBorder="1" applyAlignment="1">
      <alignment horizontal="center" vertical="center" wrapText="1"/>
    </xf>
    <xf numFmtId="167" fontId="68" fillId="0" borderId="19" xfId="0" applyNumberFormat="1" applyFont="1" applyFill="1" applyBorder="1" applyAlignment="1">
      <alignment horizontal="center" vertical="center" wrapText="1"/>
    </xf>
    <xf numFmtId="167" fontId="68" fillId="0" borderId="1" xfId="0" applyNumberFormat="1" applyFont="1" applyFill="1" applyBorder="1" applyAlignment="1">
      <alignment horizontal="center" vertical="center" wrapText="1"/>
    </xf>
    <xf numFmtId="0" fontId="67" fillId="0" borderId="44" xfId="0" applyNumberFormat="1" applyFont="1" applyFill="1" applyBorder="1" applyAlignment="1">
      <alignment horizontal="left" vertical="top"/>
    </xf>
    <xf numFmtId="0" fontId="67" fillId="0" borderId="9" xfId="0" applyFont="1" applyBorder="1" applyAlignment="1">
      <alignment horizontal="justify" vertical="center" wrapText="1"/>
    </xf>
    <xf numFmtId="0" fontId="67" fillId="0" borderId="90" xfId="0" applyFont="1" applyBorder="1" applyAlignment="1">
      <alignment horizontal="justify" vertical="center" wrapText="1"/>
    </xf>
    <xf numFmtId="0" fontId="67" fillId="0" borderId="33" xfId="0" applyFont="1" applyBorder="1" applyAlignment="1">
      <alignment horizontal="center" vertical="center"/>
    </xf>
    <xf numFmtId="0" fontId="67" fillId="0" borderId="9" xfId="0" applyFont="1" applyBorder="1" applyAlignment="1">
      <alignment horizontal="center" vertical="center"/>
    </xf>
    <xf numFmtId="0" fontId="67" fillId="0" borderId="90" xfId="0" applyFont="1" applyBorder="1" applyAlignment="1">
      <alignment horizontal="center" vertical="center"/>
    </xf>
    <xf numFmtId="0" fontId="67" fillId="0" borderId="17" xfId="0" applyNumberFormat="1" applyFont="1" applyFill="1" applyBorder="1" applyAlignment="1">
      <alignment horizontal="left" vertical="top"/>
    </xf>
    <xf numFmtId="0" fontId="67" fillId="0" borderId="18" xfId="0" applyNumberFormat="1" applyFont="1" applyFill="1" applyBorder="1" applyAlignment="1">
      <alignment horizontal="left" vertical="top"/>
    </xf>
    <xf numFmtId="0" fontId="67" fillId="0" borderId="20" xfId="0" applyFont="1" applyBorder="1" applyAlignment="1">
      <alignment horizontal="center" vertical="center"/>
    </xf>
    <xf numFmtId="0" fontId="67" fillId="0" borderId="20" xfId="0" applyNumberFormat="1" applyFont="1" applyFill="1" applyBorder="1" applyAlignment="1">
      <alignment horizontal="left" vertical="center" wrapText="1"/>
    </xf>
    <xf numFmtId="0" fontId="67" fillId="0" borderId="21" xfId="0" applyFont="1" applyFill="1" applyBorder="1" applyAlignment="1">
      <alignment horizontal="center" vertical="center"/>
    </xf>
    <xf numFmtId="0" fontId="67" fillId="0" borderId="5" xfId="0" applyFont="1" applyFill="1" applyBorder="1" applyAlignment="1">
      <alignment horizontal="center" vertical="center"/>
    </xf>
    <xf numFmtId="0" fontId="67" fillId="0" borderId="94" xfId="0" applyNumberFormat="1" applyFont="1" applyFill="1" applyBorder="1" applyAlignment="1">
      <alignment horizontal="center" vertical="center"/>
    </xf>
    <xf numFmtId="0" fontId="29" fillId="0" borderId="3" xfId="14" applyFont="1" applyFill="1" applyBorder="1" applyAlignment="1">
      <alignment vertical="center" wrapText="1"/>
    </xf>
    <xf numFmtId="0" fontId="0" fillId="0" borderId="26" xfId="0" applyFill="1" applyBorder="1" applyAlignment="1">
      <alignment wrapText="1"/>
    </xf>
    <xf numFmtId="0" fontId="0" fillId="0" borderId="40" xfId="0" applyFill="1" applyBorder="1" applyAlignment="1">
      <alignment horizontal="justify"/>
    </xf>
    <xf numFmtId="0" fontId="67" fillId="0" borderId="12" xfId="0" applyFont="1" applyBorder="1" applyAlignment="1">
      <alignment horizontal="left" vertical="center" wrapText="1"/>
    </xf>
    <xf numFmtId="0" fontId="67" fillId="0" borderId="16" xfId="0" applyNumberFormat="1" applyFont="1" applyFill="1" applyBorder="1" applyAlignment="1">
      <alignment horizontal="left" vertical="top"/>
    </xf>
    <xf numFmtId="0" fontId="67" fillId="17" borderId="19" xfId="0" applyNumberFormat="1" applyFont="1" applyFill="1" applyBorder="1" applyAlignment="1">
      <alignment horizontal="left" vertical="top"/>
    </xf>
    <xf numFmtId="14" fontId="67" fillId="17" borderId="19" xfId="0" applyNumberFormat="1" applyFont="1" applyFill="1" applyBorder="1" applyAlignment="1">
      <alignment horizontal="left" vertical="top"/>
    </xf>
    <xf numFmtId="0" fontId="67" fillId="17" borderId="6" xfId="0" applyFont="1" applyFill="1" applyBorder="1" applyAlignment="1">
      <alignment horizontal="left" vertical="top"/>
    </xf>
    <xf numFmtId="0" fontId="67" fillId="17" borderId="19" xfId="0" applyFont="1" applyFill="1" applyBorder="1" applyAlignment="1">
      <alignment horizontal="left" vertical="top"/>
    </xf>
    <xf numFmtId="0" fontId="67" fillId="17" borderId="1" xfId="0" applyFont="1" applyFill="1" applyBorder="1" applyAlignment="1">
      <alignment horizontal="left" vertical="top"/>
    </xf>
    <xf numFmtId="0" fontId="67" fillId="17" borderId="41" xfId="0" applyNumberFormat="1" applyFont="1" applyFill="1" applyBorder="1" applyAlignment="1">
      <alignment horizontal="left" vertical="top"/>
    </xf>
    <xf numFmtId="0" fontId="67" fillId="17" borderId="44" xfId="0" applyNumberFormat="1" applyFont="1" applyFill="1" applyBorder="1" applyAlignment="1">
      <alignment horizontal="left" vertical="top"/>
    </xf>
    <xf numFmtId="0" fontId="67" fillId="17" borderId="21" xfId="0" applyFont="1" applyFill="1" applyBorder="1" applyAlignment="1">
      <alignment horizontal="left" vertical="top"/>
    </xf>
    <xf numFmtId="0" fontId="67" fillId="17" borderId="5" xfId="0" applyFont="1" applyFill="1" applyBorder="1" applyAlignment="1">
      <alignment horizontal="left" vertical="top"/>
    </xf>
    <xf numFmtId="0" fontId="23" fillId="39" borderId="3" xfId="0" applyNumberFormat="1" applyFont="1" applyFill="1" applyBorder="1" applyAlignment="1">
      <alignment horizontal="left" vertical="top" wrapText="1"/>
    </xf>
    <xf numFmtId="0" fontId="23" fillId="2" borderId="3" xfId="0" applyNumberFormat="1" applyFont="1" applyFill="1" applyBorder="1" applyAlignment="1">
      <alignment horizontal="left" vertical="top" wrapText="1"/>
    </xf>
    <xf numFmtId="0" fontId="21" fillId="7" borderId="0" xfId="0" applyFont="1" applyFill="1" applyBorder="1" applyAlignment="1">
      <alignment horizontal="center" vertical="center"/>
    </xf>
    <xf numFmtId="0" fontId="68" fillId="0" borderId="44" xfId="0" applyNumberFormat="1" applyFont="1" applyFill="1" applyBorder="1" applyAlignment="1">
      <alignment horizontal="left" vertical="center" wrapText="1"/>
    </xf>
    <xf numFmtId="0" fontId="21" fillId="7" borderId="0" xfId="0" applyFont="1" applyFill="1" applyBorder="1" applyAlignment="1">
      <alignment vertical="center"/>
    </xf>
    <xf numFmtId="0" fontId="21" fillId="0" borderId="0" xfId="0" applyFont="1" applyFill="1" applyAlignment="1">
      <alignment horizontal="center" vertical="center"/>
    </xf>
    <xf numFmtId="0" fontId="67" fillId="0" borderId="12" xfId="0" applyNumberFormat="1" applyFont="1" applyFill="1" applyBorder="1" applyAlignment="1">
      <alignment horizontal="left" vertical="center" wrapText="1"/>
    </xf>
    <xf numFmtId="0" fontId="67" fillId="0" borderId="45" xfId="0" applyNumberFormat="1" applyFont="1" applyFill="1" applyBorder="1" applyAlignment="1">
      <alignment horizontal="left" vertical="center" wrapText="1"/>
    </xf>
    <xf numFmtId="0" fontId="21" fillId="0" borderId="1" xfId="0" applyFont="1" applyFill="1" applyBorder="1" applyAlignment="1">
      <alignment horizontal="center" vertical="center"/>
    </xf>
    <xf numFmtId="0" fontId="21" fillId="0" borderId="1" xfId="0" applyFont="1" applyBorder="1" applyAlignment="1">
      <alignment horizontal="center" vertical="center"/>
    </xf>
    <xf numFmtId="0" fontId="67" fillId="0" borderId="12" xfId="0" applyFont="1" applyFill="1" applyBorder="1" applyAlignment="1">
      <alignment horizontal="left" vertical="center" wrapText="1"/>
    </xf>
    <xf numFmtId="0" fontId="68" fillId="0" borderId="12" xfId="0" applyNumberFormat="1" applyFont="1" applyFill="1" applyBorder="1" applyAlignment="1">
      <alignment horizontal="left" vertical="center" wrapText="1"/>
    </xf>
    <xf numFmtId="0" fontId="21" fillId="0" borderId="0" xfId="0" applyNumberFormat="1" applyFont="1" applyFill="1" applyBorder="1" applyAlignment="1">
      <alignment horizontal="left" vertical="top" wrapText="1"/>
    </xf>
    <xf numFmtId="0" fontId="21" fillId="0" borderId="9" xfId="0" applyFont="1" applyFill="1" applyBorder="1" applyAlignment="1">
      <alignment horizontal="center" vertical="center"/>
    </xf>
    <xf numFmtId="0" fontId="67" fillId="0" borderId="92" xfId="0" applyNumberFormat="1" applyFont="1" applyFill="1" applyBorder="1" applyAlignment="1">
      <alignment horizontal="left" vertical="center" wrapText="1"/>
    </xf>
    <xf numFmtId="167" fontId="68" fillId="0" borderId="33" xfId="0" applyNumberFormat="1" applyFont="1" applyFill="1" applyBorder="1" applyAlignment="1">
      <alignment horizontal="center" vertical="center" wrapText="1"/>
    </xf>
    <xf numFmtId="167" fontId="68" fillId="0" borderId="9" xfId="0" applyNumberFormat="1" applyFont="1" applyFill="1" applyBorder="1" applyAlignment="1">
      <alignment horizontal="center" vertical="center" wrapText="1"/>
    </xf>
    <xf numFmtId="0" fontId="67" fillId="0" borderId="50" xfId="0" applyNumberFormat="1" applyFont="1" applyFill="1" applyBorder="1" applyAlignment="1">
      <alignment horizontal="center" vertical="center"/>
    </xf>
    <xf numFmtId="0" fontId="67" fillId="17" borderId="112" xfId="0" applyFont="1" applyFill="1" applyBorder="1" applyAlignment="1">
      <alignment horizontal="left" vertical="top"/>
    </xf>
    <xf numFmtId="0" fontId="67" fillId="0" borderId="111" xfId="0" applyNumberFormat="1" applyFont="1" applyFill="1" applyBorder="1" applyAlignment="1">
      <alignment horizontal="left" vertical="top"/>
    </xf>
    <xf numFmtId="0" fontId="67" fillId="0" borderId="9" xfId="0" applyFont="1" applyFill="1" applyBorder="1" applyAlignment="1">
      <alignment horizontal="justify" vertical="center" wrapText="1"/>
    </xf>
    <xf numFmtId="0" fontId="67" fillId="0" borderId="90" xfId="0" applyFont="1" applyFill="1" applyBorder="1" applyAlignment="1">
      <alignment horizontal="justify" vertical="center" wrapText="1"/>
    </xf>
    <xf numFmtId="0" fontId="67" fillId="17" borderId="1" xfId="0" applyNumberFormat="1" applyFont="1" applyFill="1" applyBorder="1" applyAlignment="1">
      <alignment horizontal="left" vertical="top"/>
    </xf>
    <xf numFmtId="0" fontId="67" fillId="0" borderId="44" xfId="0" applyFont="1" applyBorder="1" applyAlignment="1">
      <alignment horizontal="left" vertical="top"/>
    </xf>
    <xf numFmtId="0" fontId="21" fillId="0" borderId="6" xfId="0" applyFont="1" applyBorder="1" applyAlignment="1">
      <alignment horizontal="center" vertical="center"/>
    </xf>
    <xf numFmtId="0" fontId="67" fillId="0" borderId="6" xfId="0" applyFont="1" applyFill="1" applyBorder="1" applyAlignment="1">
      <alignment horizontal="justify" vertical="center" wrapText="1"/>
    </xf>
    <xf numFmtId="0" fontId="68" fillId="3" borderId="12" xfId="0" applyFont="1" applyFill="1" applyBorder="1" applyAlignment="1">
      <alignment horizontal="left" vertical="top" wrapText="1"/>
    </xf>
    <xf numFmtId="0" fontId="68" fillId="17" borderId="1" xfId="0" applyFont="1" applyFill="1" applyBorder="1" applyAlignment="1">
      <alignment horizontal="left" vertical="top" wrapText="1"/>
    </xf>
    <xf numFmtId="0" fontId="68" fillId="17" borderId="12" xfId="0" applyFont="1" applyFill="1" applyBorder="1" applyAlignment="1">
      <alignment horizontal="left" vertical="top" wrapText="1"/>
    </xf>
    <xf numFmtId="0" fontId="68" fillId="0" borderId="1" xfId="0" applyFont="1" applyBorder="1" applyAlignment="1">
      <alignment horizontal="left" vertical="center" wrapText="1"/>
    </xf>
    <xf numFmtId="0" fontId="68" fillId="17" borderId="12" xfId="0" applyFont="1" applyFill="1" applyBorder="1" applyAlignment="1">
      <alignment horizontal="left" vertical="center" wrapText="1"/>
    </xf>
    <xf numFmtId="0" fontId="68" fillId="0" borderId="1" xfId="0" applyFont="1" applyBorder="1" applyAlignment="1">
      <alignment horizontal="left" vertical="top" wrapText="1"/>
    </xf>
    <xf numFmtId="0" fontId="68" fillId="0" borderId="12" xfId="0" applyFont="1" applyBorder="1" applyAlignment="1">
      <alignment horizontal="left" vertical="top" wrapText="1"/>
    </xf>
    <xf numFmtId="0" fontId="68" fillId="38" borderId="47" xfId="0" applyFont="1" applyFill="1" applyBorder="1" applyAlignment="1">
      <alignment horizontal="left" vertical="top"/>
    </xf>
    <xf numFmtId="0" fontId="67" fillId="17" borderId="1" xfId="0" applyFont="1" applyFill="1" applyBorder="1" applyAlignment="1">
      <alignment horizontal="left" vertical="top" wrapText="1"/>
    </xf>
    <xf numFmtId="0" fontId="68" fillId="24" borderId="12" xfId="0" applyFont="1" applyFill="1" applyBorder="1" applyAlignment="1">
      <alignment horizontal="left" vertical="top"/>
    </xf>
    <xf numFmtId="0" fontId="68" fillId="24" borderId="1" xfId="0" applyFont="1" applyFill="1" applyBorder="1" applyAlignment="1">
      <alignment horizontal="left" vertical="top" wrapText="1"/>
    </xf>
    <xf numFmtId="0" fontId="68" fillId="24" borderId="14" xfId="0" applyFont="1" applyFill="1" applyBorder="1" applyAlignment="1">
      <alignment horizontal="left" vertical="top"/>
    </xf>
    <xf numFmtId="0" fontId="68" fillId="17" borderId="12" xfId="0" applyFont="1" applyFill="1" applyBorder="1" applyAlignment="1">
      <alignment horizontal="justify" vertical="center" wrapText="1"/>
    </xf>
    <xf numFmtId="0" fontId="68" fillId="24" borderId="1" xfId="0" applyFont="1" applyFill="1" applyBorder="1" applyAlignment="1">
      <alignment horizontal="left" vertical="top"/>
    </xf>
    <xf numFmtId="0" fontId="67" fillId="25" borderId="12" xfId="0" applyNumberFormat="1" applyFont="1" applyFill="1" applyBorder="1" applyAlignment="1">
      <alignment horizontal="left" vertical="center" wrapText="1"/>
    </xf>
    <xf numFmtId="0" fontId="67" fillId="3" borderId="1" xfId="0" applyFont="1" applyFill="1" applyBorder="1" applyAlignment="1">
      <alignment horizontal="left" vertical="top"/>
    </xf>
    <xf numFmtId="0" fontId="68" fillId="3" borderId="1" xfId="0" applyFont="1" applyFill="1" applyBorder="1" applyAlignment="1">
      <alignment horizontal="left" vertical="top" wrapText="1"/>
    </xf>
    <xf numFmtId="0" fontId="21" fillId="0" borderId="11" xfId="0" applyFont="1" applyFill="1" applyBorder="1" applyAlignment="1">
      <alignment horizontal="center" vertical="center"/>
    </xf>
    <xf numFmtId="0" fontId="67" fillId="0" borderId="0" xfId="0" applyNumberFormat="1" applyFont="1" applyFill="1" applyBorder="1" applyAlignment="1">
      <alignment horizontal="left" vertical="center" wrapText="1"/>
    </xf>
    <xf numFmtId="167" fontId="68" fillId="0" borderId="0" xfId="0" applyNumberFormat="1" applyFont="1" applyFill="1" applyBorder="1" applyAlignment="1">
      <alignment horizontal="center" vertical="center" wrapText="1"/>
    </xf>
    <xf numFmtId="0" fontId="67" fillId="0" borderId="0" xfId="0" applyNumberFormat="1" applyFont="1" applyFill="1" applyBorder="1" applyAlignment="1">
      <alignment horizontal="center" vertical="center"/>
    </xf>
    <xf numFmtId="0" fontId="67" fillId="0" borderId="10" xfId="0" applyNumberFormat="1" applyFont="1" applyFill="1" applyBorder="1" applyAlignment="1">
      <alignment horizontal="left" vertical="center" wrapText="1"/>
    </xf>
    <xf numFmtId="0" fontId="67" fillId="17" borderId="46" xfId="0" applyFont="1" applyFill="1" applyBorder="1" applyAlignment="1">
      <alignment horizontal="left" vertical="top"/>
    </xf>
    <xf numFmtId="0" fontId="67" fillId="17" borderId="11" xfId="0" applyNumberFormat="1" applyFont="1" applyFill="1" applyBorder="1" applyAlignment="1">
      <alignment horizontal="left" vertical="top"/>
    </xf>
    <xf numFmtId="0" fontId="68" fillId="40" borderId="12" xfId="0" applyFont="1" applyFill="1" applyBorder="1" applyAlignment="1">
      <alignment horizontal="left" vertical="top"/>
    </xf>
    <xf numFmtId="0" fontId="68" fillId="40" borderId="1" xfId="0" applyFont="1" applyFill="1" applyBorder="1" applyAlignment="1">
      <alignment horizontal="left" vertical="top" wrapText="1"/>
    </xf>
    <xf numFmtId="0" fontId="67" fillId="17" borderId="51" xfId="0" applyFont="1" applyFill="1" applyBorder="1" applyAlignment="1">
      <alignment horizontal="left" vertical="top"/>
    </xf>
    <xf numFmtId="0" fontId="67" fillId="17" borderId="20" xfId="0" applyFont="1" applyFill="1" applyBorder="1" applyAlignment="1">
      <alignment horizontal="left" vertical="top"/>
    </xf>
    <xf numFmtId="0" fontId="67" fillId="17" borderId="93" xfId="0" applyNumberFormat="1" applyFont="1" applyFill="1" applyBorder="1" applyAlignment="1">
      <alignment horizontal="left" vertical="top"/>
    </xf>
    <xf numFmtId="0" fontId="67" fillId="17" borderId="20" xfId="0" applyNumberFormat="1" applyFont="1" applyFill="1" applyBorder="1" applyAlignment="1">
      <alignment horizontal="left" vertical="top"/>
    </xf>
    <xf numFmtId="0" fontId="67" fillId="17" borderId="22" xfId="0" applyFont="1" applyFill="1" applyBorder="1" applyAlignment="1">
      <alignment horizontal="left" vertical="top"/>
    </xf>
    <xf numFmtId="0" fontId="67" fillId="17" borderId="111" xfId="0" applyFont="1" applyFill="1" applyBorder="1" applyAlignment="1">
      <alignment horizontal="left" vertical="top"/>
    </xf>
    <xf numFmtId="0" fontId="67" fillId="17" borderId="109" xfId="0" applyFont="1" applyFill="1" applyBorder="1" applyAlignment="1">
      <alignment horizontal="left" vertical="top"/>
    </xf>
    <xf numFmtId="0" fontId="67" fillId="17" borderId="110" xfId="0" applyFont="1" applyFill="1" applyBorder="1" applyAlignment="1">
      <alignment horizontal="left" vertical="top"/>
    </xf>
    <xf numFmtId="0" fontId="28" fillId="7" borderId="2" xfId="0" applyFont="1" applyFill="1" applyBorder="1" applyAlignment="1">
      <alignment horizontal="left" vertical="center" wrapText="1"/>
    </xf>
    <xf numFmtId="0" fontId="28" fillId="7" borderId="37" xfId="0" applyFont="1" applyFill="1" applyBorder="1" applyAlignment="1">
      <alignment horizontal="left" vertical="center" wrapText="1"/>
    </xf>
    <xf numFmtId="0" fontId="28" fillId="7" borderId="38" xfId="0" applyFont="1" applyFill="1" applyBorder="1" applyAlignment="1">
      <alignment horizontal="left" vertical="center" wrapText="1"/>
    </xf>
    <xf numFmtId="0" fontId="14" fillId="11" borderId="2" xfId="0" applyFont="1" applyFill="1" applyBorder="1" applyAlignment="1">
      <alignment horizontal="center" vertical="center" wrapText="1"/>
    </xf>
    <xf numFmtId="0" fontId="14" fillId="11" borderId="37" xfId="0" applyFont="1" applyFill="1" applyBorder="1" applyAlignment="1">
      <alignment horizontal="center" vertical="center" wrapText="1"/>
    </xf>
    <xf numFmtId="0" fontId="14" fillId="11" borderId="38" xfId="0" applyFont="1" applyFill="1" applyBorder="1" applyAlignment="1">
      <alignment horizontal="center" vertical="center" wrapText="1"/>
    </xf>
    <xf numFmtId="0" fontId="61" fillId="24" borderId="1" xfId="0" applyFont="1" applyFill="1" applyBorder="1" applyAlignment="1">
      <alignment horizontal="center" vertical="top" wrapText="1"/>
    </xf>
    <xf numFmtId="0" fontId="14" fillId="11" borderId="40" xfId="0" applyFont="1" applyFill="1" applyBorder="1" applyAlignment="1">
      <alignment horizontal="center" vertical="center" wrapText="1"/>
    </xf>
    <xf numFmtId="0" fontId="14" fillId="11" borderId="32" xfId="0" applyFont="1" applyFill="1" applyBorder="1" applyAlignment="1">
      <alignment horizontal="center" vertical="center" wrapText="1"/>
    </xf>
    <xf numFmtId="0" fontId="16" fillId="7" borderId="1" xfId="0" applyFont="1" applyFill="1" applyBorder="1" applyAlignment="1">
      <alignment horizontal="left" vertical="center" wrapText="1"/>
    </xf>
    <xf numFmtId="0" fontId="31" fillId="7" borderId="0" xfId="0" applyFont="1" applyFill="1" applyAlignment="1">
      <alignment horizontal="right"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6" fillId="0" borderId="41" xfId="0" applyFont="1" applyBorder="1" applyAlignment="1">
      <alignment horizontal="left" vertical="center" wrapText="1"/>
    </xf>
    <xf numFmtId="0" fontId="16" fillId="0" borderId="45" xfId="0" applyFont="1" applyBorder="1" applyAlignment="1">
      <alignment horizontal="left" vertical="center" wrapText="1"/>
    </xf>
    <xf numFmtId="0" fontId="16" fillId="0" borderId="47" xfId="0" applyFont="1" applyBorder="1" applyAlignment="1">
      <alignment horizontal="left" vertical="center" wrapText="1"/>
    </xf>
    <xf numFmtId="0" fontId="17" fillId="19" borderId="19" xfId="0" applyFont="1" applyFill="1" applyBorder="1" applyAlignment="1">
      <alignment horizontal="center" vertical="center" wrapText="1"/>
    </xf>
    <xf numFmtId="0" fontId="17" fillId="19" borderId="21" xfId="0" applyFont="1" applyFill="1" applyBorder="1" applyAlignment="1">
      <alignment horizontal="center" vertical="center" wrapText="1"/>
    </xf>
    <xf numFmtId="0" fontId="17" fillId="10" borderId="19" xfId="0" applyFont="1" applyFill="1" applyBorder="1" applyAlignment="1">
      <alignment horizontal="center" vertical="center" wrapText="1"/>
    </xf>
    <xf numFmtId="0" fontId="17" fillId="10" borderId="33" xfId="0" applyFont="1" applyFill="1" applyBorder="1" applyAlignment="1">
      <alignment horizontal="center" vertical="center" wrapText="1"/>
    </xf>
    <xf numFmtId="0" fontId="17" fillId="10" borderId="46" xfId="0" applyFont="1" applyFill="1" applyBorder="1" applyAlignment="1">
      <alignment horizontal="center" vertical="center" wrapText="1"/>
    </xf>
    <xf numFmtId="0" fontId="17" fillId="10" borderId="31" xfId="0" applyFont="1" applyFill="1" applyBorder="1" applyAlignment="1">
      <alignment horizontal="center" vertical="center" wrapText="1"/>
    </xf>
    <xf numFmtId="14" fontId="29" fillId="0" borderId="2" xfId="14" applyNumberFormat="1" applyFont="1" applyBorder="1" applyAlignment="1">
      <alignment horizontal="center"/>
    </xf>
    <xf numFmtId="14" fontId="29" fillId="0" borderId="38" xfId="14" applyNumberFormat="1" applyFont="1" applyBorder="1" applyAlignment="1">
      <alignment horizontal="center"/>
    </xf>
    <xf numFmtId="0" fontId="29" fillId="0" borderId="56" xfId="14" applyFont="1" applyBorder="1" applyAlignment="1">
      <alignment horizontal="center" vertical="center"/>
    </xf>
    <xf numFmtId="0" fontId="43" fillId="0" borderId="63" xfId="14" applyFont="1" applyBorder="1"/>
    <xf numFmtId="0" fontId="43" fillId="0" borderId="69" xfId="14" applyFont="1" applyBorder="1"/>
    <xf numFmtId="0" fontId="53" fillId="0" borderId="57" xfId="14" applyFont="1" applyBorder="1" applyAlignment="1">
      <alignment horizontal="center" vertical="center" wrapText="1"/>
    </xf>
    <xf numFmtId="0" fontId="43" fillId="0" borderId="58" xfId="14" applyFont="1" applyBorder="1"/>
    <xf numFmtId="0" fontId="43" fillId="0" borderId="59" xfId="14" applyFont="1" applyBorder="1"/>
    <xf numFmtId="0" fontId="43" fillId="0" borderId="64" xfId="14" applyFont="1" applyBorder="1"/>
    <xf numFmtId="0" fontId="29" fillId="0" borderId="0" xfId="14" applyFont="1" applyAlignment="1"/>
    <xf numFmtId="0" fontId="43" fillId="0" borderId="65" xfId="14" applyFont="1" applyBorder="1"/>
    <xf numFmtId="0" fontId="43" fillId="0" borderId="0" xfId="14" applyFont="1" applyBorder="1"/>
    <xf numFmtId="0" fontId="43" fillId="0" borderId="70" xfId="14" applyFont="1" applyBorder="1"/>
    <xf numFmtId="0" fontId="43" fillId="0" borderId="71" xfId="14" applyFont="1" applyBorder="1"/>
    <xf numFmtId="0" fontId="29" fillId="0" borderId="60" xfId="14" applyFont="1" applyBorder="1" applyAlignment="1">
      <alignment horizontal="center"/>
    </xf>
    <xf numFmtId="0" fontId="43" fillId="0" borderId="61" xfId="14" applyFont="1" applyBorder="1"/>
    <xf numFmtId="0" fontId="29" fillId="0" borderId="62" xfId="14" applyFont="1" applyBorder="1" applyAlignment="1">
      <alignment horizontal="center"/>
    </xf>
    <xf numFmtId="0" fontId="43" fillId="0" borderId="68" xfId="14" applyFont="1" applyBorder="1"/>
    <xf numFmtId="0" fontId="43" fillId="0" borderId="74" xfId="14" applyFont="1" applyBorder="1"/>
    <xf numFmtId="0" fontId="29" fillId="0" borderId="66" xfId="14" applyFont="1" applyBorder="1" applyAlignment="1">
      <alignment horizontal="center"/>
    </xf>
    <xf numFmtId="0" fontId="43" fillId="0" borderId="67" xfId="14" applyFont="1" applyBorder="1"/>
    <xf numFmtId="0" fontId="29" fillId="0" borderId="72" xfId="14" applyFont="1" applyBorder="1" applyAlignment="1">
      <alignment horizontal="center"/>
    </xf>
    <xf numFmtId="0" fontId="43" fillId="0" borderId="73" xfId="14" applyFont="1" applyBorder="1"/>
    <xf numFmtId="0" fontId="44" fillId="29" borderId="79" xfId="14" applyFont="1" applyFill="1" applyBorder="1" applyAlignment="1">
      <alignment horizontal="center" vertical="center" wrapText="1"/>
    </xf>
    <xf numFmtId="0" fontId="43" fillId="0" borderId="83" xfId="14" applyFont="1" applyBorder="1"/>
    <xf numFmtId="0" fontId="44" fillId="29" borderId="80" xfId="14" applyFont="1" applyFill="1" applyBorder="1" applyAlignment="1">
      <alignment horizontal="center" vertical="center" wrapText="1"/>
    </xf>
    <xf numFmtId="0" fontId="44" fillId="29" borderId="81" xfId="14" applyFont="1" applyFill="1" applyBorder="1" applyAlignment="1">
      <alignment horizontal="center" vertical="center" wrapText="1"/>
    </xf>
    <xf numFmtId="0" fontId="43" fillId="0" borderId="81" xfId="14" applyFont="1" applyBorder="1"/>
    <xf numFmtId="0" fontId="44" fillId="29" borderId="0" xfId="14" applyFont="1" applyFill="1" applyBorder="1" applyAlignment="1">
      <alignment horizontal="center" vertical="center" wrapText="1"/>
    </xf>
    <xf numFmtId="0" fontId="43" fillId="0" borderId="82" xfId="14" applyFont="1" applyBorder="1"/>
    <xf numFmtId="0" fontId="44" fillId="29" borderId="34" xfId="14" applyFont="1" applyFill="1" applyBorder="1" applyAlignment="1">
      <alignment horizontal="center" vertical="center" wrapText="1"/>
    </xf>
    <xf numFmtId="0" fontId="44" fillId="29" borderId="36" xfId="14" applyFont="1" applyFill="1" applyBorder="1" applyAlignment="1">
      <alignment horizontal="center" vertical="center" wrapText="1"/>
    </xf>
    <xf numFmtId="0" fontId="44" fillId="29" borderId="7" xfId="14" applyFont="1" applyFill="1" applyBorder="1" applyAlignment="1">
      <alignment horizontal="center" vertical="center" wrapText="1"/>
    </xf>
    <xf numFmtId="0" fontId="44" fillId="29" borderId="8" xfId="14" applyFont="1" applyFill="1" applyBorder="1" applyAlignment="1">
      <alignment horizontal="center" vertical="center" wrapText="1"/>
    </xf>
    <xf numFmtId="0" fontId="53" fillId="29" borderId="2" xfId="14" applyFont="1" applyFill="1" applyBorder="1" applyAlignment="1">
      <alignment horizontal="center" vertical="center"/>
    </xf>
    <xf numFmtId="0" fontId="53" fillId="29" borderId="38" xfId="14" applyFont="1" applyFill="1" applyBorder="1" applyAlignment="1">
      <alignment horizontal="center" vertical="center"/>
    </xf>
    <xf numFmtId="0" fontId="53" fillId="29" borderId="76" xfId="14" applyFont="1" applyFill="1" applyBorder="1" applyAlignment="1">
      <alignment horizontal="center" vertical="center"/>
    </xf>
    <xf numFmtId="0" fontId="53" fillId="29" borderId="77" xfId="14" applyFont="1" applyFill="1" applyBorder="1" applyAlignment="1">
      <alignment horizontal="center" vertical="center"/>
    </xf>
    <xf numFmtId="0" fontId="53" fillId="29" borderId="58" xfId="14" applyFont="1" applyFill="1" applyBorder="1" applyAlignment="1">
      <alignment horizontal="center" vertical="center"/>
    </xf>
    <xf numFmtId="0" fontId="44" fillId="29" borderId="35" xfId="14" applyFont="1" applyFill="1" applyBorder="1" applyAlignment="1">
      <alignment horizontal="center" vertical="center" wrapText="1"/>
    </xf>
    <xf numFmtId="0" fontId="44" fillId="29" borderId="13" xfId="14" applyFont="1" applyFill="1" applyBorder="1" applyAlignment="1">
      <alignment horizontal="center" vertical="center" wrapText="1"/>
    </xf>
    <xf numFmtId="0" fontId="44" fillId="29" borderId="14" xfId="14" applyFont="1" applyFill="1" applyBorder="1" applyAlignment="1">
      <alignment horizontal="center" vertical="center" wrapText="1"/>
    </xf>
    <xf numFmtId="0" fontId="53" fillId="29" borderId="76" xfId="14" applyFont="1" applyFill="1" applyBorder="1" applyAlignment="1">
      <alignment horizontal="center"/>
    </xf>
    <xf numFmtId="0" fontId="43" fillId="0" borderId="78" xfId="14" applyFont="1" applyBorder="1"/>
    <xf numFmtId="0" fontId="43" fillId="0" borderId="77" xfId="14" applyFont="1" applyBorder="1"/>
    <xf numFmtId="0" fontId="44" fillId="29" borderId="83" xfId="14" applyFont="1" applyFill="1" applyBorder="1" applyAlignment="1">
      <alignment horizontal="center" vertical="center" wrapText="1"/>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 xfId="0" applyBorder="1" applyAlignment="1">
      <alignment horizontal="center"/>
    </xf>
    <xf numFmtId="0" fontId="0" fillId="0" borderId="20" xfId="0" applyBorder="1" applyAlignment="1">
      <alignment horizontal="center"/>
    </xf>
    <xf numFmtId="0" fontId="0" fillId="0" borderId="5" xfId="0" applyBorder="1" applyAlignment="1">
      <alignment horizontal="center"/>
    </xf>
    <xf numFmtId="0" fontId="0" fillId="0" borderId="22" xfId="0" applyBorder="1" applyAlignment="1">
      <alignment horizontal="center"/>
    </xf>
    <xf numFmtId="0" fontId="10" fillId="0" borderId="0" xfId="0" applyFont="1" applyAlignment="1">
      <alignment horizontal="center" vertical="center" wrapText="1"/>
    </xf>
    <xf numFmtId="0" fontId="10" fillId="0" borderId="43" xfId="0" applyFont="1" applyBorder="1" applyAlignment="1">
      <alignment horizontal="center" vertical="center" wrapText="1"/>
    </xf>
    <xf numFmtId="0" fontId="10" fillId="36" borderId="88" xfId="0" applyFont="1" applyFill="1" applyBorder="1" applyAlignment="1">
      <alignment horizontal="center" vertical="center" wrapText="1"/>
    </xf>
    <xf numFmtId="0" fontId="10" fillId="36" borderId="89" xfId="0" applyFont="1" applyFill="1" applyBorder="1" applyAlignment="1">
      <alignment horizontal="center" vertical="center" wrapText="1"/>
    </xf>
    <xf numFmtId="0" fontId="10" fillId="36" borderId="16" xfId="0" applyFont="1" applyFill="1" applyBorder="1" applyAlignment="1">
      <alignment horizontal="center" vertical="center" wrapText="1"/>
    </xf>
    <xf numFmtId="0" fontId="10" fillId="36" borderId="17" xfId="0" applyFont="1" applyFill="1" applyBorder="1" applyAlignment="1">
      <alignment horizontal="center" vertical="center" wrapText="1"/>
    </xf>
    <xf numFmtId="0" fontId="10" fillId="36" borderId="18" xfId="0" applyFont="1" applyFill="1" applyBorder="1" applyAlignment="1">
      <alignment horizontal="center" vertical="center" wrapText="1"/>
    </xf>
    <xf numFmtId="0" fontId="10" fillId="36" borderId="15" xfId="0" applyFont="1" applyFill="1" applyBorder="1" applyAlignment="1">
      <alignment horizontal="center" vertical="center" wrapText="1"/>
    </xf>
    <xf numFmtId="0" fontId="57" fillId="5" borderId="18" xfId="3" applyFont="1" applyFill="1" applyBorder="1" applyAlignment="1">
      <alignment horizontal="center" vertical="center"/>
    </xf>
    <xf numFmtId="0" fontId="57" fillId="5" borderId="20" xfId="3" applyFont="1" applyFill="1" applyBorder="1" applyAlignment="1">
      <alignment horizontal="center" vertical="center"/>
    </xf>
    <xf numFmtId="0" fontId="10" fillId="36" borderId="16" xfId="0" applyFont="1" applyFill="1" applyBorder="1" applyAlignment="1">
      <alignment horizontal="center" vertical="center"/>
    </xf>
    <xf numFmtId="0" fontId="10" fillId="36" borderId="19" xfId="0" applyFont="1" applyFill="1" applyBorder="1" applyAlignment="1">
      <alignment horizontal="center" vertical="center"/>
    </xf>
    <xf numFmtId="0" fontId="10" fillId="36" borderId="18" xfId="0" applyFont="1" applyFill="1" applyBorder="1" applyAlignment="1">
      <alignment horizontal="center" vertical="center"/>
    </xf>
    <xf numFmtId="0" fontId="10" fillId="36" borderId="20" xfId="0" applyFont="1" applyFill="1" applyBorder="1" applyAlignment="1">
      <alignment horizontal="center" vertical="center"/>
    </xf>
    <xf numFmtId="0" fontId="10" fillId="36" borderId="21" xfId="0" applyFont="1" applyFill="1" applyBorder="1" applyAlignment="1">
      <alignment horizontal="center" vertical="center" wrapText="1"/>
    </xf>
    <xf numFmtId="0" fontId="10" fillId="36" borderId="5" xfId="0" applyFont="1" applyFill="1" applyBorder="1" applyAlignment="1">
      <alignment horizontal="center" vertical="center" wrapText="1"/>
    </xf>
    <xf numFmtId="0" fontId="10" fillId="36" borderId="22" xfId="0" applyFont="1" applyFill="1" applyBorder="1" applyAlignment="1">
      <alignment horizontal="center" vertical="center" wrapText="1"/>
    </xf>
    <xf numFmtId="0" fontId="7" fillId="2" borderId="16" xfId="3" applyFont="1" applyFill="1" applyBorder="1" applyAlignment="1">
      <alignment horizontal="center" vertical="center" wrapText="1"/>
    </xf>
    <xf numFmtId="0" fontId="7" fillId="2" borderId="19" xfId="3" applyFont="1" applyFill="1" applyBorder="1" applyAlignment="1">
      <alignment horizontal="center" vertical="center" wrapText="1"/>
    </xf>
    <xf numFmtId="0" fontId="57" fillId="4" borderId="17" xfId="3" applyFont="1" applyFill="1" applyBorder="1" applyAlignment="1">
      <alignment horizontal="center" vertical="center"/>
    </xf>
    <xf numFmtId="0" fontId="57" fillId="4" borderId="1" xfId="3" applyFont="1" applyFill="1" applyBorder="1" applyAlignment="1">
      <alignment horizontal="center" vertical="center"/>
    </xf>
    <xf numFmtId="0" fontId="57" fillId="3" borderId="17" xfId="3" applyFont="1" applyFill="1" applyBorder="1" applyAlignment="1">
      <alignment horizontal="center" vertical="center"/>
    </xf>
    <xf numFmtId="0" fontId="57" fillId="3" borderId="1" xfId="3" applyFont="1" applyFill="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6" xfId="0" applyFont="1" applyBorder="1" applyAlignment="1">
      <alignment horizontal="center" vertical="center" wrapText="1"/>
    </xf>
    <xf numFmtId="0" fontId="45" fillId="11" borderId="44" xfId="0" applyFont="1" applyFill="1" applyBorder="1" applyAlignment="1">
      <alignment horizontal="center" vertical="center" wrapText="1"/>
    </xf>
    <xf numFmtId="0" fontId="45" fillId="11" borderId="45" xfId="0" applyFont="1" applyFill="1" applyBorder="1" applyAlignment="1">
      <alignment horizontal="center" vertical="center" wrapText="1"/>
    </xf>
    <xf numFmtId="0" fontId="45" fillId="11" borderId="12"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48" xfId="0" applyFont="1" applyFill="1" applyBorder="1" applyAlignment="1">
      <alignment horizontal="center"/>
    </xf>
    <xf numFmtId="0" fontId="17" fillId="0" borderId="43" xfId="0" applyFont="1" applyFill="1" applyBorder="1" applyAlignment="1">
      <alignment horizontal="center"/>
    </xf>
    <xf numFmtId="0" fontId="17" fillId="0" borderId="54" xfId="0" applyFont="1" applyFill="1" applyBorder="1" applyAlignment="1">
      <alignment horizontal="center"/>
    </xf>
    <xf numFmtId="0" fontId="17" fillId="26" borderId="4" xfId="0" applyFont="1" applyFill="1" applyBorder="1" applyAlignment="1">
      <alignment horizontal="center" vertical="center" wrapText="1"/>
    </xf>
    <xf numFmtId="0" fontId="17" fillId="26" borderId="8" xfId="0" applyFont="1" applyFill="1" applyBorder="1" applyAlignment="1">
      <alignment horizontal="center" vertical="center" wrapText="1"/>
    </xf>
    <xf numFmtId="0" fontId="31" fillId="7" borderId="42" xfId="0" applyFont="1" applyFill="1" applyBorder="1" applyAlignment="1">
      <alignment horizontal="right" vertical="center" wrapText="1"/>
    </xf>
    <xf numFmtId="0" fontId="35" fillId="0" borderId="9" xfId="0" applyFont="1" applyBorder="1" applyAlignment="1">
      <alignment horizontal="center"/>
    </xf>
    <xf numFmtId="0" fontId="35" fillId="0" borderId="6" xfId="0" applyFont="1" applyBorder="1" applyAlignment="1">
      <alignment horizontal="center"/>
    </xf>
    <xf numFmtId="0" fontId="17" fillId="0" borderId="1" xfId="0" applyFont="1" applyFill="1" applyBorder="1" applyAlignment="1">
      <alignment horizontal="center" vertical="center" wrapText="1"/>
    </xf>
    <xf numFmtId="0" fontId="46" fillId="11" borderId="44" xfId="0" applyFont="1" applyFill="1" applyBorder="1" applyAlignment="1">
      <alignment horizontal="left" wrapText="1"/>
    </xf>
    <xf numFmtId="0" fontId="46" fillId="11" borderId="12" xfId="0" applyFont="1" applyFill="1" applyBorder="1" applyAlignment="1">
      <alignment horizontal="left" wrapText="1"/>
    </xf>
    <xf numFmtId="0" fontId="46" fillId="0" borderId="43" xfId="0" applyFont="1" applyBorder="1" applyAlignment="1">
      <alignment horizontal="center"/>
    </xf>
    <xf numFmtId="0" fontId="46" fillId="28" borderId="40" xfId="0" applyFont="1" applyFill="1" applyBorder="1" applyAlignment="1">
      <alignment horizontal="left" wrapText="1"/>
    </xf>
    <xf numFmtId="0" fontId="46" fillId="28" borderId="55" xfId="0" applyFont="1" applyFill="1" applyBorder="1" applyAlignment="1">
      <alignment horizontal="left" wrapText="1"/>
    </xf>
    <xf numFmtId="0" fontId="46" fillId="25" borderId="1" xfId="0" applyFont="1" applyFill="1" applyBorder="1" applyAlignment="1">
      <alignment horizontal="center" wrapText="1"/>
    </xf>
    <xf numFmtId="0" fontId="35" fillId="17" borderId="9" xfId="0" applyFont="1" applyFill="1" applyBorder="1" applyAlignment="1">
      <alignment horizontal="center"/>
    </xf>
    <xf numFmtId="0" fontId="35" fillId="17" borderId="6" xfId="0" applyFont="1" applyFill="1" applyBorder="1" applyAlignment="1">
      <alignment horizontal="center"/>
    </xf>
    <xf numFmtId="0" fontId="35" fillId="21" borderId="1" xfId="0" applyFont="1" applyFill="1" applyBorder="1" applyAlignment="1">
      <alignment horizontal="center"/>
    </xf>
    <xf numFmtId="0" fontId="35" fillId="17" borderId="1" xfId="0" applyFont="1" applyFill="1" applyBorder="1" applyAlignment="1">
      <alignment horizontal="center"/>
    </xf>
    <xf numFmtId="0" fontId="3" fillId="9" borderId="15" xfId="3" applyFont="1" applyFill="1" applyBorder="1" applyAlignment="1">
      <alignment horizontal="center" vertical="center" wrapText="1"/>
    </xf>
    <xf numFmtId="0" fontId="10" fillId="9" borderId="2" xfId="0" applyFont="1" applyFill="1" applyBorder="1" applyAlignment="1">
      <alignment horizontal="center" vertical="center"/>
    </xf>
    <xf numFmtId="0" fontId="10" fillId="9" borderId="38" xfId="0" applyFont="1" applyFill="1" applyBorder="1" applyAlignment="1">
      <alignment horizontal="center" vertical="center"/>
    </xf>
    <xf numFmtId="0" fontId="19" fillId="7" borderId="13" xfId="0" applyFont="1" applyFill="1" applyBorder="1" applyAlignment="1">
      <alignment horizontal="left" vertical="top" wrapText="1"/>
    </xf>
    <xf numFmtId="0" fontId="19" fillId="7" borderId="0" xfId="0" applyFont="1" applyFill="1" applyBorder="1" applyAlignment="1">
      <alignment horizontal="left" vertical="top" wrapText="1"/>
    </xf>
    <xf numFmtId="0" fontId="19" fillId="7" borderId="14" xfId="0" applyFont="1" applyFill="1" applyBorder="1" applyAlignment="1">
      <alignment horizontal="left" vertical="top" wrapText="1"/>
    </xf>
    <xf numFmtId="0" fontId="3" fillId="9" borderId="13" xfId="3" applyFont="1" applyFill="1" applyBorder="1" applyAlignment="1">
      <alignment horizontal="center" vertical="center" wrapText="1"/>
    </xf>
    <xf numFmtId="0" fontId="3" fillId="9" borderId="14" xfId="3" applyFont="1" applyFill="1" applyBorder="1" applyAlignment="1">
      <alignment horizontal="center" vertical="center" wrapText="1"/>
    </xf>
    <xf numFmtId="0" fontId="10" fillId="9" borderId="29" xfId="0" applyFont="1" applyFill="1" applyBorder="1" applyAlignment="1">
      <alignment horizontal="center"/>
    </xf>
    <xf numFmtId="0" fontId="11" fillId="8" borderId="25" xfId="0" applyFont="1" applyFill="1" applyBorder="1" applyAlignment="1" applyProtection="1">
      <alignment horizontal="center" vertical="center" wrapText="1"/>
    </xf>
    <xf numFmtId="0" fontId="11" fillId="8" borderId="106" xfId="0" applyFont="1" applyFill="1" applyBorder="1" applyAlignment="1" applyProtection="1">
      <alignment horizontal="center" vertical="center" wrapText="1"/>
    </xf>
    <xf numFmtId="0" fontId="3" fillId="9" borderId="7" xfId="3" applyFont="1" applyFill="1" applyBorder="1" applyAlignment="1">
      <alignment horizontal="center" vertical="center" wrapText="1"/>
    </xf>
    <xf numFmtId="0" fontId="5" fillId="9" borderId="4" xfId="3" applyFont="1" applyFill="1" applyBorder="1" applyAlignment="1">
      <alignment horizontal="center" vertical="center" wrapText="1"/>
    </xf>
    <xf numFmtId="0" fontId="10" fillId="9" borderId="39" xfId="0" applyFont="1" applyFill="1" applyBorder="1" applyAlignment="1">
      <alignment horizontal="center"/>
    </xf>
    <xf numFmtId="0" fontId="0" fillId="0" borderId="33" xfId="0" applyBorder="1" applyAlignment="1">
      <alignment horizontal="center" vertical="center"/>
    </xf>
    <xf numFmtId="0" fontId="17" fillId="0" borderId="17"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71" fillId="0" borderId="0" xfId="0" applyNumberFormat="1" applyFont="1" applyFill="1" applyBorder="1" applyAlignment="1">
      <alignment horizontal="left" vertical="top" wrapText="1"/>
    </xf>
    <xf numFmtId="0" fontId="38" fillId="13" borderId="1" xfId="0" applyFont="1" applyFill="1" applyBorder="1" applyAlignment="1">
      <alignment horizontal="center" vertical="center" wrapText="1"/>
    </xf>
    <xf numFmtId="0" fontId="20" fillId="12" borderId="0" xfId="0" applyFont="1" applyFill="1" applyBorder="1" applyAlignment="1">
      <alignment horizontal="center" vertical="center" wrapText="1"/>
    </xf>
    <xf numFmtId="0" fontId="20" fillId="12" borderId="108" xfId="0" applyFont="1" applyFill="1" applyBorder="1" applyAlignment="1">
      <alignment horizontal="center" vertical="center" wrapText="1"/>
    </xf>
    <xf numFmtId="0" fontId="20" fillId="12" borderId="43" xfId="0" applyFont="1" applyFill="1" applyBorder="1" applyAlignment="1">
      <alignment horizontal="center" vertical="center" wrapText="1"/>
    </xf>
    <xf numFmtId="0" fontId="20" fillId="12" borderId="115" xfId="0" applyFont="1" applyFill="1" applyBorder="1" applyAlignment="1">
      <alignment horizontal="center" vertical="center" wrapText="1"/>
    </xf>
    <xf numFmtId="0" fontId="69" fillId="24" borderId="42" xfId="0" applyNumberFormat="1" applyFont="1" applyFill="1" applyBorder="1" applyAlignment="1">
      <alignment horizontal="center" vertical="top" wrapText="1"/>
    </xf>
    <xf numFmtId="0" fontId="69" fillId="24" borderId="113" xfId="0" applyNumberFormat="1" applyFont="1" applyFill="1" applyBorder="1" applyAlignment="1">
      <alignment horizontal="center" vertical="top" wrapText="1"/>
    </xf>
    <xf numFmtId="0" fontId="70" fillId="24" borderId="0" xfId="0" applyNumberFormat="1" applyFont="1" applyFill="1" applyBorder="1" applyAlignment="1">
      <alignment horizontal="center" vertical="top" wrapText="1"/>
    </xf>
    <xf numFmtId="0" fontId="70" fillId="24" borderId="14" xfId="0" applyNumberFormat="1" applyFont="1" applyFill="1" applyBorder="1" applyAlignment="1">
      <alignment horizontal="center" vertical="top" wrapText="1"/>
    </xf>
    <xf numFmtId="0" fontId="70" fillId="24" borderId="11" xfId="0" applyNumberFormat="1" applyFont="1" applyFill="1" applyBorder="1" applyAlignment="1">
      <alignment horizontal="center" vertical="top" wrapText="1"/>
    </xf>
    <xf numFmtId="0" fontId="70" fillId="24" borderId="108" xfId="0" applyNumberFormat="1" applyFont="1" applyFill="1" applyBorder="1" applyAlignment="1">
      <alignment horizontal="center" vertical="top" wrapText="1"/>
    </xf>
    <xf numFmtId="0" fontId="38" fillId="13" borderId="4" xfId="0" applyFont="1" applyFill="1" applyBorder="1" applyAlignment="1">
      <alignment horizontal="center" vertical="center" wrapText="1"/>
    </xf>
    <xf numFmtId="0" fontId="38" fillId="13" borderId="114" xfId="0" applyFont="1" applyFill="1" applyBorder="1" applyAlignment="1">
      <alignment horizontal="center" vertical="center" wrapText="1"/>
    </xf>
    <xf numFmtId="0" fontId="39" fillId="11" borderId="88" xfId="0" applyNumberFormat="1" applyFont="1" applyFill="1" applyBorder="1" applyAlignment="1">
      <alignment horizontal="center" vertical="center" wrapText="1"/>
    </xf>
    <xf numFmtId="0" fontId="39" fillId="11" borderId="15" xfId="0" applyNumberFormat="1" applyFont="1" applyFill="1" applyBorder="1" applyAlignment="1">
      <alignment horizontal="center" vertical="center" wrapText="1"/>
    </xf>
    <xf numFmtId="0" fontId="39" fillId="11" borderId="89" xfId="0" applyNumberFormat="1" applyFont="1" applyFill="1" applyBorder="1" applyAlignment="1">
      <alignment horizontal="center" vertical="center" wrapText="1"/>
    </xf>
    <xf numFmtId="0" fontId="24" fillId="24" borderId="1" xfId="0" applyNumberFormat="1" applyFont="1" applyFill="1" applyBorder="1" applyAlignment="1">
      <alignment horizontal="center" vertical="top" wrapText="1"/>
    </xf>
    <xf numFmtId="0" fontId="69" fillId="38" borderId="1" xfId="0" applyNumberFormat="1" applyFont="1" applyFill="1" applyBorder="1" applyAlignment="1">
      <alignment horizontal="center" vertical="center" wrapText="1"/>
    </xf>
    <xf numFmtId="0" fontId="40" fillId="11" borderId="9" xfId="0" applyFont="1" applyFill="1" applyBorder="1" applyAlignment="1">
      <alignment horizontal="center" vertical="center" textRotation="90" wrapText="1"/>
    </xf>
    <xf numFmtId="0" fontId="40" fillId="11" borderId="6" xfId="0" applyFont="1" applyFill="1" applyBorder="1" applyAlignment="1">
      <alignment horizontal="center" vertical="center" textRotation="90" wrapText="1"/>
    </xf>
    <xf numFmtId="0" fontId="58" fillId="24" borderId="33" xfId="0" applyFont="1" applyFill="1" applyBorder="1" applyAlignment="1">
      <alignment horizontal="center" vertical="center" textRotation="90" wrapText="1"/>
    </xf>
    <xf numFmtId="0" fontId="58" fillId="24" borderId="46" xfId="0" applyFont="1" applyFill="1" applyBorder="1" applyAlignment="1">
      <alignment horizontal="center" vertical="center" textRotation="90" wrapText="1"/>
    </xf>
    <xf numFmtId="0" fontId="58" fillId="24" borderId="115" xfId="0" applyFont="1" applyFill="1" applyBorder="1" applyAlignment="1">
      <alignment horizontal="center" vertical="center" textRotation="90" wrapText="1"/>
    </xf>
    <xf numFmtId="0" fontId="27" fillId="13" borderId="49" xfId="0" applyFont="1" applyFill="1" applyBorder="1" applyAlignment="1">
      <alignment horizontal="center" vertical="center" wrapText="1"/>
    </xf>
    <xf numFmtId="0" fontId="27" fillId="13" borderId="35" xfId="0" applyFont="1" applyFill="1" applyBorder="1" applyAlignment="1">
      <alignment horizontal="center" vertical="center" wrapText="1"/>
    </xf>
    <xf numFmtId="0" fontId="27" fillId="13" borderId="11" xfId="0" applyFont="1" applyFill="1" applyBorder="1" applyAlignment="1">
      <alignment horizontal="center" vertical="center" wrapText="1"/>
    </xf>
    <xf numFmtId="0" fontId="27" fillId="13" borderId="0" xfId="0" applyFont="1" applyFill="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4" xfId="0" applyFont="1" applyBorder="1" applyAlignment="1">
      <alignment horizontal="center" vertical="center" wrapText="1"/>
    </xf>
    <xf numFmtId="0" fontId="39" fillId="11" borderId="35" xfId="0" applyFont="1" applyFill="1" applyBorder="1" applyAlignment="1">
      <alignment horizontal="center" vertical="center" wrapText="1"/>
    </xf>
    <xf numFmtId="0" fontId="39" fillId="11" borderId="0" xfId="0" applyFont="1" applyFill="1" applyBorder="1" applyAlignment="1">
      <alignment horizontal="center" vertical="center" wrapText="1"/>
    </xf>
    <xf numFmtId="0" fontId="39" fillId="11" borderId="43" xfId="0" applyFont="1" applyFill="1" applyBorder="1" applyAlignment="1">
      <alignment horizontal="center" vertical="center" wrapText="1"/>
    </xf>
    <xf numFmtId="0" fontId="39" fillId="11" borderId="34" xfId="0" applyFont="1" applyFill="1" applyBorder="1" applyAlignment="1">
      <alignment horizontal="center" vertical="center" wrapText="1"/>
    </xf>
    <xf numFmtId="0" fontId="39" fillId="11" borderId="13" xfId="0" applyFont="1" applyFill="1" applyBorder="1" applyAlignment="1">
      <alignment horizontal="center" vertical="center" wrapText="1"/>
    </xf>
    <xf numFmtId="0" fontId="58" fillId="24" borderId="9" xfId="0" applyFont="1" applyFill="1" applyBorder="1" applyAlignment="1">
      <alignment horizontal="center" vertical="center" textRotation="90" wrapText="1"/>
    </xf>
    <xf numFmtId="0" fontId="58" fillId="24" borderId="10" xfId="0" applyFont="1" applyFill="1" applyBorder="1" applyAlignment="1">
      <alignment horizontal="center" vertical="center" textRotation="90" wrapText="1"/>
    </xf>
    <xf numFmtId="0" fontId="58" fillId="24" borderId="6" xfId="0" applyFont="1" applyFill="1" applyBorder="1" applyAlignment="1">
      <alignment horizontal="center" vertical="center" textRotation="90" wrapText="1"/>
    </xf>
    <xf numFmtId="0" fontId="21" fillId="0" borderId="1" xfId="0" applyNumberFormat="1" applyFont="1" applyFill="1" applyBorder="1" applyAlignment="1">
      <alignment horizontal="left" vertical="top" wrapText="1"/>
    </xf>
    <xf numFmtId="0" fontId="21" fillId="0" borderId="1" xfId="0" applyNumberFormat="1" applyFont="1" applyFill="1" applyBorder="1" applyAlignment="1">
      <alignment horizontal="left" vertical="center"/>
    </xf>
    <xf numFmtId="0" fontId="22" fillId="7" borderId="1" xfId="0" applyFont="1" applyFill="1" applyBorder="1" applyAlignment="1">
      <alignment horizontal="center" vertical="center" wrapText="1"/>
    </xf>
    <xf numFmtId="0" fontId="22" fillId="7" borderId="20" xfId="0" applyFont="1" applyFill="1" applyBorder="1" applyAlignment="1">
      <alignment horizontal="center" vertical="center" wrapText="1"/>
    </xf>
    <xf numFmtId="17" fontId="22" fillId="7" borderId="1" xfId="0" applyNumberFormat="1" applyFont="1" applyFill="1" applyBorder="1" applyAlignment="1">
      <alignment horizontal="center" vertical="center" wrapText="1"/>
    </xf>
    <xf numFmtId="0" fontId="40" fillId="11" borderId="50" xfId="0" applyFont="1" applyFill="1" applyBorder="1" applyAlignment="1">
      <alignment horizontal="center" vertical="center" textRotation="90" wrapText="1"/>
    </xf>
    <xf numFmtId="0" fontId="40" fillId="11" borderId="51" xfId="0" applyFont="1" applyFill="1" applyBorder="1" applyAlignment="1">
      <alignment horizontal="center" vertical="center" textRotation="90" wrapText="1"/>
    </xf>
    <xf numFmtId="0" fontId="58" fillId="24" borderId="90" xfId="0" applyFont="1" applyFill="1" applyBorder="1" applyAlignment="1">
      <alignment horizontal="center" vertical="center" textRotation="90" wrapText="1"/>
    </xf>
    <xf numFmtId="0" fontId="58" fillId="24" borderId="11" xfId="0" applyFont="1" applyFill="1" applyBorder="1" applyAlignment="1">
      <alignment horizontal="center" vertical="center" textRotation="90" wrapText="1"/>
    </xf>
    <xf numFmtId="0" fontId="58" fillId="24" borderId="93" xfId="0" applyFont="1" applyFill="1" applyBorder="1" applyAlignment="1">
      <alignment horizontal="center" vertical="center" textRotation="90" wrapText="1"/>
    </xf>
    <xf numFmtId="0" fontId="22" fillId="7" borderId="5" xfId="0" applyFont="1" applyFill="1" applyBorder="1" applyAlignment="1">
      <alignment horizontal="center" vertical="center" wrapText="1"/>
    </xf>
    <xf numFmtId="0" fontId="22" fillId="7" borderId="22" xfId="0" applyFont="1" applyFill="1" applyBorder="1" applyAlignment="1">
      <alignment horizontal="center" vertical="center" wrapText="1"/>
    </xf>
    <xf numFmtId="0" fontId="38" fillId="0" borderId="43" xfId="0" applyFont="1" applyBorder="1" applyAlignment="1">
      <alignment horizontal="left" vertical="center" wrapText="1"/>
    </xf>
    <xf numFmtId="0" fontId="39" fillId="11" borderId="112" xfId="0" applyNumberFormat="1" applyFont="1" applyFill="1" applyBorder="1" applyAlignment="1">
      <alignment horizontal="center" vertical="center" wrapText="1"/>
    </xf>
    <xf numFmtId="0" fontId="39" fillId="11" borderId="46" xfId="0" applyNumberFormat="1" applyFont="1" applyFill="1" applyBorder="1" applyAlignment="1">
      <alignment horizontal="center" vertical="center" wrapText="1"/>
    </xf>
    <xf numFmtId="0" fontId="39" fillId="11" borderId="31" xfId="0" applyNumberFormat="1" applyFont="1" applyFill="1" applyBorder="1" applyAlignment="1">
      <alignment horizontal="center" vertical="center" wrapText="1"/>
    </xf>
    <xf numFmtId="0" fontId="39" fillId="11" borderId="111" xfId="0" applyNumberFormat="1" applyFont="1" applyFill="1" applyBorder="1" applyAlignment="1">
      <alignment horizontal="center" vertical="center" wrapText="1"/>
    </xf>
    <xf numFmtId="0" fontId="39" fillId="11" borderId="10" xfId="0" applyNumberFormat="1" applyFont="1" applyFill="1" applyBorder="1" applyAlignment="1">
      <alignment horizontal="center" vertical="center" wrapText="1"/>
    </xf>
    <xf numFmtId="0" fontId="39" fillId="11" borderId="6" xfId="0" applyNumberFormat="1" applyFont="1" applyFill="1" applyBorder="1" applyAlignment="1">
      <alignment horizontal="center" vertical="center" wrapText="1"/>
    </xf>
    <xf numFmtId="0" fontId="40" fillId="11" borderId="19" xfId="0" applyFont="1" applyFill="1" applyBorder="1" applyAlignment="1">
      <alignment horizontal="center" vertical="center"/>
    </xf>
    <xf numFmtId="0" fontId="40" fillId="11" borderId="1" xfId="0" applyFont="1" applyFill="1" applyBorder="1" applyAlignment="1">
      <alignment horizontal="center" vertical="center"/>
    </xf>
    <xf numFmtId="0" fontId="40" fillId="11" borderId="20" xfId="0" applyFont="1" applyFill="1" applyBorder="1" applyAlignment="1">
      <alignment horizontal="center" vertical="center"/>
    </xf>
    <xf numFmtId="0" fontId="40" fillId="11" borderId="16" xfId="0" applyFont="1" applyFill="1" applyBorder="1" applyAlignment="1">
      <alignment horizontal="center" vertical="center"/>
    </xf>
    <xf numFmtId="0" fontId="40" fillId="11" borderId="17" xfId="0" applyFont="1" applyFill="1" applyBorder="1" applyAlignment="1">
      <alignment horizontal="center" vertical="center"/>
    </xf>
    <xf numFmtId="0" fontId="40" fillId="11" borderId="18" xfId="0" applyFont="1" applyFill="1" applyBorder="1" applyAlignment="1">
      <alignment horizontal="center" vertical="center"/>
    </xf>
    <xf numFmtId="0" fontId="39" fillId="11" borderId="109" xfId="0" applyNumberFormat="1" applyFont="1" applyFill="1" applyBorder="1" applyAlignment="1">
      <alignment horizontal="center" vertical="center" wrapText="1"/>
    </xf>
    <xf numFmtId="0" fontId="39" fillId="11" borderId="110" xfId="0" applyNumberFormat="1" applyFont="1" applyFill="1" applyBorder="1" applyAlignment="1">
      <alignment horizontal="center" vertical="center" wrapText="1"/>
    </xf>
    <xf numFmtId="0" fontId="39" fillId="11" borderId="51" xfId="0" applyNumberFormat="1" applyFont="1" applyFill="1" applyBorder="1" applyAlignment="1">
      <alignment horizontal="center" vertical="center" wrapText="1"/>
    </xf>
    <xf numFmtId="0" fontId="40" fillId="11" borderId="16" xfId="0" applyFont="1" applyFill="1" applyBorder="1" applyAlignment="1">
      <alignment horizontal="center" vertical="center" wrapText="1"/>
    </xf>
    <xf numFmtId="0" fontId="40" fillId="11" borderId="17" xfId="0" applyFont="1" applyFill="1" applyBorder="1" applyAlignment="1">
      <alignment horizontal="center" vertical="center" wrapText="1"/>
    </xf>
    <xf numFmtId="0" fontId="40" fillId="11" borderId="91" xfId="0" applyFont="1" applyFill="1" applyBorder="1" applyAlignment="1">
      <alignment horizontal="center" vertical="center" wrapText="1"/>
    </xf>
    <xf numFmtId="0" fontId="40" fillId="11" borderId="33" xfId="0" applyFont="1" applyFill="1" applyBorder="1" applyAlignment="1">
      <alignment horizontal="center" vertical="center" textRotation="90" wrapText="1"/>
    </xf>
    <xf numFmtId="0" fontId="40" fillId="11" borderId="31" xfId="0" applyFont="1" applyFill="1" applyBorder="1" applyAlignment="1">
      <alignment horizontal="center" vertical="center" textRotation="90" wrapText="1"/>
    </xf>
    <xf numFmtId="0" fontId="70" fillId="24" borderId="2" xfId="0" applyNumberFormat="1" applyFont="1" applyFill="1" applyBorder="1" applyAlignment="1">
      <alignment horizontal="center" vertical="top" wrapText="1"/>
    </xf>
    <xf numFmtId="0" fontId="70" fillId="24" borderId="37" xfId="0" applyNumberFormat="1" applyFont="1" applyFill="1" applyBorder="1" applyAlignment="1">
      <alignment horizontal="center" vertical="top" wrapText="1"/>
    </xf>
    <xf numFmtId="0" fontId="70" fillId="24" borderId="38" xfId="0" applyNumberFormat="1" applyFont="1" applyFill="1" applyBorder="1" applyAlignment="1">
      <alignment horizontal="center" vertical="top" wrapText="1"/>
    </xf>
  </cellXfs>
  <cellStyles count="19">
    <cellStyle name="BodyStyle" xfId="16"/>
    <cellStyle name="Currency" xfId="17"/>
    <cellStyle name="Énfasis1 2" xfId="11"/>
    <cellStyle name="Énfasis2 2" xfId="12"/>
    <cellStyle name="HeaderStyle" xfId="15"/>
    <cellStyle name="Hipervínculo" xfId="5" builtinId="8"/>
    <cellStyle name="Hipervínculo 2" xfId="6"/>
    <cellStyle name="Incorrecto 2" xfId="13"/>
    <cellStyle name="Millares" xfId="1" builtinId="3"/>
    <cellStyle name="Millares [0]" xfId="18" builtinId="6"/>
    <cellStyle name="Moneda 2" xfId="7"/>
    <cellStyle name="Moneda 3" xfId="8"/>
    <cellStyle name="Normal" xfId="0" builtinId="0"/>
    <cellStyle name="Normal 2" xfId="9"/>
    <cellStyle name="Normal 2 2" xfId="4"/>
    <cellStyle name="Normal 3" xfId="3"/>
    <cellStyle name="Normal 4" xfId="14"/>
    <cellStyle name="Normal 7" xfId="10"/>
    <cellStyle name="Porcentaje" xfId="2" builtinId="5"/>
  </cellStyles>
  <dxfs count="174">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top style="thin">
          <color auto="1"/>
        </top>
        <bottom/>
      </border>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border diagonalUp="0" diagonalDown="0" outline="0">
        <left/>
        <right style="thin">
          <color auto="1"/>
        </right>
        <top style="thin">
          <color auto="1"/>
        </top>
        <bottom/>
      </border>
    </dxf>
    <dxf>
      <font>
        <strike val="0"/>
        <outline val="0"/>
        <shadow val="0"/>
        <u val="none"/>
        <vertAlign val="baseline"/>
        <color auto="1"/>
        <name val="Century Gothic"/>
        <scheme val="none"/>
      </font>
      <fill>
        <patternFill patternType="none">
          <fgColor indexed="64"/>
          <bgColor auto="1"/>
        </patternFill>
      </fill>
      <border diagonalUp="0" diagonalDown="0">
        <left/>
        <right style="thin">
          <color auto="1"/>
        </right>
        <top style="thin">
          <color auto="1"/>
        </top>
        <bottom style="thin">
          <color auto="1"/>
        </bottom>
        <vertical style="thin">
          <color auto="1"/>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dxf>
    <dxf>
      <border outline="0">
        <bottom style="thin">
          <color auto="1"/>
        </bottom>
      </border>
    </dxf>
    <dxf>
      <font>
        <strike val="0"/>
        <outline val="0"/>
        <shadow val="0"/>
        <u val="none"/>
        <vertAlign val="baseline"/>
        <sz val="11"/>
        <color theme="1"/>
        <name val="Century Gothic"/>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name val="Century Gothic"/>
        <scheme val="none"/>
      </font>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C000"/>
        </patternFill>
      </fill>
    </dxf>
    <dxf>
      <fill>
        <patternFill>
          <bgColor rgb="FF92D050"/>
        </patternFill>
      </fill>
    </dxf>
    <dxf>
      <fill>
        <patternFill>
          <bgColor theme="1" tint="0.14996795556505021"/>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s>
  <tableStyles count="0" defaultTableStyle="TableStyleMedium2" defaultPivotStyle="PivotStyleLight16"/>
  <colors>
    <mruColors>
      <color rgb="FF99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ANALISIS OCI'!A1"/><Relationship Id="rId7" Type="http://schemas.openxmlformats.org/officeDocument/2006/relationships/hyperlink" Target="#'CONOCIMIENTO ENT'!A1"/><Relationship Id="rId2" Type="http://schemas.openxmlformats.org/officeDocument/2006/relationships/image" Target="../media/image1.jpeg"/><Relationship Id="rId1" Type="http://schemas.openxmlformats.org/officeDocument/2006/relationships/hyperlink" Target="#'PRIORIZACI&#211;N (2)'!A1"/><Relationship Id="rId6" Type="http://schemas.openxmlformats.org/officeDocument/2006/relationships/hyperlink" Target="#GLOSARIO!A1"/><Relationship Id="rId5" Type="http://schemas.openxmlformats.org/officeDocument/2006/relationships/hyperlink" Target="#'PAA OCI  '!A1"/><Relationship Id="rId4"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3" Type="http://schemas.openxmlformats.org/officeDocument/2006/relationships/hyperlink" Target="#'MIPPA 2'!A1"/><Relationship Id="rId2" Type="http://schemas.openxmlformats.org/officeDocument/2006/relationships/hyperlink" Target="#'MENU CAJA DE HERRAMIENTAS'!A1"/><Relationship Id="rId1" Type="http://schemas.openxmlformats.org/officeDocument/2006/relationships/image" Target="../media/image4.gif"/><Relationship Id="rId5" Type="http://schemas.openxmlformats.org/officeDocument/2006/relationships/image" Target="../media/image11.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1. Horas requeridas PAAI'!A1"/></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MENU CAJA DE HERRAMIENTAS'!A1"/><Relationship Id="rId1" Type="http://schemas.openxmlformats.org/officeDocument/2006/relationships/image" Target="../media/image4.gif"/></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8.gif"/></Relationships>
</file>

<file path=xl/drawings/_rels/drawing14.xml.rels><?xml version="1.0" encoding="UTF-8" standalone="yes"?>
<Relationships xmlns="http://schemas.openxmlformats.org/package/2006/relationships"><Relationship Id="rId3" Type="http://schemas.openxmlformats.org/officeDocument/2006/relationships/hyperlink" Target="#'MIPPA 1.1'!A1"/><Relationship Id="rId2" Type="http://schemas.openxmlformats.org/officeDocument/2006/relationships/image" Target="../media/image4.gif"/><Relationship Id="rId1" Type="http://schemas.openxmlformats.org/officeDocument/2006/relationships/hyperlink" Target="#'MENU CAJA DE HERRAMIENTAS'!A1"/><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hyperlink" Target="#'MENU CAJA DE HERRAMIENTAS'!A1"/></Relationships>
</file>

<file path=xl/drawings/_rels/drawing5.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CONOCIMIENTO ENT'!A1"/></Relationships>
</file>

<file path=xl/drawings/_rels/drawing6.xml.rels><?xml version="1.0" encoding="UTF-8" standalone="yes"?>
<Relationships xmlns="http://schemas.openxmlformats.org/package/2006/relationships"><Relationship Id="rId3" Type="http://schemas.openxmlformats.org/officeDocument/2006/relationships/hyperlink" Target="#'MENU CAJA DE HERRAMIENTAS'!A1"/><Relationship Id="rId2" Type="http://schemas.openxmlformats.org/officeDocument/2006/relationships/image" Target="../media/image6.png"/><Relationship Id="rId1" Type="http://schemas.openxmlformats.org/officeDocument/2006/relationships/hyperlink" Target="#'MIPPA 1'!A1"/><Relationship Id="rId5" Type="http://schemas.openxmlformats.org/officeDocument/2006/relationships/image" Target="../media/image7.png"/><Relationship Id="rId4" Type="http://schemas.openxmlformats.org/officeDocument/2006/relationships/image" Target="../media/image4.gif"/></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IPPA 1.1'!A1"/><Relationship Id="rId1" Type="http://schemas.openxmlformats.org/officeDocument/2006/relationships/image" Target="../media/image8.gif"/><Relationship Id="rId6" Type="http://schemas.openxmlformats.org/officeDocument/2006/relationships/image" Target="../media/image7.png"/><Relationship Id="rId5" Type="http://schemas.openxmlformats.org/officeDocument/2006/relationships/image" Target="../media/image9.png"/><Relationship Id="rId4" Type="http://schemas.openxmlformats.org/officeDocument/2006/relationships/hyperlink" Target="#'MENU CAJA DE HERRAMIENTAS'!A1"/></Relationships>
</file>

<file path=xl/drawings/_rels/drawing8.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PRIORIZACI&#211;N (2)'!A1"/></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MENU CAJA DE HERRAMIENTAS'!A1"/><Relationship Id="rId1" Type="http://schemas.openxmlformats.org/officeDocument/2006/relationships/image" Target="../media/image8.gif"/><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xdr:col>
      <xdr:colOff>171452</xdr:colOff>
      <xdr:row>8</xdr:row>
      <xdr:rowOff>57151</xdr:rowOff>
    </xdr:from>
    <xdr:to>
      <xdr:col>2</xdr:col>
      <xdr:colOff>657226</xdr:colOff>
      <xdr:row>10</xdr:row>
      <xdr:rowOff>123825</xdr:rowOff>
    </xdr:to>
    <xdr:pic>
      <xdr:nvPicPr>
        <xdr:cNvPr id="3" name="2 Imagen" descr="Resultado de imagen para flecha redonda">
          <a:hlinkClick xmlns:r="http://schemas.openxmlformats.org/officeDocument/2006/relationships" r:id="rId1"/>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452" y="42862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180977</xdr:colOff>
      <xdr:row>11</xdr:row>
      <xdr:rowOff>76200</xdr:rowOff>
    </xdr:from>
    <xdr:ext cx="485774" cy="485774"/>
    <xdr:pic>
      <xdr:nvPicPr>
        <xdr:cNvPr id="4" name="3 Imagen" descr="Resultado de imagen para flecha redonda">
          <a:hlinkClick xmlns:r="http://schemas.openxmlformats.org/officeDocument/2006/relationships" r:id="rId3"/>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04977" y="6572250"/>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171452</xdr:colOff>
      <xdr:row>14</xdr:row>
      <xdr:rowOff>57151</xdr:rowOff>
    </xdr:from>
    <xdr:ext cx="485774" cy="485774"/>
    <xdr:pic>
      <xdr:nvPicPr>
        <xdr:cNvPr id="6" name="5 Imagen" descr="Resultado de imagen para flecha redonda">
          <a:hlinkClick xmlns:r="http://schemas.openxmlformats.org/officeDocument/2006/relationships" r:id="rId5"/>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95452" y="40957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152400</xdr:colOff>
      <xdr:row>6</xdr:row>
      <xdr:rowOff>57150</xdr:rowOff>
    </xdr:from>
    <xdr:to>
      <xdr:col>2</xdr:col>
      <xdr:colOff>638174</xdr:colOff>
      <xdr:row>6</xdr:row>
      <xdr:rowOff>542924</xdr:rowOff>
    </xdr:to>
    <xdr:pic>
      <xdr:nvPicPr>
        <xdr:cNvPr id="7" name="6 Imagen" descr="Resultado de imagen para flecha redonda">
          <a:hlinkClick xmlns:r="http://schemas.openxmlformats.org/officeDocument/2006/relationships" r:id="rId6"/>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76400" y="536257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7</xdr:row>
      <xdr:rowOff>38100</xdr:rowOff>
    </xdr:from>
    <xdr:to>
      <xdr:col>2</xdr:col>
      <xdr:colOff>628649</xdr:colOff>
      <xdr:row>7</xdr:row>
      <xdr:rowOff>523874</xdr:rowOff>
    </xdr:to>
    <xdr:pic>
      <xdr:nvPicPr>
        <xdr:cNvPr id="8" name="7 Imagen" descr="Resultado de imagen para flecha redonda">
          <a:hlinkClick xmlns:r="http://schemas.openxmlformats.org/officeDocument/2006/relationships" r:id="rId7"/>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66875" y="591502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1</xdr:colOff>
      <xdr:row>1</xdr:row>
      <xdr:rowOff>19049</xdr:rowOff>
    </xdr:to>
    <xdr:pic>
      <xdr:nvPicPr>
        <xdr:cNvPr id="2" name="1 Imagen" descr="Resultado de imagen para gif home">
          <a:extLst>
            <a:ext uri="{FF2B5EF4-FFF2-40B4-BE49-F238E27FC236}">
              <a16:creationId xmlns:a16="http://schemas.microsoft.com/office/drawing/2014/main" xmlns="" id="{00000000-0008-0000-08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190500</xdr:colOff>
      <xdr:row>0</xdr:row>
      <xdr:rowOff>209550</xdr:rowOff>
    </xdr:from>
    <xdr:to>
      <xdr:col>7</xdr:col>
      <xdr:colOff>714374</xdr:colOff>
      <xdr:row>3</xdr:row>
      <xdr:rowOff>104774</xdr:rowOff>
    </xdr:to>
    <xdr:pic>
      <xdr:nvPicPr>
        <xdr:cNvPr id="3" name="2 Imagen" descr="Resultado de imagen para gif home">
          <a:hlinkClick xmlns:r="http://schemas.openxmlformats.org/officeDocument/2006/relationships" r:id="rId2"/>
          <a:extLst>
            <a:ext uri="{FF2B5EF4-FFF2-40B4-BE49-F238E27FC236}">
              <a16:creationId xmlns:a16="http://schemas.microsoft.com/office/drawing/2014/main" xmlns="" id="{00000000-0008-0000-08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77700" y="20955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108</xdr:row>
      <xdr:rowOff>0</xdr:rowOff>
    </xdr:from>
    <xdr:to>
      <xdr:col>0</xdr:col>
      <xdr:colOff>1447800</xdr:colOff>
      <xdr:row>110</xdr:row>
      <xdr:rowOff>200025</xdr:rowOff>
    </xdr:to>
    <xdr:pic>
      <xdr:nvPicPr>
        <xdr:cNvPr id="4" name="3 Imagen">
          <a:hlinkClick xmlns:r="http://schemas.openxmlformats.org/officeDocument/2006/relationships" r:id="rId3"/>
          <a:extLst>
            <a:ext uri="{FF2B5EF4-FFF2-40B4-BE49-F238E27FC236}">
              <a16:creationId xmlns:a16="http://schemas.microsoft.com/office/drawing/2014/main" xmlns="" id="{00000000-0008-0000-0800-000004000000}"/>
            </a:ext>
          </a:extLst>
        </xdr:cNvPr>
        <xdr:cNvPicPr/>
      </xdr:nvPicPr>
      <xdr:blipFill rotWithShape="1">
        <a:blip xmlns:r="http://schemas.openxmlformats.org/officeDocument/2006/relationships" r:embed="rId4"/>
        <a:srcRect b="49500"/>
        <a:stretch/>
      </xdr:blipFill>
      <xdr:spPr bwMode="auto">
        <a:xfrm>
          <a:off x="0" y="59626500"/>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0</xdr:col>
      <xdr:colOff>0</xdr:colOff>
      <xdr:row>0</xdr:row>
      <xdr:rowOff>9526</xdr:rowOff>
    </xdr:from>
    <xdr:to>
      <xdr:col>1</xdr:col>
      <xdr:colOff>2781300</xdr:colOff>
      <xdr:row>4</xdr:row>
      <xdr:rowOff>24425</xdr:rowOff>
    </xdr:to>
    <xdr:pic>
      <xdr:nvPicPr>
        <xdr:cNvPr id="6" name="Imagen 5">
          <a:extLst>
            <a:ext uri="{FF2B5EF4-FFF2-40B4-BE49-F238E27FC236}">
              <a16:creationId xmlns:a16="http://schemas.microsoft.com/office/drawing/2014/main" xmlns="" id="{8C066355-6AD4-4222-866E-ECC2D256C67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9526"/>
          <a:ext cx="4524375" cy="862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xmlns="" id="{00000000-0008-0000-09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6457</xdr:colOff>
      <xdr:row>0</xdr:row>
      <xdr:rowOff>142874</xdr:rowOff>
    </xdr:to>
    <xdr:pic>
      <xdr:nvPicPr>
        <xdr:cNvPr id="2" name="1 Imagen" descr="Resultado de imagen para gif home">
          <a:extLst>
            <a:ext uri="{FF2B5EF4-FFF2-40B4-BE49-F238E27FC236}">
              <a16:creationId xmlns:a16="http://schemas.microsoft.com/office/drawing/2014/main" xmlns="" id="{00000000-0008-0000-0A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934700" y="114300"/>
          <a:ext cx="1" cy="95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693571</xdr:colOff>
      <xdr:row>0</xdr:row>
      <xdr:rowOff>201408</xdr:rowOff>
    </xdr:from>
    <xdr:to>
      <xdr:col>7</xdr:col>
      <xdr:colOff>1107977</xdr:colOff>
      <xdr:row>0</xdr:row>
      <xdr:rowOff>655821</xdr:rowOff>
    </xdr:to>
    <xdr:pic>
      <xdr:nvPicPr>
        <xdr:cNvPr id="3" name="2 Imagen" descr="Resultado de imagen para gif home">
          <a:hlinkClick xmlns:r="http://schemas.openxmlformats.org/officeDocument/2006/relationships" r:id="rId2"/>
          <a:extLst>
            <a:ext uri="{FF2B5EF4-FFF2-40B4-BE49-F238E27FC236}">
              <a16:creationId xmlns:a16="http://schemas.microsoft.com/office/drawing/2014/main" xmlns="" id="{00000000-0008-0000-0A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53063" y="201408"/>
          <a:ext cx="414406" cy="454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1114425</xdr:colOff>
      <xdr:row>0</xdr:row>
      <xdr:rowOff>885825</xdr:rowOff>
    </xdr:to>
    <xdr:pic>
      <xdr:nvPicPr>
        <xdr:cNvPr id="6" name="Imagen 5">
          <a:extLst>
            <a:ext uri="{FF2B5EF4-FFF2-40B4-BE49-F238E27FC236}">
              <a16:creationId xmlns:a16="http://schemas.microsoft.com/office/drawing/2014/main" xmlns="" id="{3334703D-38CB-4C7B-BBFC-BEC025649C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285750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361950</xdr:colOff>
      <xdr:row>1</xdr:row>
      <xdr:rowOff>47625</xdr:rowOff>
    </xdr:from>
    <xdr:to>
      <xdr:col>16</xdr:col>
      <xdr:colOff>1047750</xdr:colOff>
      <xdr:row>4</xdr:row>
      <xdr:rowOff>161925</xdr:rowOff>
    </xdr:to>
    <xdr:pic>
      <xdr:nvPicPr>
        <xdr:cNvPr id="2" name="Imagen 1" descr="Resultado de imagen para Logo bogota">
          <a:extLst>
            <a:ext uri="{FF2B5EF4-FFF2-40B4-BE49-F238E27FC236}">
              <a16:creationId xmlns:a16="http://schemas.microsoft.com/office/drawing/2014/main" xmlns=""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77975" y="247650"/>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0</xdr:colOff>
      <xdr:row>4</xdr:row>
      <xdr:rowOff>190500</xdr:rowOff>
    </xdr:to>
    <xdr:pic>
      <xdr:nvPicPr>
        <xdr:cNvPr id="3" name="Imagen 2" descr="Logo de la Empresa de Renovación y Desarrollo Urbano - ERU">
          <a:extLst>
            <a:ext uri="{FF2B5EF4-FFF2-40B4-BE49-F238E27FC236}">
              <a16:creationId xmlns:a16="http://schemas.microsoft.com/office/drawing/2014/main" xmlns="" id="{00000000-0008-0000-0C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200025"/>
          <a:ext cx="3248025" cy="762000"/>
        </a:xfrm>
        <a:prstGeom prst="rect">
          <a:avLst/>
        </a:prstGeom>
        <a:solidFill>
          <a:schemeClr val="accent1"/>
        </a:solid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19</xdr:col>
      <xdr:colOff>635000</xdr:colOff>
      <xdr:row>1</xdr:row>
      <xdr:rowOff>170962</xdr:rowOff>
    </xdr:from>
    <xdr:to>
      <xdr:col>21</xdr:col>
      <xdr:colOff>340335</xdr:colOff>
      <xdr:row>3</xdr:row>
      <xdr:rowOff>687509</xdr:rowOff>
    </xdr:to>
    <xdr:pic>
      <xdr:nvPicPr>
        <xdr:cNvPr id="2" name="1 Imagen" descr="Resultado de imagen para gif home">
          <a:hlinkClick xmlns:r="http://schemas.openxmlformats.org/officeDocument/2006/relationships" r:id="rId1"/>
          <a:extLst>
            <a:ext uri="{FF2B5EF4-FFF2-40B4-BE49-F238E27FC236}">
              <a16:creationId xmlns:a16="http://schemas.microsoft.com/office/drawing/2014/main" xmlns="" id="{00000000-0008-0000-0B00-000002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140769" y="757116"/>
          <a:ext cx="1245577" cy="124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512883</xdr:colOff>
      <xdr:row>85</xdr:row>
      <xdr:rowOff>146537</xdr:rowOff>
    </xdr:from>
    <xdr:to>
      <xdr:col>22</xdr:col>
      <xdr:colOff>1632</xdr:colOff>
      <xdr:row>89</xdr:row>
      <xdr:rowOff>134326</xdr:rowOff>
    </xdr:to>
    <xdr:pic>
      <xdr:nvPicPr>
        <xdr:cNvPr id="3" name="2 Imagen">
          <a:hlinkClick xmlns:r="http://schemas.openxmlformats.org/officeDocument/2006/relationships" r:id="rId3"/>
          <a:extLst>
            <a:ext uri="{FF2B5EF4-FFF2-40B4-BE49-F238E27FC236}">
              <a16:creationId xmlns:a16="http://schemas.microsoft.com/office/drawing/2014/main" xmlns="" id="{00000000-0008-0000-0B00-000003000000}"/>
            </a:ext>
          </a:extLst>
        </xdr:cNvPr>
        <xdr:cNvPicPr/>
      </xdr:nvPicPr>
      <xdr:blipFill rotWithShape="1">
        <a:blip xmlns:r="http://schemas.openxmlformats.org/officeDocument/2006/relationships" r:embed="rId4"/>
        <a:srcRect b="49500"/>
        <a:stretch/>
      </xdr:blipFill>
      <xdr:spPr bwMode="auto">
        <a:xfrm>
          <a:off x="30357883" y="56466152"/>
          <a:ext cx="3345963" cy="1416540"/>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0</xdr:col>
      <xdr:colOff>0</xdr:colOff>
      <xdr:row>0</xdr:row>
      <xdr:rowOff>0</xdr:rowOff>
    </xdr:from>
    <xdr:to>
      <xdr:col>1</xdr:col>
      <xdr:colOff>5299808</xdr:colOff>
      <xdr:row>6</xdr:row>
      <xdr:rowOff>24423</xdr:rowOff>
    </xdr:to>
    <xdr:pic>
      <xdr:nvPicPr>
        <xdr:cNvPr id="4" name="Imagen 3" descr="Logo de la Empresa de Renovación y Desarrollo Urbano - ERU">
          <a:extLst>
            <a:ext uri="{FF2B5EF4-FFF2-40B4-BE49-F238E27FC236}">
              <a16:creationId xmlns:a16="http://schemas.microsoft.com/office/drawing/2014/main" xmlns="" id="{00000000-0008-0000-0B00-000004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6061808" cy="2558073"/>
        </a:xfrm>
        <a:prstGeom prst="rect">
          <a:avLst/>
        </a:prstGeom>
        <a:solidFill>
          <a:schemeClr val="accent1"/>
        </a:solid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685800</xdr:colOff>
      <xdr:row>24</xdr:row>
      <xdr:rowOff>71759</xdr:rowOff>
    </xdr:to>
    <xdr:sp macro="" textlink="">
      <xdr:nvSpPr>
        <xdr:cNvPr id="2" name="Título 4">
          <a:extLst>
            <a:ext uri="{FF2B5EF4-FFF2-40B4-BE49-F238E27FC236}">
              <a16:creationId xmlns:a16="http://schemas.microsoft.com/office/drawing/2014/main" xmlns="" id="{767285FF-370A-4934-92CE-CCEC05498DF6}"/>
            </a:ext>
          </a:extLst>
        </xdr:cNvPr>
        <xdr:cNvSpPr>
          <a:spLocks noGrp="1"/>
        </xdr:cNvSpPr>
      </xdr:nvSpPr>
      <xdr:spPr>
        <a:xfrm>
          <a:off x="762000" y="7058025"/>
          <a:ext cx="9144000" cy="833759"/>
        </a:xfrm>
        <a:prstGeom prst="rect">
          <a:avLst/>
        </a:prstGeom>
      </xdr:spPr>
      <xdr:txBody>
        <a:bodyPr vert="horz" wrap="square" lIns="91440" tIns="45720" rIns="91440" bIns="45720" rtlCol="0" anchor="b">
          <a:normAutofit/>
        </a:bodyPr>
        <a:lstStyle>
          <a:lvl1pPr algn="ctr" defTabSz="914400" rtl="0" eaLnBrk="1" latinLnBrk="0" hangingPunct="1">
            <a:lnSpc>
              <a:spcPct val="90000"/>
            </a:lnSpc>
            <a:spcBef>
              <a:spcPct val="0"/>
            </a:spcBef>
            <a:buNone/>
            <a:defRPr sz="6000" b="1" kern="1200">
              <a:solidFill>
                <a:schemeClr val="tx1"/>
              </a:solidFill>
              <a:latin typeface="Arial" panose="020B0604020202020204" pitchFamily="34" charset="0"/>
              <a:ea typeface="+mj-ea"/>
              <a:cs typeface="Arial" panose="020B0604020202020204" pitchFamily="34" charset="0"/>
            </a:defRPr>
          </a:lvl1pPr>
        </a:lstStyle>
        <a:p>
          <a:r>
            <a:rPr lang="es-CO" sz="2800"/>
            <a:t>Indicadores de Gestión Oficina de Control Interno</a:t>
          </a:r>
          <a:endParaRPr lang="es-ES" sz="2800"/>
        </a:p>
      </xdr:txBody>
    </xdr:sp>
    <xdr:clientData/>
  </xdr:twoCellAnchor>
  <xdr:twoCellAnchor>
    <xdr:from>
      <xdr:col>1</xdr:col>
      <xdr:colOff>47625</xdr:colOff>
      <xdr:row>24</xdr:row>
      <xdr:rowOff>104775</xdr:rowOff>
    </xdr:from>
    <xdr:to>
      <xdr:col>7</xdr:col>
      <xdr:colOff>733425</xdr:colOff>
      <xdr:row>38</xdr:row>
      <xdr:rowOff>149145</xdr:rowOff>
    </xdr:to>
    <xdr:sp macro="" textlink="">
      <xdr:nvSpPr>
        <xdr:cNvPr id="3" name="Subtítulo 5">
          <a:extLst>
            <a:ext uri="{FF2B5EF4-FFF2-40B4-BE49-F238E27FC236}">
              <a16:creationId xmlns:a16="http://schemas.microsoft.com/office/drawing/2014/main" xmlns="" id="{2E67FA72-3B04-42EA-B243-232955424E7B}"/>
            </a:ext>
          </a:extLst>
        </xdr:cNvPr>
        <xdr:cNvSpPr>
          <a:spLocks noGrp="1"/>
        </xdr:cNvSpPr>
      </xdr:nvSpPr>
      <xdr:spPr>
        <a:xfrm>
          <a:off x="809625" y="7924800"/>
          <a:ext cx="9144000" cy="2711370"/>
        </a:xfrm>
        <a:prstGeom prst="rect">
          <a:avLst/>
        </a:prstGeom>
      </xdr:spPr>
      <xdr:txBody>
        <a:bodyPr vert="horz" wrap="square" lIns="91440" tIns="45720" rIns="91440" bIns="45720" rtlCol="0">
          <a:norm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Arial" panose="020B0604020202020204" pitchFamily="34" charset="0"/>
              <a:ea typeface="+mn-ea"/>
              <a:cs typeface="Arial" panose="020B0604020202020204" pitchFamily="34" charset="0"/>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Arial" panose="020B0604020202020204" pitchFamily="34" charset="0"/>
              <a:ea typeface="+mn-ea"/>
              <a:cs typeface="Arial" panose="020B0604020202020204" pitchFamily="34" charset="0"/>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Arial" panose="020B0604020202020204" pitchFamily="34" charset="0"/>
              <a:ea typeface="+mn-ea"/>
              <a:cs typeface="Arial" panose="020B0604020202020204" pitchFamily="34" charset="0"/>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Arial" panose="020B0604020202020204" pitchFamily="34" charset="0"/>
              <a:ea typeface="+mn-ea"/>
              <a:cs typeface="Arial" panose="020B0604020202020204" pitchFamily="34" charset="0"/>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Arial" panose="020B0604020202020204" pitchFamily="34" charset="0"/>
              <a:ea typeface="+mn-ea"/>
              <a:cs typeface="Arial" panose="020B0604020202020204" pitchFamily="34" charset="0"/>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CO" sz="1800" b="1" i="0" u="none" strike="noStrike">
              <a:solidFill>
                <a:srgbClr val="000000"/>
              </a:solidFill>
              <a:effectLst/>
              <a:latin typeface="Arial" panose="020B0604020202020204" pitchFamily="34" charset="0"/>
            </a:rPr>
            <a:t>Nombre del Indicador</a:t>
          </a:r>
          <a:r>
            <a:rPr lang="es-CO"/>
            <a:t> </a:t>
          </a:r>
          <a:r>
            <a:rPr lang="es-CO" sz="1800" b="0" i="0" u="none" strike="noStrike">
              <a:solidFill>
                <a:srgbClr val="000000"/>
              </a:solidFill>
              <a:effectLst/>
              <a:latin typeface="Arial" panose="020B0604020202020204" pitchFamily="34" charset="0"/>
            </a:rPr>
            <a:t>Cumplimiento del Plan Anual de Auditorias</a:t>
          </a:r>
          <a:r>
            <a:rPr lang="es-CO"/>
            <a:t> </a:t>
          </a:r>
        </a:p>
        <a:p>
          <a:r>
            <a:rPr lang="es-CO" sz="1800" b="1">
              <a:solidFill>
                <a:srgbClr val="000000"/>
              </a:solidFill>
            </a:rPr>
            <a:t>Porcentaje de ejecución vigencia 2020 del 96 %</a:t>
          </a:r>
        </a:p>
        <a:p>
          <a:endParaRPr lang="es-CO" sz="1800" b="1">
            <a:solidFill>
              <a:srgbClr val="000000"/>
            </a:solidFill>
          </a:endParaRPr>
        </a:p>
        <a:p>
          <a:endParaRPr lang="es-CO" sz="1800" b="1">
            <a:solidFill>
              <a:srgbClr val="000000"/>
            </a:solidFill>
          </a:endParaRPr>
        </a:p>
        <a:p>
          <a:r>
            <a:rPr lang="es-CO" sz="1800" b="1">
              <a:solidFill>
                <a:srgbClr val="000000"/>
              </a:solidFill>
            </a:rPr>
            <a:t>Nombre del Indicador </a:t>
          </a:r>
          <a:r>
            <a:rPr lang="es-CO" sz="1800">
              <a:solidFill>
                <a:srgbClr val="000000"/>
              </a:solidFill>
            </a:rPr>
            <a:t>Efectividad en la presentación de informes de la Oficina de Control Interno </a:t>
          </a:r>
        </a:p>
        <a:p>
          <a:r>
            <a:rPr lang="es-CO" sz="1800" b="1">
              <a:solidFill>
                <a:srgbClr val="000000"/>
              </a:solidFill>
            </a:rPr>
            <a:t>Porcentaje de ejecución vigencia 2020 del 96 %</a:t>
          </a:r>
        </a:p>
        <a:p>
          <a:endParaRPr lang="es-CO" sz="1800">
            <a:solidFill>
              <a:srgbClr val="000000"/>
            </a:solidFill>
          </a:endParaRPr>
        </a:p>
        <a:p>
          <a:endParaRPr lang="es-E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200024</xdr:colOff>
      <xdr:row>35</xdr:row>
      <xdr:rowOff>1916</xdr:rowOff>
    </xdr:to>
    <xdr:pic>
      <xdr:nvPicPr>
        <xdr:cNvPr id="3" name="Imagen 2">
          <a:extLst>
            <a:ext uri="{FF2B5EF4-FFF2-40B4-BE49-F238E27FC236}">
              <a16:creationId xmlns:a16="http://schemas.microsoft.com/office/drawing/2014/main" xmlns="" id="{A669F63B-ECDE-47C5-8CC0-B9A5816156BC}"/>
            </a:ext>
          </a:extLst>
        </xdr:cNvPr>
        <xdr:cNvPicPr>
          <a:picLocks noChangeAspect="1"/>
        </xdr:cNvPicPr>
      </xdr:nvPicPr>
      <xdr:blipFill>
        <a:blip xmlns:r="http://schemas.openxmlformats.org/officeDocument/2006/relationships" r:embed="rId1"/>
        <a:stretch>
          <a:fillRect/>
        </a:stretch>
      </xdr:blipFill>
      <xdr:spPr>
        <a:xfrm>
          <a:off x="0" y="0"/>
          <a:ext cx="12392024" cy="6669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6324600</xdr:colOff>
      <xdr:row>0</xdr:row>
      <xdr:rowOff>38101</xdr:rowOff>
    </xdr:from>
    <xdr:to>
      <xdr:col>1</xdr:col>
      <xdr:colOff>6848474</xdr:colOff>
      <xdr:row>0</xdr:row>
      <xdr:rowOff>561975</xdr:rowOff>
    </xdr:to>
    <xdr:pic>
      <xdr:nvPicPr>
        <xdr:cNvPr id="3" name="2 Imagen" descr="Resultado de imagen para gif home">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10675" y="38101"/>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3" name="2 Imagen" descr="Resultado de imagen para gif flecha volver">
          <a:hlinkClick xmlns:r="http://schemas.openxmlformats.org/officeDocument/2006/relationships" r:id="rId1"/>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41</xdr:row>
      <xdr:rowOff>28575</xdr:rowOff>
    </xdr:from>
    <xdr:to>
      <xdr:col>0</xdr:col>
      <xdr:colOff>1533525</xdr:colOff>
      <xdr:row>44</xdr:row>
      <xdr:rowOff>38100</xdr:rowOff>
    </xdr:to>
    <xdr:pic>
      <xdr:nvPicPr>
        <xdr:cNvPr id="3" name="2 Imagen">
          <a:hlinkClick xmlns:r="http://schemas.openxmlformats.org/officeDocument/2006/relationships" r:id="rId1"/>
          <a:extLst>
            <a:ext uri="{FF2B5EF4-FFF2-40B4-BE49-F238E27FC236}">
              <a16:creationId xmlns:a16="http://schemas.microsoft.com/office/drawing/2014/main" xmlns="" id="{00000000-0008-0000-0200-000003000000}"/>
            </a:ext>
          </a:extLst>
        </xdr:cNvPr>
        <xdr:cNvPicPr/>
      </xdr:nvPicPr>
      <xdr:blipFill rotWithShape="1">
        <a:blip xmlns:r="http://schemas.openxmlformats.org/officeDocument/2006/relationships" r:embed="rId2"/>
        <a:srcRect b="49500"/>
        <a:stretch/>
      </xdr:blipFill>
      <xdr:spPr bwMode="auto">
        <a:xfrm>
          <a:off x="85725" y="18773775"/>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5</xdr:col>
      <xdr:colOff>2476500</xdr:colOff>
      <xdr:row>0</xdr:row>
      <xdr:rowOff>114300</xdr:rowOff>
    </xdr:from>
    <xdr:to>
      <xdr:col>5</xdr:col>
      <xdr:colOff>3000374</xdr:colOff>
      <xdr:row>0</xdr:row>
      <xdr:rowOff>638174</xdr:rowOff>
    </xdr:to>
    <xdr:pic>
      <xdr:nvPicPr>
        <xdr:cNvPr id="4" name="3 Imagen" descr="Resultado de imagen para gif home">
          <a:hlinkClick xmlns:r="http://schemas.openxmlformats.org/officeDocument/2006/relationships" r:id="rId3"/>
          <a:extLst>
            <a:ext uri="{FF2B5EF4-FFF2-40B4-BE49-F238E27FC236}">
              <a16:creationId xmlns:a16="http://schemas.microsoft.com/office/drawing/2014/main" xmlns="" id="{00000000-0008-0000-0200-000004000000}"/>
            </a:ext>
          </a:extLst>
        </xdr:cNvPr>
        <xdr:cNvPicPr>
          <a:picLocks noChangeAspect="1" noChangeArrowheads="1" noCrop="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0</xdr:row>
      <xdr:rowOff>19050</xdr:rowOff>
    </xdr:from>
    <xdr:to>
      <xdr:col>1</xdr:col>
      <xdr:colOff>9525</xdr:colOff>
      <xdr:row>0</xdr:row>
      <xdr:rowOff>904875</xdr:rowOff>
    </xdr:to>
    <xdr:pic>
      <xdr:nvPicPr>
        <xdr:cNvPr id="8" name="Imagen 7" descr="Logo de la Empresa de Renovación y Desarrollo Urbano - ERU">
          <a:extLst>
            <a:ext uri="{FF2B5EF4-FFF2-40B4-BE49-F238E27FC236}">
              <a16:creationId xmlns:a16="http://schemas.microsoft.com/office/drawing/2014/main" xmlns="" id="{00000000-0008-0000-02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525" y="19050"/>
          <a:ext cx="1609725" cy="885825"/>
        </a:xfrm>
        <a:prstGeom prst="rect">
          <a:avLst/>
        </a:prstGeom>
        <a:solidFill>
          <a:schemeClr val="accent1"/>
        </a:solidFill>
      </xdr:spPr>
    </xdr:pic>
    <xdr:clientData/>
  </xdr:twoCellAnchor>
</xdr:wsDr>
</file>

<file path=xl/drawings/drawing7.xml><?xml version="1.0" encoding="utf-8"?>
<xdr:wsDr xmlns:xdr="http://schemas.openxmlformats.org/drawingml/2006/spreadsheetDrawing" xmlns:a="http://schemas.openxmlformats.org/drawingml/2006/main">
  <xdr:oneCellAnchor>
    <xdr:from>
      <xdr:col>19</xdr:col>
      <xdr:colOff>361950</xdr:colOff>
      <xdr:row>1</xdr:row>
      <xdr:rowOff>47625</xdr:rowOff>
    </xdr:from>
    <xdr:ext cx="685800" cy="714375"/>
    <xdr:pic>
      <xdr:nvPicPr>
        <xdr:cNvPr id="2" name="image1.gif">
          <a:extLst>
            <a:ext uri="{FF2B5EF4-FFF2-40B4-BE49-F238E27FC236}">
              <a16:creationId xmlns:a16="http://schemas.microsoft.com/office/drawing/2014/main" xmlns="" id="{00000000-0008-0000-0400-000002000000}"/>
            </a:ext>
          </a:extLst>
        </xdr:cNvPr>
        <xdr:cNvPicPr preferRelativeResize="0"/>
      </xdr:nvPicPr>
      <xdr:blipFill>
        <a:blip xmlns:r="http://schemas.openxmlformats.org/officeDocument/2006/relationships" r:embed="rId1" cstate="print"/>
        <a:stretch>
          <a:fillRect/>
        </a:stretch>
      </xdr:blipFill>
      <xdr:spPr>
        <a:xfrm>
          <a:off x="16383000" y="238125"/>
          <a:ext cx="685800" cy="714375"/>
        </a:xfrm>
        <a:prstGeom prst="rect">
          <a:avLst/>
        </a:prstGeom>
        <a:noFill/>
      </xdr:spPr>
    </xdr:pic>
    <xdr:clientData fLocksWithSheet="0"/>
  </xdr:oneCellAnchor>
  <xdr:twoCellAnchor editAs="oneCell">
    <xdr:from>
      <xdr:col>1</xdr:col>
      <xdr:colOff>57150</xdr:colOff>
      <xdr:row>105</xdr:row>
      <xdr:rowOff>85725</xdr:rowOff>
    </xdr:from>
    <xdr:to>
      <xdr:col>1</xdr:col>
      <xdr:colOff>2085975</xdr:colOff>
      <xdr:row>109</xdr:row>
      <xdr:rowOff>0</xdr:rowOff>
    </xdr:to>
    <xdr:pic>
      <xdr:nvPicPr>
        <xdr:cNvPr id="3" name="2 Imagen">
          <a:hlinkClick xmlns:r="http://schemas.openxmlformats.org/officeDocument/2006/relationships" r:id="rId2"/>
          <a:extLst>
            <a:ext uri="{FF2B5EF4-FFF2-40B4-BE49-F238E27FC236}">
              <a16:creationId xmlns:a16="http://schemas.microsoft.com/office/drawing/2014/main" xmlns="" id="{00000000-0008-0000-0400-000003000000}"/>
            </a:ext>
          </a:extLst>
        </xdr:cNvPr>
        <xdr:cNvPicPr/>
      </xdr:nvPicPr>
      <xdr:blipFill rotWithShape="1">
        <a:blip xmlns:r="http://schemas.openxmlformats.org/officeDocument/2006/relationships" r:embed="rId3"/>
        <a:srcRect b="49500"/>
        <a:stretch/>
      </xdr:blipFill>
      <xdr:spPr bwMode="auto">
        <a:xfrm>
          <a:off x="361950" y="33508950"/>
          <a:ext cx="2028825" cy="67627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16</xdr:col>
      <xdr:colOff>367392</xdr:colOff>
      <xdr:row>1</xdr:row>
      <xdr:rowOff>149678</xdr:rowOff>
    </xdr:from>
    <xdr:to>
      <xdr:col>16</xdr:col>
      <xdr:colOff>891693</xdr:colOff>
      <xdr:row>4</xdr:row>
      <xdr:rowOff>61658</xdr:rowOff>
    </xdr:to>
    <xdr:pic>
      <xdr:nvPicPr>
        <xdr:cNvPr id="4" name="Imagen 3">
          <a:hlinkClick xmlns:r="http://schemas.openxmlformats.org/officeDocument/2006/relationships" r:id="rId4"/>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5"/>
        <a:stretch>
          <a:fillRect/>
        </a:stretch>
      </xdr:blipFill>
      <xdr:spPr>
        <a:xfrm>
          <a:off x="15049499" y="340178"/>
          <a:ext cx="524301" cy="524301"/>
        </a:xfrm>
        <a:prstGeom prst="rect">
          <a:avLst/>
        </a:prstGeom>
      </xdr:spPr>
    </xdr:pic>
    <xdr:clientData/>
  </xdr:twoCellAnchor>
  <xdr:twoCellAnchor editAs="oneCell">
    <xdr:from>
      <xdr:col>1</xdr:col>
      <xdr:colOff>0</xdr:colOff>
      <xdr:row>1</xdr:row>
      <xdr:rowOff>0</xdr:rowOff>
    </xdr:from>
    <xdr:to>
      <xdr:col>2</xdr:col>
      <xdr:colOff>0</xdr:colOff>
      <xdr:row>4</xdr:row>
      <xdr:rowOff>204109</xdr:rowOff>
    </xdr:to>
    <xdr:pic>
      <xdr:nvPicPr>
        <xdr:cNvPr id="5" name="Imagen 4" descr="Logo de la Empresa de Renovación y Desarrollo Urbano - ERU">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99357" y="190500"/>
          <a:ext cx="3252107" cy="816430"/>
        </a:xfrm>
        <a:prstGeom prst="rect">
          <a:avLst/>
        </a:prstGeom>
        <a:solidFill>
          <a:schemeClr val="accent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27</xdr:col>
      <xdr:colOff>201706</xdr:colOff>
      <xdr:row>1</xdr:row>
      <xdr:rowOff>44824</xdr:rowOff>
    </xdr:from>
    <xdr:ext cx="685800" cy="714375"/>
    <xdr:pic>
      <xdr:nvPicPr>
        <xdr:cNvPr id="3" name="image1.gif">
          <a:extLst>
            <a:ext uri="{FF2B5EF4-FFF2-40B4-BE49-F238E27FC236}">
              <a16:creationId xmlns:a16="http://schemas.microsoft.com/office/drawing/2014/main" xmlns="" id="{00000000-0008-0000-0600-000003000000}"/>
            </a:ext>
          </a:extLst>
        </xdr:cNvPr>
        <xdr:cNvPicPr preferRelativeResize="0"/>
      </xdr:nvPicPr>
      <xdr:blipFill>
        <a:blip xmlns:r="http://schemas.openxmlformats.org/officeDocument/2006/relationships" r:embed="rId1" cstate="print"/>
        <a:stretch>
          <a:fillRect/>
        </a:stretch>
      </xdr:blipFill>
      <xdr:spPr>
        <a:xfrm>
          <a:off x="16975231" y="244849"/>
          <a:ext cx="685800" cy="714375"/>
        </a:xfrm>
        <a:prstGeom prst="rect">
          <a:avLst/>
        </a:prstGeom>
        <a:noFill/>
      </xdr:spPr>
    </xdr:pic>
    <xdr:clientData fLocksWithSheet="0"/>
  </xdr:oneCellAnchor>
  <xdr:twoCellAnchor editAs="oneCell">
    <xdr:from>
      <xdr:col>14</xdr:col>
      <xdr:colOff>514350</xdr:colOff>
      <xdr:row>1</xdr:row>
      <xdr:rowOff>104775</xdr:rowOff>
    </xdr:from>
    <xdr:to>
      <xdr:col>14</xdr:col>
      <xdr:colOff>1038651</xdr:colOff>
      <xdr:row>4</xdr:row>
      <xdr:rowOff>57576</xdr:rowOff>
    </xdr:to>
    <xdr:pic>
      <xdr:nvPicPr>
        <xdr:cNvPr id="4" name="Imagen 3">
          <a:hlinkClick xmlns:r="http://schemas.openxmlformats.org/officeDocument/2006/relationships" r:id="rId2"/>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3"/>
        <a:stretch>
          <a:fillRect/>
        </a:stretch>
      </xdr:blipFill>
      <xdr:spPr>
        <a:xfrm>
          <a:off x="15659100" y="304800"/>
          <a:ext cx="524301" cy="524301"/>
        </a:xfrm>
        <a:prstGeom prst="rect">
          <a:avLst/>
        </a:prstGeom>
      </xdr:spPr>
    </xdr:pic>
    <xdr:clientData/>
  </xdr:twoCellAnchor>
  <xdr:twoCellAnchor editAs="oneCell">
    <xdr:from>
      <xdr:col>0</xdr:col>
      <xdr:colOff>0</xdr:colOff>
      <xdr:row>1</xdr:row>
      <xdr:rowOff>0</xdr:rowOff>
    </xdr:from>
    <xdr:to>
      <xdr:col>0</xdr:col>
      <xdr:colOff>2562225</xdr:colOff>
      <xdr:row>4</xdr:row>
      <xdr:rowOff>190500</xdr:rowOff>
    </xdr:to>
    <xdr:pic>
      <xdr:nvPicPr>
        <xdr:cNvPr id="5" name="Imagen 4" descr="Logo de la Empresa de Renovación y Desarrollo Urbano - ERU">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00025"/>
          <a:ext cx="2562225" cy="762000"/>
        </a:xfrm>
        <a:prstGeom prst="rect">
          <a:avLst/>
        </a:prstGeom>
        <a:solidFill>
          <a:schemeClr val="accent1"/>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20de%20Trabajo/Carpetas%20Electr&#243;nicas%20RBIA/Auditor&#237;a%20con%20Base%20en%20Riesgo%20AF%202013/D%20-%20Borrador%20Informe%20Auditor&#237;a%20Actual/RBIA%20Audit%20Opinion%20Matrix%20Auto.FINAL.6.11.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kruiz/Downloads/Hoja%20Recursos%20PA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cores"/>
      <sheetName val="Lookup"/>
      <sheetName val="REFERENCIAS"/>
    </sheetNames>
    <sheetDataSet>
      <sheetData sheetId="0"/>
      <sheetData sheetId="1">
        <row r="2">
          <cell r="B2" t="str">
            <v>L</v>
          </cell>
        </row>
        <row r="3">
          <cell r="B3" t="str">
            <v>M</v>
          </cell>
        </row>
        <row r="4">
          <cell r="B4" t="str">
            <v>H</v>
          </cell>
        </row>
        <row r="5">
          <cell r="B5" t="str">
            <v>N/A</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os calculo recursos"/>
      <sheetName val="1. Horas requeridas PAAI"/>
      <sheetName val="2. Días -horas hábiles x vig"/>
      <sheetName val="3 Horas disponibles E. Auditor"/>
      <sheetName val="4. Resultado"/>
    </sheetNames>
    <sheetDataSet>
      <sheetData sheetId="0"/>
      <sheetData sheetId="1">
        <row r="25">
          <cell r="J25">
            <v>2708</v>
          </cell>
        </row>
      </sheetData>
      <sheetData sheetId="2">
        <row r="21">
          <cell r="D21">
            <v>246</v>
          </cell>
        </row>
      </sheetData>
      <sheetData sheetId="3">
        <row r="11">
          <cell r="O11">
            <v>2670.6</v>
          </cell>
        </row>
      </sheetData>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ose Edwin Lozano" refreshedDate="43852.614646527778" createdVersion="4" refreshedVersion="6" minRefreshableVersion="3" recordCount="87">
  <cacheSource type="worksheet">
    <worksheetSource name="Tabla1"/>
  </cacheSource>
  <cacheFields count="9">
    <cacheField name="No" numFmtId="0">
      <sharedItems containsSemiMixedTypes="0" containsString="0" containsNumber="1" containsInteger="1" minValue="1" maxValue="87"/>
    </cacheField>
    <cacheField name="TIPO DE TRABAJO DE AUDITORÍA " numFmtId="0">
      <sharedItems containsBlank="1" count="4">
        <s v="Informe de Auditoria"/>
        <s v="Informe de Seguimiento"/>
        <s v="Informe de Ley"/>
        <m/>
      </sharedItems>
    </cacheField>
    <cacheField name="Descripción" numFmtId="0">
      <sharedItems containsBlank="1"/>
    </cacheField>
    <cacheField name="Planeacion Auditoria/Solicitud de Informaciòn" numFmtId="0">
      <sharedItems containsString="0" containsBlank="1" containsNumber="1" minValue="0.5" maxValue="64"/>
    </cacheField>
    <cacheField name="Ejecucion  Auditoria/Análisis de informaciòn" numFmtId="0">
      <sharedItems containsString="0" containsBlank="1" containsNumber="1" minValue="0" maxValue="304"/>
    </cacheField>
    <cacheField name="Informe de Auditoria /Seguimiento" numFmtId="0">
      <sharedItems containsBlank="1" containsMixedTypes="1" containsNumber="1" containsInteger="1" minValue="0" maxValue="40"/>
    </cacheField>
    <cacheField name="Total horas por trabajo de auditoría" numFmtId="0">
      <sharedItems containsSemiMixedTypes="0" containsString="0" containsNumber="1" containsInteger="1" minValue="0" maxValue="5408"/>
    </cacheField>
    <cacheField name="# Informes x año" numFmtId="0">
      <sharedItems containsString="0" containsBlank="1" containsNumber="1" containsInteger="1" minValue="1" maxValue="353"/>
    </cacheField>
    <cacheField name="Horas x trabajo de auditoría" numFmtId="0">
      <sharedItems containsSemiMixedTypes="0" containsString="0" containsNumber="1" containsInteger="1" minValue="0" maxValue="1211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
  <r>
    <n v="1"/>
    <x v="0"/>
    <s v="Auditoria Gestión Contractual"/>
    <n v="16"/>
    <n v="280"/>
    <n v="24"/>
    <n v="320"/>
    <n v="1"/>
    <n v="320"/>
  </r>
  <r>
    <n v="2"/>
    <x v="0"/>
    <s v="Auditoria Misional - Predios Administrados por la ERU"/>
    <n v="16"/>
    <n v="272"/>
    <n v="24"/>
    <n v="312"/>
    <n v="1"/>
    <n v="312"/>
  </r>
  <r>
    <n v="3"/>
    <x v="0"/>
    <s v="Auditoria Gestión de TIC"/>
    <n v="8"/>
    <n v="200"/>
    <n v="16"/>
    <n v="224"/>
    <n v="1"/>
    <n v="224"/>
  </r>
  <r>
    <n v="4"/>
    <x v="0"/>
    <s v="Auditoría Proceso Gestión de Grupos de Interés"/>
    <n v="8"/>
    <n v="216"/>
    <n v="16"/>
    <n v="240"/>
    <n v="1"/>
    <n v="240"/>
  </r>
  <r>
    <n v="5"/>
    <x v="0"/>
    <s v="Auditoria a Direccionamiento Estrategico"/>
    <n v="8"/>
    <n v="216"/>
    <n v="16"/>
    <n v="240"/>
    <n v="1"/>
    <n v="240"/>
  </r>
  <r>
    <n v="6"/>
    <x v="0"/>
    <s v="Auditoría Proceso Ejecución de Proyectos de obra"/>
    <n v="16"/>
    <n v="288"/>
    <n v="24"/>
    <n v="328"/>
    <n v="1"/>
    <n v="328"/>
  </r>
  <r>
    <n v="7"/>
    <x v="0"/>
    <s v="Funcionamiento Software que maneja la Empresa"/>
    <n v="8"/>
    <n v="128"/>
    <n v="16"/>
    <n v="152"/>
    <n v="1"/>
    <n v="152"/>
  </r>
  <r>
    <n v="8"/>
    <x v="0"/>
    <s v="Auditoria Proceso Gestión Financiera"/>
    <n v="16"/>
    <n v="304"/>
    <n v="24"/>
    <n v="344"/>
    <n v="1"/>
    <n v="344"/>
  </r>
  <r>
    <n v="9"/>
    <x v="0"/>
    <s v="San Victorino - Plaza de la Hoja"/>
    <n v="16"/>
    <n v="280"/>
    <n v="24"/>
    <n v="320"/>
    <n v="1"/>
    <n v="320"/>
  </r>
  <r>
    <n v="10"/>
    <x v="0"/>
    <s v="Auditoria Misional - Construcción Nueva Sede del SENA"/>
    <n v="16"/>
    <n v="280"/>
    <n v="24"/>
    <n v="320"/>
    <n v="1"/>
    <n v="320"/>
  </r>
  <r>
    <n v="11"/>
    <x v="0"/>
    <s v="Actualización listado de auditores internos y verificar su disponibilidad y compromiso. "/>
    <n v="8"/>
    <n v="0"/>
    <n v="0"/>
    <n v="8"/>
    <n v="1"/>
    <n v="8"/>
  </r>
  <r>
    <n v="12"/>
    <x v="0"/>
    <s v="Preparación y Organización Auditorias de Calidad - Diagnostico a 3 procesos"/>
    <n v="2"/>
    <n v="12"/>
    <n v="2"/>
    <n v="16"/>
    <n v="1"/>
    <n v="16"/>
  </r>
  <r>
    <n v="13"/>
    <x v="0"/>
    <s v="Comunicación del programa de Auditoría  a los responsables de los procesos y Comunicación del programa de Auditoría  a los auditores internos asignados.  "/>
    <n v="0.5"/>
    <n v="0.5"/>
    <n v="0"/>
    <n v="1"/>
    <n v="1"/>
    <n v="1"/>
  </r>
  <r>
    <n v="14"/>
    <x v="0"/>
    <s v="Ejecución Plan Auditorías Calidad"/>
    <n v="12"/>
    <n v="12"/>
    <n v="16"/>
    <n v="40"/>
    <n v="1"/>
    <n v="40"/>
  </r>
  <r>
    <n v="15"/>
    <x v="0"/>
    <s v="Actualización listado de auditores internos y verificar su disponibilidad y compromiso. "/>
    <n v="8"/>
    <n v="0"/>
    <n v="0"/>
    <n v="8"/>
    <n v="1"/>
    <n v="8"/>
  </r>
  <r>
    <n v="16"/>
    <x v="0"/>
    <s v="Preparación y Organización Auditorias de Calidad - Ciclo 2020"/>
    <n v="2"/>
    <n v="12"/>
    <n v="2"/>
    <n v="16"/>
    <n v="1"/>
    <n v="16"/>
  </r>
  <r>
    <n v="17"/>
    <x v="0"/>
    <s v="Comunicación del programa de Auditoría  a los responsables de los procesos y Comunicación del programa de Auditoría  a los auditores internos asignados.  "/>
    <n v="0.5"/>
    <n v="0.5"/>
    <n v="0"/>
    <n v="1"/>
    <n v="1"/>
    <n v="1"/>
  </r>
  <r>
    <n v="18"/>
    <x v="0"/>
    <s v="Ejecución Plan Auditorías Calidad"/>
    <n v="12"/>
    <n v="12"/>
    <n v="16"/>
    <n v="40"/>
    <n v="1"/>
    <n v="40"/>
  </r>
  <r>
    <n v="19"/>
    <x v="1"/>
    <s v="Autoevaluación Proceso Evaluación y Seguimiento: Revisión procedimientos, instructivos, formatos, indicadores y riesgos del proceso ."/>
    <n v="24"/>
    <n v="24"/>
    <n v="8"/>
    <n v="56"/>
    <n v="1"/>
    <n v="56"/>
  </r>
  <r>
    <n v="20"/>
    <x v="1"/>
    <s v="Seguimiento Cajas Menores"/>
    <n v="16"/>
    <n v="16"/>
    <n v="16"/>
    <n v="48"/>
    <n v="4"/>
    <n v="192"/>
  </r>
  <r>
    <n v="21"/>
    <x v="1"/>
    <s v="Comité Autoevaluación Proceso (trimestrales)"/>
    <n v="8"/>
    <n v="8"/>
    <n v="8"/>
    <n v="24"/>
    <n v="1"/>
    <n v="24"/>
  </r>
  <r>
    <n v="22"/>
    <x v="2"/>
    <s v="Seguimiento y Control de Acciones de Plan Anticorrupción y Atención al Ciudadano 2020"/>
    <n v="32"/>
    <n v="40"/>
    <n v="8"/>
    <n v="80"/>
    <n v="3"/>
    <n v="240"/>
  </r>
  <r>
    <n v="23"/>
    <x v="2"/>
    <s v="Segimiento Estrategía Anti-trámite"/>
    <n v="32"/>
    <n v="40"/>
    <n v="8"/>
    <n v="80"/>
    <n v="1"/>
    <n v="80"/>
  </r>
  <r>
    <n v="24"/>
    <x v="2"/>
    <s v="Seguimientos a publicaciones de la Contratación en la Plataforma SECOP"/>
    <n v="32"/>
    <n v="40"/>
    <n v="8"/>
    <n v="80"/>
    <n v="3"/>
    <n v="240"/>
  </r>
  <r>
    <n v="25"/>
    <x v="2"/>
    <s v="Evaluación del Sistema de Control Interno Contable"/>
    <n v="40"/>
    <n v="56"/>
    <n v="12"/>
    <n v="108"/>
    <n v="1"/>
    <n v="108"/>
  </r>
  <r>
    <n v="26"/>
    <x v="2"/>
    <s v="Informe de Evaluación del Sistema de Control Interno."/>
    <n v="32"/>
    <n v="64"/>
    <n v="12"/>
    <n v="108"/>
    <n v="2"/>
    <n v="216"/>
  </r>
  <r>
    <n v="27"/>
    <x v="2"/>
    <s v="Seguimiento Comité de Defensa Judicial, Conciliación y Repetición y SIPROJ"/>
    <n v="28"/>
    <n v="56"/>
    <n v="12"/>
    <n v="96"/>
    <n v="2"/>
    <n v="192"/>
  </r>
  <r>
    <n v="28"/>
    <x v="2"/>
    <s v="Seguimiento a Directrices para Prevenir Conductas Irregulares sobre Incumplimiento de Manuales de Funciones y de Procedimientos y Pérdida de Elementos y Documentos Público. Directiva  003 de 2013"/>
    <n v="24"/>
    <n v="24"/>
    <n v="8"/>
    <n v="56"/>
    <n v="2"/>
    <n v="112"/>
  </r>
  <r>
    <n v="29"/>
    <x v="2"/>
    <s v="Seguimiento CXP "/>
    <n v="24"/>
    <n v="64"/>
    <n v="12"/>
    <n v="100"/>
    <n v="1"/>
    <n v="100"/>
  </r>
  <r>
    <n v="30"/>
    <x v="2"/>
    <s v="Seguimiento a Peticiones, Quejas, Reclamos, Sugerencias y Felicitaciones "/>
    <n v="40"/>
    <n v="56"/>
    <n v="12"/>
    <n v="108"/>
    <n v="2"/>
    <n v="216"/>
  </r>
  <r>
    <n v="31"/>
    <x v="2"/>
    <s v="Seguimiento Comités Institucionales"/>
    <n v="40"/>
    <n v="56"/>
    <n v="12"/>
    <n v="108"/>
    <n v="1"/>
    <n v="108"/>
  </r>
  <r>
    <n v="32"/>
    <x v="2"/>
    <s v="Seguimiento Estado de Cumplimiento Metas Plan de Desarrollo e Indicadores"/>
    <n v="40"/>
    <n v="56"/>
    <n v="12"/>
    <n v="108"/>
    <n v="4"/>
    <n v="432"/>
  </r>
  <r>
    <n v="33"/>
    <x v="2"/>
    <s v="Seguimiento de Acuerdos de Gestión"/>
    <n v="48"/>
    <n v="48"/>
    <n v="12"/>
    <n v="108"/>
    <n v="2"/>
    <n v="216"/>
  </r>
  <r>
    <n v="34"/>
    <x v="2"/>
    <s v="Seguimiento a Verificación, Recomendaciones y Resultados sobre Cumplimiento de normas en materia de Derechos de Autor sobre Software "/>
    <n v="20"/>
    <n v="24"/>
    <n v="16"/>
    <n v="60"/>
    <n v="1"/>
    <n v="60"/>
  </r>
  <r>
    <n v="35"/>
    <x v="2"/>
    <s v="Informe de gestión Integral de la OCI"/>
    <n v="32"/>
    <n v="40"/>
    <n v="8"/>
    <n v="80"/>
    <n v="2"/>
    <n v="160"/>
  </r>
  <r>
    <n v="36"/>
    <x v="2"/>
    <s v="Seguimiento a la Austeridad en el Gasto"/>
    <n v="40"/>
    <n v="40"/>
    <n v="12"/>
    <n v="92"/>
    <n v="4"/>
    <n v="368"/>
  </r>
  <r>
    <n v="37"/>
    <x v="2"/>
    <s v="Evaluación de los Riesgos  de Corrupción"/>
    <n v="48"/>
    <n v="40"/>
    <n v="12"/>
    <n v="100"/>
    <n v="3"/>
    <n v="300"/>
  </r>
  <r>
    <n v="38"/>
    <x v="2"/>
    <s v="Evaluación de los Riesgos  de Gestión"/>
    <n v="24"/>
    <n v="20"/>
    <n v="6"/>
    <n v="50"/>
    <n v="2"/>
    <n v="100"/>
  </r>
  <r>
    <n v="39"/>
    <x v="2"/>
    <s v="Evaluación y Seguimiento Implementación MIPG  7 dimensiones y 17 políticas"/>
    <n v="64"/>
    <n v="40"/>
    <n v="40"/>
    <n v="144"/>
    <n v="1"/>
    <n v="144"/>
  </r>
  <r>
    <n v="40"/>
    <x v="2"/>
    <s v="Seguimiento Informes Gobierno Digital"/>
    <n v="20"/>
    <n v="24"/>
    <n v="16"/>
    <n v="60"/>
    <n v="1"/>
    <n v="60"/>
  </r>
  <r>
    <n v="41"/>
    <x v="2"/>
    <s v="Seguimiento Implementación Ley de Transparencia"/>
    <n v="20"/>
    <n v="24"/>
    <n v="16"/>
    <n v="60"/>
    <n v="1"/>
    <n v="60"/>
  </r>
  <r>
    <n v="42"/>
    <x v="2"/>
    <s v="Seguimiento Comité de Sostenibilidad Contable"/>
    <n v="40"/>
    <n v="56"/>
    <n v="12"/>
    <n v="108"/>
    <n v="1"/>
    <n v="108"/>
  </r>
  <r>
    <n v="43"/>
    <x v="2"/>
    <s v="Seguimiento Código de Integridad"/>
    <n v="32"/>
    <n v="40"/>
    <n v="8"/>
    <n v="80"/>
    <n v="1"/>
    <n v="80"/>
  </r>
  <r>
    <n v="44"/>
    <x v="2"/>
    <s v="Seguimiento Reporte - Índice de Transparencia y Acceso a la Información - ITA."/>
    <n v="32"/>
    <n v="40"/>
    <n v="8"/>
    <n v="80"/>
    <n v="1"/>
    <n v="80"/>
  </r>
  <r>
    <n v="45"/>
    <x v="2"/>
    <s v="Campaña de fomento de Autocontrol"/>
    <n v="40"/>
    <n v="20"/>
    <n v="32"/>
    <n v="92"/>
    <n v="2"/>
    <n v="184"/>
  </r>
  <r>
    <n v="46"/>
    <x v="2"/>
    <s v="Trasmisión Cuenta Mensual Contraloría"/>
    <n v="12"/>
    <n v="8"/>
    <n v="4"/>
    <n v="24"/>
    <n v="12"/>
    <n v="288"/>
  </r>
  <r>
    <n v="47"/>
    <x v="2"/>
    <s v="Trasmisión Cuenta Anual Contraloría"/>
    <n v="40"/>
    <n v="45"/>
    <n v="8"/>
    <n v="93"/>
    <n v="1"/>
    <n v="93"/>
  </r>
  <r>
    <n v="48"/>
    <x v="1"/>
    <s v="Seguimiento Plan de Mejoramiento por Procesos"/>
    <n v="13"/>
    <n v="32"/>
    <n v="2"/>
    <n v="47"/>
    <n v="4"/>
    <n v="188"/>
  </r>
  <r>
    <n v="49"/>
    <x v="1"/>
    <s v="Seguimiento Plan de Mejoramiento Contraloría"/>
    <n v="12"/>
    <n v="8"/>
    <n v="4"/>
    <n v="24"/>
    <n v="12"/>
    <n v="288"/>
  </r>
  <r>
    <n v="50"/>
    <x v="1"/>
    <s v="Reparto, seguimiento, revisión y registro de respuestas a Entes Externos de Control"/>
    <n v="2"/>
    <n v="8"/>
    <n v="6"/>
    <n v="16"/>
    <n v="256"/>
    <n v="4096"/>
  </r>
  <r>
    <n v="51"/>
    <x v="3"/>
    <m/>
    <m/>
    <m/>
    <m/>
    <n v="0"/>
    <m/>
    <n v="0"/>
  </r>
  <r>
    <n v="52"/>
    <x v="3"/>
    <m/>
    <m/>
    <m/>
    <m/>
    <n v="0"/>
    <m/>
    <n v="0"/>
  </r>
  <r>
    <n v="53"/>
    <x v="3"/>
    <m/>
    <m/>
    <m/>
    <m/>
    <n v="0"/>
    <m/>
    <n v="0"/>
  </r>
  <r>
    <n v="54"/>
    <x v="3"/>
    <m/>
    <m/>
    <m/>
    <m/>
    <n v="0"/>
    <m/>
    <n v="0"/>
  </r>
  <r>
    <n v="55"/>
    <x v="3"/>
    <m/>
    <m/>
    <m/>
    <m/>
    <n v="0"/>
    <m/>
    <n v="0"/>
  </r>
  <r>
    <n v="56"/>
    <x v="3"/>
    <m/>
    <m/>
    <m/>
    <m/>
    <n v="0"/>
    <m/>
    <n v="0"/>
  </r>
  <r>
    <n v="57"/>
    <x v="3"/>
    <m/>
    <m/>
    <m/>
    <m/>
    <n v="0"/>
    <m/>
    <n v="0"/>
  </r>
  <r>
    <n v="58"/>
    <x v="3"/>
    <m/>
    <m/>
    <m/>
    <m/>
    <n v="0"/>
    <m/>
    <n v="0"/>
  </r>
  <r>
    <n v="59"/>
    <x v="3"/>
    <m/>
    <m/>
    <m/>
    <m/>
    <n v="0"/>
    <m/>
    <n v="0"/>
  </r>
  <r>
    <n v="60"/>
    <x v="3"/>
    <m/>
    <m/>
    <m/>
    <m/>
    <n v="0"/>
    <m/>
    <n v="0"/>
  </r>
  <r>
    <n v="61"/>
    <x v="3"/>
    <m/>
    <m/>
    <m/>
    <m/>
    <n v="0"/>
    <m/>
    <n v="0"/>
  </r>
  <r>
    <n v="62"/>
    <x v="3"/>
    <m/>
    <m/>
    <m/>
    <m/>
    <n v="0"/>
    <m/>
    <n v="0"/>
  </r>
  <r>
    <n v="63"/>
    <x v="3"/>
    <m/>
    <m/>
    <m/>
    <m/>
    <n v="0"/>
    <m/>
    <n v="0"/>
  </r>
  <r>
    <n v="64"/>
    <x v="3"/>
    <m/>
    <m/>
    <m/>
    <m/>
    <n v="0"/>
    <m/>
    <n v="0"/>
  </r>
  <r>
    <n v="65"/>
    <x v="3"/>
    <m/>
    <m/>
    <m/>
    <m/>
    <n v="0"/>
    <m/>
    <n v="0"/>
  </r>
  <r>
    <n v="66"/>
    <x v="3"/>
    <m/>
    <m/>
    <m/>
    <m/>
    <n v="0"/>
    <m/>
    <n v="0"/>
  </r>
  <r>
    <n v="67"/>
    <x v="3"/>
    <m/>
    <m/>
    <m/>
    <m/>
    <n v="0"/>
    <m/>
    <n v="0"/>
  </r>
  <r>
    <n v="68"/>
    <x v="3"/>
    <m/>
    <m/>
    <m/>
    <m/>
    <n v="0"/>
    <m/>
    <n v="0"/>
  </r>
  <r>
    <n v="69"/>
    <x v="3"/>
    <m/>
    <m/>
    <m/>
    <m/>
    <n v="0"/>
    <m/>
    <n v="0"/>
  </r>
  <r>
    <n v="70"/>
    <x v="3"/>
    <m/>
    <m/>
    <m/>
    <m/>
    <n v="0"/>
    <m/>
    <n v="0"/>
  </r>
  <r>
    <n v="71"/>
    <x v="3"/>
    <m/>
    <m/>
    <m/>
    <m/>
    <n v="0"/>
    <m/>
    <n v="0"/>
  </r>
  <r>
    <n v="72"/>
    <x v="3"/>
    <m/>
    <m/>
    <m/>
    <m/>
    <n v="0"/>
    <m/>
    <n v="0"/>
  </r>
  <r>
    <n v="73"/>
    <x v="3"/>
    <m/>
    <m/>
    <m/>
    <m/>
    <n v="0"/>
    <m/>
    <n v="0"/>
  </r>
  <r>
    <n v="74"/>
    <x v="3"/>
    <m/>
    <m/>
    <m/>
    <m/>
    <n v="0"/>
    <m/>
    <n v="0"/>
  </r>
  <r>
    <n v="75"/>
    <x v="3"/>
    <m/>
    <m/>
    <m/>
    <m/>
    <n v="0"/>
    <m/>
    <n v="0"/>
  </r>
  <r>
    <n v="76"/>
    <x v="3"/>
    <m/>
    <m/>
    <m/>
    <m/>
    <n v="0"/>
    <m/>
    <n v="0"/>
  </r>
  <r>
    <n v="77"/>
    <x v="3"/>
    <m/>
    <m/>
    <m/>
    <m/>
    <n v="0"/>
    <m/>
    <n v="0"/>
  </r>
  <r>
    <n v="78"/>
    <x v="3"/>
    <m/>
    <m/>
    <m/>
    <m/>
    <n v="0"/>
    <m/>
    <n v="0"/>
  </r>
  <r>
    <n v="79"/>
    <x v="3"/>
    <m/>
    <m/>
    <m/>
    <m/>
    <n v="0"/>
    <m/>
    <n v="0"/>
  </r>
  <r>
    <n v="80"/>
    <x v="3"/>
    <m/>
    <m/>
    <m/>
    <m/>
    <n v="0"/>
    <m/>
    <n v="0"/>
  </r>
  <r>
    <n v="81"/>
    <x v="3"/>
    <m/>
    <m/>
    <m/>
    <m/>
    <n v="0"/>
    <m/>
    <n v="0"/>
  </r>
  <r>
    <n v="82"/>
    <x v="3"/>
    <m/>
    <m/>
    <m/>
    <m/>
    <n v="0"/>
    <m/>
    <n v="0"/>
  </r>
  <r>
    <n v="83"/>
    <x v="3"/>
    <m/>
    <m/>
    <m/>
    <m/>
    <n v="0"/>
    <m/>
    <n v="0"/>
  </r>
  <r>
    <n v="84"/>
    <x v="3"/>
    <m/>
    <m/>
    <m/>
    <m/>
    <n v="0"/>
    <m/>
    <n v="0"/>
  </r>
  <r>
    <n v="85"/>
    <x v="3"/>
    <m/>
    <m/>
    <m/>
    <m/>
    <n v="0"/>
    <m/>
    <n v="0"/>
  </r>
  <r>
    <n v="86"/>
    <x v="3"/>
    <m/>
    <m/>
    <m/>
    <m/>
    <n v="0"/>
    <m/>
    <n v="0"/>
  </r>
  <r>
    <n v="87"/>
    <x v="3"/>
    <m/>
    <m/>
    <m/>
    <s v="TOTALES"/>
    <n v="5408"/>
    <n v="353"/>
    <n v="1211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2" applyNumberFormats="0" applyBorderFormats="0" applyFontFormats="0" applyPatternFormats="0" applyAlignmentFormats="0" applyWidthHeightFormats="1" dataCaption="Valores" updatedVersion="6" minRefreshableVersion="3" useAutoFormatting="1" itemPrintTitles="1" createdVersion="4" indent="0" outline="1" outlineData="1" multipleFieldFilters="0">
  <location ref="A101:C106" firstHeaderRow="0" firstDataRow="1" firstDataCol="1"/>
  <pivotFields count="9">
    <pivotField showAll="0"/>
    <pivotField axis="axisRow" showAll="0">
      <items count="5">
        <item x="0"/>
        <item x="2"/>
        <item x="1"/>
        <item x="3"/>
        <item t="default"/>
      </items>
    </pivotField>
    <pivotField showAll="0"/>
    <pivotField showAll="0"/>
    <pivotField showAll="0"/>
    <pivotField showAll="0"/>
    <pivotField dataField="1" showAll="0"/>
    <pivotField dataField="1" showAll="0"/>
    <pivotField showAll="0"/>
  </pivotFields>
  <rowFields count="1">
    <field x="1"/>
  </rowFields>
  <rowItems count="5">
    <i>
      <x/>
    </i>
    <i>
      <x v="1"/>
    </i>
    <i>
      <x v="2"/>
    </i>
    <i>
      <x v="3"/>
    </i>
    <i t="grand">
      <x/>
    </i>
  </rowItems>
  <colFields count="1">
    <field x="-2"/>
  </colFields>
  <colItems count="2">
    <i>
      <x/>
    </i>
    <i i="1">
      <x v="1"/>
    </i>
  </colItems>
  <dataFields count="2">
    <dataField name="Suma de Total horas por trabajo de auditoría" fld="6" baseField="1" baseItem="2"/>
    <dataField name="Cuenta de # Informes x año" fld="7" subtotal="count" baseField="0" baseItem="0"/>
  </dataFields>
  <formats count="1">
    <format dxfId="47">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2" name="Tabla1" displayName="Tabla1" ref="A12:I96" totalsRowCount="1" headerRowDxfId="46" dataDxfId="44" headerRowBorderDxfId="45" tableBorderDxfId="43" totalsRowBorderDxfId="42">
  <tableColumns count="9">
    <tableColumn id="1" name="No" dataDxfId="41" totalsRowDxfId="40"/>
    <tableColumn id="2" name="TIPO DE TRABAJO DE AUDITORÍA " dataDxfId="39" totalsRowDxfId="38"/>
    <tableColumn id="3" name="Descripción" dataDxfId="37" totalsRowDxfId="36"/>
    <tableColumn id="4" name="Planeacion Auditoria/Solicitud de Informaciòn" dataDxfId="35" totalsRowDxfId="34"/>
    <tableColumn id="5" name="Ejecucion  Auditoria/Análisis de informaciòn" dataDxfId="33" totalsRowDxfId="32">
      <calculatedColumnFormula>320-Tabla1[[#This Row],[Planeacion Auditoria/Solicitud de Informaciòn]]-Tabla1[[#This Row],[Informe de Auditoria /Seguimiento]]</calculatedColumnFormula>
    </tableColumn>
    <tableColumn id="6" name="Informe de Auditoria /Seguimiento" dataDxfId="31" totalsRowDxfId="30"/>
    <tableColumn id="7" name="Total horas por trabajo de auditoría" dataDxfId="29" totalsRowDxfId="28"/>
    <tableColumn id="8" name="# Informes x año" dataDxfId="27" totalsRowDxfId="26"/>
    <tableColumn id="9" name="Horas x trabajo de auditoría" dataDxfId="25" totalsRowDxfId="24">
      <calculatedColumnFormula>+G13*H13</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colombia.workingdays.org/"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ivotTable" Target="../pivotTables/pivotTable1.xml"/><Relationship Id="rId5" Type="http://schemas.openxmlformats.org/officeDocument/2006/relationships/comments" Target="../comments2.xml"/><Relationship Id="rId4" Type="http://schemas.openxmlformats.org/officeDocument/2006/relationships/table" Target="../tables/table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0.bin"/><Relationship Id="rId1" Type="http://schemas.openxmlformats.org/officeDocument/2006/relationships/hyperlink" Target="http://colombia.workingdays.org/"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mailto:jvillalbam@eru.gov.co" TargetMode="External"/><Relationship Id="rId2" Type="http://schemas.openxmlformats.org/officeDocument/2006/relationships/hyperlink" Target="mailto:jvillalbam@eru.gov.co" TargetMode="External"/><Relationship Id="rId1" Type="http://schemas.openxmlformats.org/officeDocument/2006/relationships/hyperlink" Target="mailto:jvillalbam@eru.gov.co" TargetMode="External"/><Relationship Id="rId5" Type="http://schemas.openxmlformats.org/officeDocument/2006/relationships/printerSettings" Target="../printerSettings/printerSettings11.bin"/><Relationship Id="rId4" Type="http://schemas.openxmlformats.org/officeDocument/2006/relationships/hyperlink" Target="mailto:jvillalbam@eru.gov.co"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www.eru.gov.co/es/node/1877Radicado%20I2021000724%20del%2025%20de%20febrero%20de%20202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http://186.154.195.124/node/2354" TargetMode="External"/><Relationship Id="rId13" Type="http://schemas.openxmlformats.org/officeDocument/2006/relationships/printerSettings" Target="../printerSettings/printerSettings4.bin"/><Relationship Id="rId3" Type="http://schemas.openxmlformats.org/officeDocument/2006/relationships/hyperlink" Target="http://186.154.195.124/mision-y-vision" TargetMode="External"/><Relationship Id="rId7" Type="http://schemas.openxmlformats.org/officeDocument/2006/relationships/hyperlink" Target="http://186.154.195.124/node/2395" TargetMode="External"/><Relationship Id="rId12" Type="http://schemas.openxmlformats.org/officeDocument/2006/relationships/hyperlink" Target="http://www.eru.gov.co/index.php/es/search/content?keys=activos+de+informacion" TargetMode="External"/><Relationship Id="rId2" Type="http://schemas.openxmlformats.org/officeDocument/2006/relationships/hyperlink" Target="http://186.154.195.124/mision-y-vision" TargetMode="External"/><Relationship Id="rId1" Type="http://schemas.openxmlformats.org/officeDocument/2006/relationships/hyperlink" Target="http://186.154.195.124/node/2808" TargetMode="External"/><Relationship Id="rId6" Type="http://schemas.openxmlformats.org/officeDocument/2006/relationships/hyperlink" Target="http://186.154.195.124/search/content?keys=gestion%20documental&amp;page=0" TargetMode="External"/><Relationship Id="rId11" Type="http://schemas.openxmlformats.org/officeDocument/2006/relationships/hyperlink" Target="http://186.154.195.124/search/content?keys=Comit%C3%A9+Institucional+de+Coordinaci%C3%B3n+de+Control+Interno" TargetMode="External"/><Relationship Id="rId5" Type="http://schemas.openxmlformats.org/officeDocument/2006/relationships/hyperlink" Target="http://www.eru.gov.co/es/search/content?keys=politicas+institucionales" TargetMode="External"/><Relationship Id="rId10" Type="http://schemas.openxmlformats.org/officeDocument/2006/relationships/hyperlink" Target="http://www.eru.gov.co/es/node/1759" TargetMode="External"/><Relationship Id="rId4" Type="http://schemas.openxmlformats.org/officeDocument/2006/relationships/hyperlink" Target="http://186.154.195.124/node/2803" TargetMode="External"/><Relationship Id="rId9" Type="http://schemas.openxmlformats.org/officeDocument/2006/relationships/hyperlink" Target="http://186.154.195.124/search/content?keys=MAPA+RIESGOS" TargetMode="External"/><Relationship Id="rId1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N17"/>
  <sheetViews>
    <sheetView workbookViewId="0">
      <selection activeCell="D7" sqref="D7"/>
    </sheetView>
  </sheetViews>
  <sheetFormatPr baseColWidth="10" defaultColWidth="11.42578125" defaultRowHeight="15" x14ac:dyDescent="0.25"/>
  <cols>
    <col min="1" max="16384" width="11.42578125" style="67"/>
  </cols>
  <sheetData>
    <row r="4" spans="3:14" ht="15.75" thickBot="1" x14ac:dyDescent="0.3"/>
    <row r="5" spans="3:14" ht="68.25" customHeight="1" thickBot="1" x14ac:dyDescent="0.3">
      <c r="C5" s="496" t="s">
        <v>28</v>
      </c>
      <c r="D5" s="497"/>
      <c r="E5" s="497"/>
      <c r="F5" s="497"/>
      <c r="G5" s="497"/>
      <c r="H5" s="497"/>
      <c r="I5" s="497"/>
      <c r="J5" s="497"/>
      <c r="K5" s="497"/>
      <c r="L5" s="497"/>
      <c r="M5" s="497"/>
      <c r="N5" s="498"/>
    </row>
    <row r="6" spans="3:14" ht="288.75" customHeight="1" thickBot="1" x14ac:dyDescent="0.3">
      <c r="C6" s="493" t="s">
        <v>34</v>
      </c>
      <c r="D6" s="494"/>
      <c r="E6" s="494"/>
      <c r="F6" s="494"/>
      <c r="G6" s="494"/>
      <c r="H6" s="494"/>
      <c r="I6" s="494"/>
      <c r="J6" s="494"/>
      <c r="K6" s="494"/>
      <c r="L6" s="494"/>
      <c r="M6" s="494"/>
      <c r="N6" s="495"/>
    </row>
    <row r="7" spans="3:14" ht="45" customHeight="1" thickBot="1" x14ac:dyDescent="0.3">
      <c r="C7" s="50"/>
      <c r="D7" s="53" t="s">
        <v>35</v>
      </c>
      <c r="E7" s="51"/>
      <c r="F7" s="51"/>
      <c r="G7" s="51"/>
      <c r="H7" s="51"/>
      <c r="I7" s="51"/>
      <c r="J7" s="51"/>
      <c r="K7" s="51"/>
      <c r="L7" s="51"/>
      <c r="M7" s="51"/>
      <c r="N7" s="52"/>
    </row>
    <row r="8" spans="3:14" ht="45" customHeight="1" x14ac:dyDescent="0.25">
      <c r="C8" s="47"/>
      <c r="D8" s="56" t="s">
        <v>65</v>
      </c>
      <c r="E8" s="48"/>
      <c r="F8" s="48"/>
      <c r="G8" s="48"/>
      <c r="H8" s="48"/>
      <c r="I8" s="48"/>
      <c r="J8" s="48"/>
      <c r="K8" s="48"/>
      <c r="L8" s="48"/>
      <c r="M8" s="48"/>
      <c r="N8" s="49"/>
    </row>
    <row r="9" spans="3:14" x14ac:dyDescent="0.25">
      <c r="C9" s="27"/>
      <c r="D9" s="21"/>
      <c r="E9" s="21"/>
      <c r="F9" s="21"/>
      <c r="G9" s="21"/>
      <c r="H9" s="21"/>
      <c r="I9" s="21"/>
      <c r="J9" s="21"/>
      <c r="K9" s="21"/>
      <c r="L9" s="21"/>
      <c r="M9" s="21"/>
      <c r="N9" s="22"/>
    </row>
    <row r="10" spans="3:14" ht="18" x14ac:dyDescent="0.25">
      <c r="C10" s="20"/>
      <c r="D10" s="28" t="s">
        <v>29</v>
      </c>
      <c r="E10" s="26"/>
      <c r="F10" s="21"/>
      <c r="G10" s="21"/>
      <c r="H10" s="21"/>
      <c r="I10" s="21"/>
      <c r="J10" s="21"/>
      <c r="K10" s="21"/>
      <c r="L10" s="21"/>
      <c r="M10" s="21"/>
      <c r="N10" s="22"/>
    </row>
    <row r="11" spans="3:14" ht="15.75" thickBot="1" x14ac:dyDescent="0.3">
      <c r="C11" s="29"/>
      <c r="D11" s="24"/>
      <c r="E11" s="24"/>
      <c r="F11" s="24"/>
      <c r="G11" s="24"/>
      <c r="H11" s="24"/>
      <c r="I11" s="24"/>
      <c r="J11" s="24"/>
      <c r="K11" s="24"/>
      <c r="L11" s="24"/>
      <c r="M11" s="24"/>
      <c r="N11" s="25"/>
    </row>
    <row r="12" spans="3:14" x14ac:dyDescent="0.25">
      <c r="C12" s="27"/>
      <c r="D12" s="21"/>
      <c r="E12" s="21"/>
      <c r="F12" s="21"/>
      <c r="G12" s="21"/>
      <c r="H12" s="21"/>
      <c r="I12" s="21"/>
      <c r="J12" s="21"/>
      <c r="K12" s="21"/>
      <c r="L12" s="21"/>
      <c r="M12" s="21"/>
      <c r="N12" s="22"/>
    </row>
    <row r="13" spans="3:14" ht="18" x14ac:dyDescent="0.25">
      <c r="C13" s="20"/>
      <c r="D13" s="28" t="s">
        <v>64</v>
      </c>
      <c r="E13" s="26"/>
      <c r="F13" s="21"/>
      <c r="G13" s="21"/>
      <c r="H13" s="21"/>
      <c r="I13" s="21"/>
      <c r="J13" s="21"/>
      <c r="K13" s="21"/>
      <c r="L13" s="21"/>
      <c r="M13" s="21"/>
      <c r="N13" s="22"/>
    </row>
    <row r="14" spans="3:14" ht="15.75" thickBot="1" x14ac:dyDescent="0.3">
      <c r="C14" s="29"/>
      <c r="D14" s="24"/>
      <c r="E14" s="24"/>
      <c r="F14" s="24"/>
      <c r="G14" s="24"/>
      <c r="H14" s="24"/>
      <c r="I14" s="24"/>
      <c r="J14" s="24"/>
      <c r="K14" s="24"/>
      <c r="L14" s="24"/>
      <c r="M14" s="24"/>
      <c r="N14" s="25"/>
    </row>
    <row r="15" spans="3:14" x14ac:dyDescent="0.25">
      <c r="C15" s="27"/>
      <c r="D15" s="21"/>
      <c r="E15" s="21"/>
      <c r="F15" s="21"/>
      <c r="G15" s="21"/>
      <c r="H15" s="21"/>
      <c r="I15" s="21"/>
      <c r="J15" s="21"/>
      <c r="K15" s="21"/>
      <c r="L15" s="21"/>
      <c r="M15" s="21"/>
      <c r="N15" s="22"/>
    </row>
    <row r="16" spans="3:14" ht="18" x14ac:dyDescent="0.25">
      <c r="C16" s="20"/>
      <c r="D16" s="28" t="s">
        <v>30</v>
      </c>
      <c r="E16" s="26"/>
      <c r="F16" s="21"/>
      <c r="G16" s="21"/>
      <c r="H16" s="21"/>
      <c r="I16" s="21"/>
      <c r="J16" s="21"/>
      <c r="K16" s="21"/>
      <c r="L16" s="21"/>
      <c r="M16" s="21"/>
      <c r="N16" s="22"/>
    </row>
    <row r="17" spans="3:14" ht="15.75" thickBot="1" x14ac:dyDescent="0.3">
      <c r="C17" s="29"/>
      <c r="D17" s="24"/>
      <c r="E17" s="24"/>
      <c r="F17" s="24"/>
      <c r="G17" s="24"/>
      <c r="H17" s="24"/>
      <c r="I17" s="24"/>
      <c r="J17" s="24"/>
      <c r="K17" s="24"/>
      <c r="L17" s="24"/>
      <c r="M17" s="24"/>
      <c r="N17" s="25"/>
    </row>
  </sheetData>
  <mergeCells count="2">
    <mergeCell ref="C6:N6"/>
    <mergeCell ref="C5:N5"/>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8"/>
  <sheetViews>
    <sheetView zoomScale="95" zoomScaleNormal="95" workbookViewId="0">
      <selection activeCell="D23" sqref="D23"/>
    </sheetView>
  </sheetViews>
  <sheetFormatPr baseColWidth="10" defaultColWidth="11.42578125" defaultRowHeight="15" x14ac:dyDescent="0.25"/>
  <cols>
    <col min="2" max="2" width="47.140625" customWidth="1"/>
    <col min="3" max="3" width="4.5703125" customWidth="1"/>
    <col min="4" max="4" width="84.85546875" customWidth="1"/>
    <col min="5" max="5" width="45.28515625" customWidth="1"/>
  </cols>
  <sheetData>
    <row r="3" spans="1:5" x14ac:dyDescent="0.25">
      <c r="A3" s="82"/>
      <c r="B3" s="82" t="s">
        <v>135</v>
      </c>
      <c r="C3" s="82"/>
      <c r="D3" s="82" t="s">
        <v>121</v>
      </c>
      <c r="E3" s="82" t="s">
        <v>136</v>
      </c>
    </row>
    <row r="4" spans="1:5" ht="60" customHeight="1" x14ac:dyDescent="0.25">
      <c r="A4" s="597">
        <v>1</v>
      </c>
      <c r="B4" s="600" t="s">
        <v>129</v>
      </c>
      <c r="C4" s="83" t="s">
        <v>137</v>
      </c>
      <c r="D4" s="60" t="s">
        <v>138</v>
      </c>
      <c r="E4" s="84" t="s">
        <v>139</v>
      </c>
    </row>
    <row r="5" spans="1:5" ht="45" customHeight="1" x14ac:dyDescent="0.25">
      <c r="A5" s="598"/>
      <c r="B5" s="601"/>
      <c r="C5" s="83" t="s">
        <v>130</v>
      </c>
      <c r="D5" s="60" t="s">
        <v>110</v>
      </c>
      <c r="E5" s="84" t="s">
        <v>140</v>
      </c>
    </row>
    <row r="6" spans="1:5" ht="33" x14ac:dyDescent="0.25">
      <c r="A6" s="599"/>
      <c r="B6" s="602"/>
      <c r="C6" s="83" t="s">
        <v>131</v>
      </c>
      <c r="D6" s="60" t="s">
        <v>111</v>
      </c>
      <c r="E6" s="84" t="s">
        <v>141</v>
      </c>
    </row>
    <row r="7" spans="1:5" ht="28.5" x14ac:dyDescent="0.25">
      <c r="A7" s="46">
        <v>2</v>
      </c>
      <c r="B7" s="85" t="s">
        <v>142</v>
      </c>
      <c r="C7" s="83" t="s">
        <v>143</v>
      </c>
      <c r="D7" s="60" t="s">
        <v>144</v>
      </c>
      <c r="E7" s="62"/>
    </row>
    <row r="8" spans="1:5" ht="30.75" customHeight="1" x14ac:dyDescent="0.25">
      <c r="A8" s="46"/>
      <c r="B8" s="85"/>
      <c r="C8" s="83"/>
      <c r="D8" s="60" t="s">
        <v>145</v>
      </c>
      <c r="E8" s="86" t="s">
        <v>146</v>
      </c>
    </row>
    <row r="9" spans="1:5" ht="30.75" customHeight="1" x14ac:dyDescent="0.25">
      <c r="A9" s="46"/>
      <c r="B9" s="85"/>
      <c r="C9" s="83"/>
      <c r="D9" s="60" t="s">
        <v>147</v>
      </c>
      <c r="E9" s="87" t="s">
        <v>148</v>
      </c>
    </row>
    <row r="10" spans="1:5" ht="33" x14ac:dyDescent="0.25">
      <c r="A10" s="46">
        <v>3</v>
      </c>
      <c r="B10" s="85" t="s">
        <v>149</v>
      </c>
      <c r="C10" s="83" t="s">
        <v>150</v>
      </c>
      <c r="D10" s="60" t="s">
        <v>151</v>
      </c>
      <c r="E10" s="87" t="s">
        <v>152</v>
      </c>
    </row>
    <row r="11" spans="1:5" ht="33" x14ac:dyDescent="0.3">
      <c r="A11" s="46"/>
      <c r="B11" s="85"/>
      <c r="C11" s="83" t="s">
        <v>153</v>
      </c>
      <c r="D11" s="60" t="s">
        <v>154</v>
      </c>
      <c r="E11" s="59"/>
    </row>
    <row r="12" spans="1:5" ht="33" x14ac:dyDescent="0.3">
      <c r="A12" s="61"/>
      <c r="B12" s="60"/>
      <c r="C12" s="83" t="s">
        <v>155</v>
      </c>
      <c r="D12" s="60" t="s">
        <v>156</v>
      </c>
      <c r="E12" s="59"/>
    </row>
    <row r="13" spans="1:5" ht="33" x14ac:dyDescent="0.3">
      <c r="A13" s="61"/>
      <c r="B13" s="60"/>
      <c r="C13" s="83" t="s">
        <v>157</v>
      </c>
      <c r="D13" s="60" t="s">
        <v>158</v>
      </c>
      <c r="E13" s="59"/>
    </row>
    <row r="14" spans="1:5" ht="33" x14ac:dyDescent="0.3">
      <c r="A14" s="61"/>
      <c r="B14" s="60"/>
      <c r="C14" s="83" t="s">
        <v>159</v>
      </c>
      <c r="D14" s="60" t="s">
        <v>160</v>
      </c>
      <c r="E14" s="59"/>
    </row>
    <row r="15" spans="1:5" ht="33" x14ac:dyDescent="0.3">
      <c r="A15" s="61"/>
      <c r="B15" s="60"/>
      <c r="C15" s="83" t="s">
        <v>161</v>
      </c>
      <c r="D15" s="60" t="s">
        <v>162</v>
      </c>
      <c r="E15" s="59"/>
    </row>
    <row r="16" spans="1:5" ht="33" x14ac:dyDescent="0.3">
      <c r="A16" s="61"/>
      <c r="B16" s="60"/>
      <c r="C16" s="83" t="s">
        <v>163</v>
      </c>
      <c r="D16" s="60" t="s">
        <v>164</v>
      </c>
      <c r="E16" s="59"/>
    </row>
    <row r="17" spans="1:5" ht="16.5" x14ac:dyDescent="0.3">
      <c r="A17" s="61"/>
      <c r="B17" s="60"/>
      <c r="C17" s="83"/>
      <c r="D17" s="88" t="s">
        <v>165</v>
      </c>
      <c r="E17" s="59"/>
    </row>
    <row r="18" spans="1:5" ht="33" x14ac:dyDescent="0.3">
      <c r="A18" s="61"/>
      <c r="B18" s="60"/>
      <c r="C18" s="83" t="s">
        <v>166</v>
      </c>
      <c r="D18" s="60" t="s">
        <v>167</v>
      </c>
      <c r="E18" s="59"/>
    </row>
    <row r="19" spans="1:5" ht="16.5" x14ac:dyDescent="0.3">
      <c r="A19" s="61"/>
      <c r="B19" s="60"/>
      <c r="C19" s="83"/>
      <c r="D19" s="88" t="s">
        <v>168</v>
      </c>
      <c r="E19" s="59"/>
    </row>
    <row r="20" spans="1:5" ht="16.5" x14ac:dyDescent="0.3">
      <c r="A20" s="61"/>
      <c r="B20" s="60"/>
      <c r="C20" s="61"/>
      <c r="D20" s="88" t="s">
        <v>169</v>
      </c>
      <c r="E20" s="89" t="s">
        <v>170</v>
      </c>
    </row>
    <row r="21" spans="1:5" ht="33" x14ac:dyDescent="0.3">
      <c r="A21" s="46">
        <v>4</v>
      </c>
      <c r="B21" s="85" t="s">
        <v>171</v>
      </c>
      <c r="C21" s="83" t="s">
        <v>172</v>
      </c>
      <c r="D21" s="60" t="s">
        <v>173</v>
      </c>
      <c r="E21" s="59"/>
    </row>
    <row r="22" spans="1:5" ht="16.5" x14ac:dyDescent="0.3">
      <c r="A22" s="59"/>
      <c r="B22" s="58"/>
      <c r="C22" s="59"/>
      <c r="D22" s="58"/>
      <c r="E22" s="59"/>
    </row>
    <row r="23" spans="1:5" x14ac:dyDescent="0.25">
      <c r="B23" s="16"/>
      <c r="D23" s="16"/>
    </row>
    <row r="24" spans="1:5" x14ac:dyDescent="0.25">
      <c r="B24" s="16"/>
      <c r="D24" s="16"/>
    </row>
    <row r="25" spans="1:5" x14ac:dyDescent="0.25">
      <c r="B25" s="16"/>
      <c r="D25" s="16"/>
    </row>
    <row r="26" spans="1:5" x14ac:dyDescent="0.25">
      <c r="B26" s="16"/>
      <c r="D26" s="16"/>
    </row>
    <row r="27" spans="1:5" x14ac:dyDescent="0.25">
      <c r="B27" s="16"/>
      <c r="D27" s="16"/>
    </row>
    <row r="28" spans="1:5" x14ac:dyDescent="0.25">
      <c r="B28" s="16"/>
      <c r="D28" s="16"/>
    </row>
  </sheetData>
  <mergeCells count="2">
    <mergeCell ref="A4:A6"/>
    <mergeCell ref="B4:B6"/>
  </mergeCells>
  <hyperlinks>
    <hyperlink ref="E4" location="'1. Horas requeridas PAAI'!A1" display="'1. Horas requeridas PAAI'!A1"/>
    <hyperlink ref="E10" location="'3 Horas disponibles E. Auditor'!A1" display="'3 Horas disponibles E. Auditor'!A1"/>
    <hyperlink ref="E5" location="'1. Horas requeridas PAAI'!A1" display="'1. Horas requeridas PAAI'!A1"/>
    <hyperlink ref="E6" location="'1. Horas requeridas PAAI'!A1" display="'1. Horas requeridas PAAI'!A1"/>
    <hyperlink ref="E9" location="'2. Días -horas hábiles x vig'!A1" display="'2. Días -horas hábiles x vig'!A1"/>
    <hyperlink ref="E8" r:id="rId1"/>
    <hyperlink ref="E20" location="'4. Resultado'!A1" display="'4. Resultado'!A1"/>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25"/>
  <sheetViews>
    <sheetView topLeftCell="C18" workbookViewId="0">
      <selection activeCell="G22" sqref="G22"/>
    </sheetView>
  </sheetViews>
  <sheetFormatPr baseColWidth="10" defaultColWidth="11.42578125" defaultRowHeight="16.5" x14ac:dyDescent="0.3"/>
  <cols>
    <col min="1" max="1" width="26.140625" style="99" customWidth="1"/>
    <col min="2" max="2" width="48.7109375" style="99" customWidth="1"/>
    <col min="3" max="3" width="30.28515625" style="99" customWidth="1"/>
    <col min="4" max="9" width="23.28515625" style="99" customWidth="1"/>
    <col min="10" max="10" width="11" style="99" customWidth="1"/>
    <col min="11" max="11" width="12.5703125" style="99" bestFit="1" customWidth="1"/>
    <col min="12" max="13" width="11.42578125" style="99"/>
    <col min="14" max="14" width="27.5703125" style="99" customWidth="1"/>
    <col min="15" max="16384" width="11.42578125" style="99"/>
  </cols>
  <sheetData>
    <row r="1" spans="1:14" s="26" customFormat="1" ht="15" x14ac:dyDescent="0.25">
      <c r="A1"/>
      <c r="B1" s="606" t="s">
        <v>250</v>
      </c>
      <c r="C1" s="606"/>
      <c r="D1" s="606"/>
      <c r="E1" s="606"/>
      <c r="F1" s="606"/>
      <c r="G1" s="606"/>
      <c r="H1" s="606"/>
      <c r="I1" s="607"/>
      <c r="J1" s="68"/>
      <c r="K1" s="68"/>
      <c r="L1" s="70"/>
      <c r="M1" s="71"/>
    </row>
    <row r="2" spans="1:14" x14ac:dyDescent="0.3">
      <c r="A2" s="101"/>
      <c r="B2" s="102"/>
      <c r="C2" s="102"/>
      <c r="D2" s="102"/>
      <c r="E2" s="102"/>
      <c r="F2" s="102"/>
      <c r="G2" s="102"/>
      <c r="H2" s="102"/>
      <c r="I2" s="103"/>
    </row>
    <row r="3" spans="1:14" x14ac:dyDescent="0.3">
      <c r="A3" s="101" t="s">
        <v>267</v>
      </c>
      <c r="B3" s="102"/>
      <c r="C3" s="102"/>
      <c r="D3" s="102"/>
      <c r="E3" s="102"/>
      <c r="F3" s="102"/>
      <c r="G3" s="102"/>
      <c r="H3" s="102"/>
      <c r="I3" s="103"/>
    </row>
    <row r="4" spans="1:14" ht="18.75" x14ac:dyDescent="0.3">
      <c r="A4" s="178" t="s">
        <v>248</v>
      </c>
      <c r="B4" s="102"/>
      <c r="C4" s="102"/>
      <c r="D4" s="102"/>
      <c r="E4" s="102"/>
      <c r="F4" s="102"/>
      <c r="G4" s="102"/>
      <c r="H4" s="102"/>
      <c r="I4" s="103"/>
    </row>
    <row r="5" spans="1:14" ht="18.75" x14ac:dyDescent="0.3">
      <c r="A5" s="178" t="s">
        <v>247</v>
      </c>
      <c r="B5" s="102"/>
      <c r="C5" s="102"/>
      <c r="D5" s="102"/>
      <c r="E5" s="102"/>
      <c r="F5" s="102"/>
      <c r="G5" s="102"/>
      <c r="H5" s="102"/>
      <c r="I5" s="103"/>
    </row>
    <row r="6" spans="1:14" ht="18.75" x14ac:dyDescent="0.3">
      <c r="A6" s="178" t="s">
        <v>249</v>
      </c>
      <c r="B6" s="102"/>
      <c r="C6" s="102"/>
      <c r="D6" s="102"/>
      <c r="E6" s="102"/>
      <c r="F6" s="102"/>
      <c r="G6" s="102"/>
      <c r="H6" s="102"/>
      <c r="I6" s="103"/>
    </row>
    <row r="7" spans="1:14" ht="18.75" x14ac:dyDescent="0.3">
      <c r="A7" s="177"/>
      <c r="B7" s="102"/>
      <c r="C7" s="102"/>
      <c r="D7" s="102"/>
      <c r="E7" s="102"/>
      <c r="F7" s="102"/>
      <c r="G7" s="102"/>
      <c r="H7" s="102"/>
      <c r="I7" s="103"/>
    </row>
    <row r="8" spans="1:14" x14ac:dyDescent="0.3">
      <c r="A8" s="163"/>
      <c r="B8" s="102"/>
      <c r="C8" s="102"/>
      <c r="D8" s="102"/>
      <c r="E8" s="102"/>
      <c r="F8" s="102"/>
      <c r="G8" s="102"/>
      <c r="H8" s="102"/>
      <c r="I8" s="103"/>
    </row>
    <row r="9" spans="1:14" x14ac:dyDescent="0.3">
      <c r="A9" s="608" t="s">
        <v>248</v>
      </c>
      <c r="B9" s="609"/>
      <c r="C9" s="609"/>
      <c r="D9" s="609"/>
      <c r="E9" s="609"/>
      <c r="F9" s="609"/>
      <c r="G9" s="609"/>
      <c r="H9" s="609"/>
      <c r="I9" s="610"/>
    </row>
    <row r="10" spans="1:14" x14ac:dyDescent="0.3">
      <c r="A10" s="104" t="s">
        <v>112</v>
      </c>
      <c r="B10" s="95" t="s">
        <v>113</v>
      </c>
      <c r="C10" s="95" t="s">
        <v>114</v>
      </c>
      <c r="D10" s="95" t="s">
        <v>115</v>
      </c>
      <c r="E10" s="95" t="s">
        <v>116</v>
      </c>
      <c r="F10" s="95" t="s">
        <v>117</v>
      </c>
      <c r="G10" s="95" t="s">
        <v>118</v>
      </c>
      <c r="H10" s="96" t="s">
        <v>119</v>
      </c>
      <c r="I10" s="105" t="s">
        <v>120</v>
      </c>
    </row>
    <row r="11" spans="1:14" x14ac:dyDescent="0.3">
      <c r="A11" s="104"/>
      <c r="B11" s="95"/>
      <c r="C11" s="95"/>
      <c r="D11" s="603" t="s">
        <v>229</v>
      </c>
      <c r="E11" s="604"/>
      <c r="F11" s="605"/>
      <c r="G11" s="95"/>
      <c r="H11" s="96"/>
      <c r="I11" s="105"/>
    </row>
    <row r="12" spans="1:14" ht="49.5" x14ac:dyDescent="0.3">
      <c r="A12" s="106" t="s">
        <v>12</v>
      </c>
      <c r="B12" s="98" t="s">
        <v>228</v>
      </c>
      <c r="C12" s="97" t="s">
        <v>121</v>
      </c>
      <c r="D12" s="98" t="s">
        <v>122</v>
      </c>
      <c r="E12" s="98" t="s">
        <v>123</v>
      </c>
      <c r="F12" s="98" t="s">
        <v>124</v>
      </c>
      <c r="G12" s="98" t="s">
        <v>232</v>
      </c>
      <c r="H12" s="98" t="s">
        <v>125</v>
      </c>
      <c r="I12" s="107" t="s">
        <v>233</v>
      </c>
      <c r="N12" s="166" t="s">
        <v>256</v>
      </c>
    </row>
    <row r="13" spans="1:14" ht="82.5" x14ac:dyDescent="0.3">
      <c r="A13" s="221">
        <v>1</v>
      </c>
      <c r="B13" s="222" t="s">
        <v>128</v>
      </c>
      <c r="C13" s="303" t="str">
        <f>+'PAA OCI  '!B20</f>
        <v>Factores de Gestión Prioritarias para la Empresa (análisis OCI) y Fortalecimiento Institucional</v>
      </c>
      <c r="D13" s="94">
        <v>16</v>
      </c>
      <c r="E13" s="94">
        <v>320</v>
      </c>
      <c r="F13" s="94">
        <v>24</v>
      </c>
      <c r="G13" s="94">
        <f>SUM(D13:F13)</f>
        <v>360</v>
      </c>
      <c r="H13" s="94">
        <v>1</v>
      </c>
      <c r="I13" s="108">
        <f>+G13*H13</f>
        <v>360</v>
      </c>
      <c r="N13" s="164" t="s">
        <v>126</v>
      </c>
    </row>
    <row r="14" spans="1:14" ht="49.5" x14ac:dyDescent="0.3">
      <c r="A14" s="221">
        <v>2</v>
      </c>
      <c r="B14" s="222" t="s">
        <v>128</v>
      </c>
      <c r="C14" s="303" t="str">
        <f>+'PAA OCI  '!B21</f>
        <v>Auditoria de Fiducias. Alcance por muestra confiable.</v>
      </c>
      <c r="D14" s="94">
        <v>16</v>
      </c>
      <c r="E14" s="94">
        <v>320</v>
      </c>
      <c r="F14" s="94">
        <v>24</v>
      </c>
      <c r="G14" s="94">
        <f>SUM(D14:F14)</f>
        <v>360</v>
      </c>
      <c r="H14" s="94">
        <v>1</v>
      </c>
      <c r="I14" s="108">
        <f t="shared" ref="I14:I24" si="0">+G14*H14</f>
        <v>360</v>
      </c>
      <c r="N14" s="164" t="s">
        <v>127</v>
      </c>
    </row>
    <row r="15" spans="1:14" ht="49.5" x14ac:dyDescent="0.3">
      <c r="A15" s="221">
        <v>3</v>
      </c>
      <c r="B15" s="222" t="s">
        <v>128</v>
      </c>
      <c r="C15" s="303" t="str">
        <f>+'PAA OCI  '!B22</f>
        <v>Auditoria Plan estratégico y gestión Tecnología y Comunicaciones</v>
      </c>
      <c r="D15" s="94">
        <v>16</v>
      </c>
      <c r="E15" s="94">
        <v>320</v>
      </c>
      <c r="F15" s="94">
        <v>24</v>
      </c>
      <c r="G15" s="94">
        <f t="shared" ref="G15:G73" si="1">SUM(D15:F15)</f>
        <v>360</v>
      </c>
      <c r="H15" s="94">
        <v>1</v>
      </c>
      <c r="I15" s="108">
        <f t="shared" si="0"/>
        <v>360</v>
      </c>
      <c r="N15" s="164" t="s">
        <v>128</v>
      </c>
    </row>
    <row r="16" spans="1:14" ht="115.5" x14ac:dyDescent="0.3">
      <c r="A16" s="221">
        <v>4</v>
      </c>
      <c r="B16" s="222" t="s">
        <v>128</v>
      </c>
      <c r="C16" s="303" t="str">
        <f>+'PAA OCI  '!B23</f>
        <v>Proyecto: Formulación, Gestión y Estructuración de Proyectos de Desarrollo, Revitalización o Renovación Urbana. Incluido aspecto contractual</v>
      </c>
      <c r="D16" s="94">
        <v>16</v>
      </c>
      <c r="E16" s="94">
        <v>320</v>
      </c>
      <c r="F16" s="94">
        <v>24</v>
      </c>
      <c r="G16" s="94">
        <f t="shared" si="1"/>
        <v>360</v>
      </c>
      <c r="H16" s="94">
        <v>1</v>
      </c>
      <c r="I16" s="108">
        <f t="shared" si="0"/>
        <v>360</v>
      </c>
      <c r="N16" s="164" t="s">
        <v>257</v>
      </c>
    </row>
    <row r="17" spans="1:14" ht="49.5" x14ac:dyDescent="0.3">
      <c r="A17" s="221">
        <v>5</v>
      </c>
      <c r="B17" s="222" t="s">
        <v>128</v>
      </c>
      <c r="C17" s="303" t="str">
        <f>+'PAA OCI  '!B24</f>
        <v>Auditoria Gestión Social asociada a la Adquisición Predial y grupos de interés</v>
      </c>
      <c r="D17" s="94">
        <v>16</v>
      </c>
      <c r="E17" s="94">
        <v>320</v>
      </c>
      <c r="F17" s="94">
        <v>24</v>
      </c>
      <c r="G17" s="94">
        <f t="shared" si="1"/>
        <v>360</v>
      </c>
      <c r="H17" s="94">
        <v>1</v>
      </c>
      <c r="I17" s="108">
        <f t="shared" si="0"/>
        <v>360</v>
      </c>
      <c r="N17" s="164" t="s">
        <v>258</v>
      </c>
    </row>
    <row r="18" spans="1:14" ht="99" x14ac:dyDescent="0.3">
      <c r="A18" s="221">
        <v>6</v>
      </c>
      <c r="B18" s="222" t="s">
        <v>128</v>
      </c>
      <c r="C18" s="303" t="str">
        <f>+'PAA OCI  '!B25</f>
        <v>Auditoria Proceso Evaluación y seguimiento - Normas Internacionales de Auditoria - Oficina PAD
Auditorias cruzadas OCI - Alcaldia.</v>
      </c>
      <c r="D18" s="94">
        <v>16</v>
      </c>
      <c r="E18" s="94">
        <v>320</v>
      </c>
      <c r="F18" s="94">
        <v>24</v>
      </c>
      <c r="G18" s="94">
        <f t="shared" si="1"/>
        <v>360</v>
      </c>
      <c r="H18" s="94">
        <v>1</v>
      </c>
      <c r="I18" s="108">
        <f t="shared" si="0"/>
        <v>360</v>
      </c>
    </row>
    <row r="19" spans="1:14" ht="82.5" x14ac:dyDescent="0.3">
      <c r="A19" s="221">
        <v>7</v>
      </c>
      <c r="B19" s="222" t="s">
        <v>128</v>
      </c>
      <c r="C19" s="304" t="str">
        <f>+'PAA OCI  '!B27</f>
        <v>Asesoria y seguimiento a la Implementación del Sistema de Gestión de Calidad bajo concepto del estándar NTC ISO 9001:2015</v>
      </c>
      <c r="D19" s="224">
        <v>72</v>
      </c>
      <c r="E19" s="224">
        <v>200</v>
      </c>
      <c r="F19" s="224">
        <v>80</v>
      </c>
      <c r="G19" s="94">
        <f>SUM(D19:F19)</f>
        <v>352</v>
      </c>
      <c r="H19" s="224">
        <v>1</v>
      </c>
      <c r="I19" s="108">
        <f t="shared" si="0"/>
        <v>352</v>
      </c>
    </row>
    <row r="20" spans="1:14" ht="82.5" x14ac:dyDescent="0.3">
      <c r="A20" s="221">
        <v>8</v>
      </c>
      <c r="B20" s="222" t="s">
        <v>128</v>
      </c>
      <c r="C20" s="304" t="str">
        <f>+'PAA OCI  '!B28</f>
        <v>Diagnostico al Sistema de Gestión de la Calidad bajo el concepto del estándar NTC ISO 9001:2015 de la Empresa.</v>
      </c>
      <c r="D20" s="224">
        <v>72</v>
      </c>
      <c r="E20" s="224">
        <v>200</v>
      </c>
      <c r="F20" s="224">
        <v>80</v>
      </c>
      <c r="G20" s="94">
        <f>SUM(D20:F20)</f>
        <v>352</v>
      </c>
      <c r="H20" s="224">
        <v>1</v>
      </c>
      <c r="I20" s="108">
        <f t="shared" si="0"/>
        <v>352</v>
      </c>
    </row>
    <row r="21" spans="1:14" ht="66" x14ac:dyDescent="0.3">
      <c r="A21" s="221">
        <v>9</v>
      </c>
      <c r="B21" s="222" t="s">
        <v>126</v>
      </c>
      <c r="C21" s="305" t="str">
        <f>+'PAA OCI  '!B30</f>
        <v>Seguimiento y Control de Acciones de Plan Anticorrupción y Atención al Ciudadano</v>
      </c>
      <c r="D21" s="309">
        <v>32</v>
      </c>
      <c r="E21" s="309">
        <v>40</v>
      </c>
      <c r="F21" s="309">
        <v>8</v>
      </c>
      <c r="G21" s="94">
        <f t="shared" si="1"/>
        <v>80</v>
      </c>
      <c r="H21" s="224">
        <v>3</v>
      </c>
      <c r="I21" s="108">
        <f t="shared" si="0"/>
        <v>240</v>
      </c>
    </row>
    <row r="22" spans="1:14" ht="33" x14ac:dyDescent="0.3">
      <c r="A22" s="221">
        <v>10</v>
      </c>
      <c r="B22" s="222" t="s">
        <v>126</v>
      </c>
      <c r="C22" s="305" t="str">
        <f>+'PAA OCI  '!B31</f>
        <v>Seguimiento Estrategia Antitrámite</v>
      </c>
      <c r="D22" s="309">
        <f>8*4</f>
        <v>32</v>
      </c>
      <c r="E22" s="309">
        <f>5*8</f>
        <v>40</v>
      </c>
      <c r="F22" s="309">
        <v>8</v>
      </c>
      <c r="G22" s="94">
        <f t="shared" si="1"/>
        <v>80</v>
      </c>
      <c r="H22" s="224">
        <v>1</v>
      </c>
      <c r="I22" s="108">
        <f t="shared" si="0"/>
        <v>80</v>
      </c>
    </row>
    <row r="23" spans="1:14" ht="66" x14ac:dyDescent="0.3">
      <c r="A23" s="221">
        <v>11</v>
      </c>
      <c r="B23" s="222" t="s">
        <v>126</v>
      </c>
      <c r="C23" s="305" t="str">
        <f>+'PAA OCI  '!B32</f>
        <v>Seguimientos a publicaciones de la Contratación en la Plataforma SECOP</v>
      </c>
      <c r="D23" s="309">
        <f>8*4</f>
        <v>32</v>
      </c>
      <c r="E23" s="309">
        <f>5*8</f>
        <v>40</v>
      </c>
      <c r="F23" s="309">
        <v>8</v>
      </c>
      <c r="G23" s="94">
        <f t="shared" si="1"/>
        <v>80</v>
      </c>
      <c r="H23" s="224">
        <v>3</v>
      </c>
      <c r="I23" s="108">
        <f t="shared" si="0"/>
        <v>240</v>
      </c>
    </row>
    <row r="24" spans="1:14" ht="49.5" x14ac:dyDescent="0.3">
      <c r="A24" s="221">
        <v>12</v>
      </c>
      <c r="B24" s="222" t="s">
        <v>126</v>
      </c>
      <c r="C24" s="305" t="str">
        <f>+'PAA OCI  '!B33</f>
        <v>Informe de evaluación del Sistema de Control Interno Contable</v>
      </c>
      <c r="D24" s="309">
        <v>40</v>
      </c>
      <c r="E24" s="309">
        <f>7*8</f>
        <v>56</v>
      </c>
      <c r="F24" s="309">
        <f>1.5*8</f>
        <v>12</v>
      </c>
      <c r="G24" s="94">
        <f t="shared" si="1"/>
        <v>108</v>
      </c>
      <c r="H24" s="224">
        <v>1</v>
      </c>
      <c r="I24" s="108">
        <f t="shared" si="0"/>
        <v>108</v>
      </c>
    </row>
    <row r="25" spans="1:14" ht="66" x14ac:dyDescent="0.3">
      <c r="A25" s="221">
        <v>13</v>
      </c>
      <c r="B25" s="222" t="s">
        <v>126</v>
      </c>
      <c r="C25" s="305" t="str">
        <f>+'PAA OCI  '!B34</f>
        <v>Informe Semestral de Evaluación Independiente del Sistema de Control Interno</v>
      </c>
      <c r="D25" s="309">
        <v>40</v>
      </c>
      <c r="E25" s="309">
        <f>7*8</f>
        <v>56</v>
      </c>
      <c r="F25" s="309">
        <f>1.5*8</f>
        <v>12</v>
      </c>
      <c r="G25" s="94">
        <f t="shared" si="1"/>
        <v>108</v>
      </c>
      <c r="H25" s="224">
        <v>1</v>
      </c>
      <c r="I25" s="165">
        <f>+G25*H25</f>
        <v>108</v>
      </c>
    </row>
    <row r="26" spans="1:14" ht="66" x14ac:dyDescent="0.3">
      <c r="A26" s="221">
        <v>14</v>
      </c>
      <c r="B26" s="222" t="s">
        <v>126</v>
      </c>
      <c r="C26" s="305" t="str">
        <f>+'PAA OCI  '!B35</f>
        <v>Seguimiento Comité de Defensa Judicial, Conciliación y Repetición y SIPROJ</v>
      </c>
      <c r="D26" s="309">
        <f>3.5*8</f>
        <v>28</v>
      </c>
      <c r="E26" s="309">
        <f>7*8</f>
        <v>56</v>
      </c>
      <c r="F26" s="309">
        <f>1.5*8</f>
        <v>12</v>
      </c>
      <c r="G26" s="94">
        <f t="shared" si="1"/>
        <v>96</v>
      </c>
      <c r="H26" s="224">
        <v>2</v>
      </c>
      <c r="I26" s="165">
        <f t="shared" ref="I26:I57" si="2">+G26*H26</f>
        <v>192</v>
      </c>
    </row>
    <row r="27" spans="1:14" ht="148.5" x14ac:dyDescent="0.3">
      <c r="A27" s="221">
        <v>15</v>
      </c>
      <c r="B27" s="222" t="s">
        <v>126</v>
      </c>
      <c r="C27" s="305" t="str">
        <f>+'PAA OCI  '!B36</f>
        <v>Seguimiento a Directrices para Prevenir Conductas Irregulares sobre Incumplimiento de Manuales de Funciones y de Procedimientos y Pérdida de Elementos y Documentos Público. Directiva  003 de 2013</v>
      </c>
      <c r="D27" s="309">
        <v>24</v>
      </c>
      <c r="E27" s="309">
        <v>24</v>
      </c>
      <c r="F27" s="309">
        <v>8</v>
      </c>
      <c r="G27" s="94">
        <f t="shared" si="1"/>
        <v>56</v>
      </c>
      <c r="H27" s="224">
        <v>2</v>
      </c>
      <c r="I27" s="165">
        <f>+G27*H27</f>
        <v>112</v>
      </c>
    </row>
    <row r="28" spans="1:14" ht="66" x14ac:dyDescent="0.3">
      <c r="A28" s="221">
        <v>16</v>
      </c>
      <c r="B28" s="222" t="s">
        <v>126</v>
      </c>
      <c r="C28" s="305" t="str">
        <f>+'PAA OCI  '!B37</f>
        <v xml:space="preserve">Seguimiento a Peticiones, Quejas, Reclamos, Sugerencias y Felicitaciones </v>
      </c>
      <c r="D28" s="309">
        <v>40</v>
      </c>
      <c r="E28" s="309">
        <f>7*8</f>
        <v>56</v>
      </c>
      <c r="F28" s="309">
        <f>1.5*8</f>
        <v>12</v>
      </c>
      <c r="G28" s="94">
        <f t="shared" si="1"/>
        <v>108</v>
      </c>
      <c r="H28" s="224">
        <v>2</v>
      </c>
      <c r="I28" s="165">
        <f t="shared" si="2"/>
        <v>216</v>
      </c>
    </row>
    <row r="29" spans="1:14" ht="33" x14ac:dyDescent="0.3">
      <c r="A29" s="221">
        <v>17</v>
      </c>
      <c r="B29" s="222" t="s">
        <v>126</v>
      </c>
      <c r="C29" s="305" t="str">
        <f>+'PAA OCI  '!B38</f>
        <v>Seguimiento Comités Institucionales</v>
      </c>
      <c r="D29" s="309">
        <v>40</v>
      </c>
      <c r="E29" s="309">
        <f>7*8</f>
        <v>56</v>
      </c>
      <c r="F29" s="309">
        <f>1.5*8</f>
        <v>12</v>
      </c>
      <c r="G29" s="94">
        <f t="shared" si="1"/>
        <v>108</v>
      </c>
      <c r="H29" s="224">
        <v>1</v>
      </c>
      <c r="I29" s="165">
        <f t="shared" si="2"/>
        <v>108</v>
      </c>
    </row>
    <row r="30" spans="1:14" ht="66" x14ac:dyDescent="0.3">
      <c r="A30" s="221">
        <v>18</v>
      </c>
      <c r="B30" s="222" t="s">
        <v>126</v>
      </c>
      <c r="C30" s="305" t="str">
        <f>+'PAA OCI  '!B39</f>
        <v>Seguimiento Estado de Cumplimiento Metas Plan de Desarrollo e Indicadores</v>
      </c>
      <c r="D30" s="309">
        <v>40</v>
      </c>
      <c r="E30" s="309">
        <f>7*8</f>
        <v>56</v>
      </c>
      <c r="F30" s="309">
        <f>1.5*8</f>
        <v>12</v>
      </c>
      <c r="G30" s="94">
        <f t="shared" si="1"/>
        <v>108</v>
      </c>
      <c r="H30" s="224">
        <v>4</v>
      </c>
      <c r="I30" s="165">
        <f t="shared" si="2"/>
        <v>432</v>
      </c>
    </row>
    <row r="31" spans="1:14" ht="33" x14ac:dyDescent="0.3">
      <c r="A31" s="221">
        <v>19</v>
      </c>
      <c r="B31" s="222" t="s">
        <v>126</v>
      </c>
      <c r="C31" s="305" t="str">
        <f>+'PAA OCI  '!B40</f>
        <v>Seguimiento de Acuerdos de Gestión</v>
      </c>
      <c r="D31" s="309">
        <v>48</v>
      </c>
      <c r="E31" s="309">
        <v>48</v>
      </c>
      <c r="F31" s="309">
        <v>12</v>
      </c>
      <c r="G31" s="94">
        <f t="shared" si="1"/>
        <v>108</v>
      </c>
      <c r="H31" s="224">
        <v>2</v>
      </c>
      <c r="I31" s="165">
        <f t="shared" si="2"/>
        <v>216</v>
      </c>
    </row>
    <row r="32" spans="1:14" ht="99" x14ac:dyDescent="0.3">
      <c r="A32" s="221">
        <v>20</v>
      </c>
      <c r="B32" s="222" t="s">
        <v>126</v>
      </c>
      <c r="C32" s="305" t="str">
        <f>+'PAA OCI  '!B41</f>
        <v xml:space="preserve">Seguimiento a Verificación, Recomendaciones y Resultados sobre Cumplimiento de normas en materia de Derechos de Autor sobre Software </v>
      </c>
      <c r="D32" s="309">
        <f>2.5*8</f>
        <v>20</v>
      </c>
      <c r="E32" s="309">
        <f>3*8</f>
        <v>24</v>
      </c>
      <c r="F32" s="309">
        <f>2*8</f>
        <v>16</v>
      </c>
      <c r="G32" s="94">
        <f t="shared" si="1"/>
        <v>60</v>
      </c>
      <c r="H32" s="224">
        <v>1</v>
      </c>
      <c r="I32" s="165">
        <f t="shared" si="2"/>
        <v>60</v>
      </c>
    </row>
    <row r="33" spans="1:9" ht="33" x14ac:dyDescent="0.3">
      <c r="A33" s="221">
        <v>21</v>
      </c>
      <c r="B33" s="222" t="s">
        <v>126</v>
      </c>
      <c r="C33" s="305" t="str">
        <f>+'PAA OCI  '!B42</f>
        <v>Informe Integral de Gestión OCI</v>
      </c>
      <c r="D33" s="309">
        <v>32</v>
      </c>
      <c r="E33" s="309">
        <v>40</v>
      </c>
      <c r="F33" s="309">
        <v>8</v>
      </c>
      <c r="G33" s="94">
        <f t="shared" si="1"/>
        <v>80</v>
      </c>
      <c r="H33" s="224">
        <v>2</v>
      </c>
      <c r="I33" s="165">
        <f t="shared" si="2"/>
        <v>160</v>
      </c>
    </row>
    <row r="34" spans="1:9" ht="33" x14ac:dyDescent="0.3">
      <c r="A34" s="221">
        <v>22</v>
      </c>
      <c r="B34" s="222" t="s">
        <v>126</v>
      </c>
      <c r="C34" s="305" t="str">
        <f>+'PAA OCI  '!B43</f>
        <v>Seguimiento a la Austeridad en el Gasto</v>
      </c>
      <c r="D34" s="309">
        <v>40</v>
      </c>
      <c r="E34" s="309">
        <v>40</v>
      </c>
      <c r="F34" s="309">
        <v>12</v>
      </c>
      <c r="G34" s="94">
        <f t="shared" si="1"/>
        <v>92</v>
      </c>
      <c r="H34" s="224">
        <v>4</v>
      </c>
      <c r="I34" s="165">
        <f t="shared" si="2"/>
        <v>368</v>
      </c>
    </row>
    <row r="35" spans="1:9" ht="33" x14ac:dyDescent="0.3">
      <c r="A35" s="221">
        <v>23</v>
      </c>
      <c r="B35" s="222" t="s">
        <v>126</v>
      </c>
      <c r="C35" s="305" t="str">
        <f>+'PAA OCI  '!B44</f>
        <v>Evaluación de los Riesgos  de Corrupción</v>
      </c>
      <c r="D35" s="309">
        <v>48</v>
      </c>
      <c r="E35" s="309">
        <v>40</v>
      </c>
      <c r="F35" s="309">
        <v>12</v>
      </c>
      <c r="G35" s="94">
        <f t="shared" si="1"/>
        <v>100</v>
      </c>
      <c r="H35" s="224">
        <v>3</v>
      </c>
      <c r="I35" s="165">
        <f t="shared" si="2"/>
        <v>300</v>
      </c>
    </row>
    <row r="36" spans="1:9" ht="33" x14ac:dyDescent="0.3">
      <c r="A36" s="221">
        <v>24</v>
      </c>
      <c r="B36" s="222" t="s">
        <v>126</v>
      </c>
      <c r="C36" s="305" t="str">
        <f>+'PAA OCI  '!B45</f>
        <v>Evaluación de los Riesgos  de Gestión</v>
      </c>
      <c r="D36" s="309">
        <v>24</v>
      </c>
      <c r="E36" s="309">
        <v>20</v>
      </c>
      <c r="F36" s="309">
        <v>6</v>
      </c>
      <c r="G36" s="94">
        <f t="shared" si="1"/>
        <v>50</v>
      </c>
      <c r="H36" s="224">
        <v>2</v>
      </c>
      <c r="I36" s="165">
        <f t="shared" si="2"/>
        <v>100</v>
      </c>
    </row>
    <row r="37" spans="1:9" ht="66" x14ac:dyDescent="0.3">
      <c r="A37" s="221">
        <v>25</v>
      </c>
      <c r="B37" s="222" t="s">
        <v>126</v>
      </c>
      <c r="C37" s="305" t="str">
        <f>+'PAA OCI  '!B46</f>
        <v>Evaluación y Seguimiento Implementación MIPG  7 dimensiones y 18 políticas - e informes FURAG.</v>
      </c>
      <c r="D37" s="309">
        <f>8*8</f>
        <v>64</v>
      </c>
      <c r="E37" s="309">
        <v>40</v>
      </c>
      <c r="F37" s="309">
        <v>40</v>
      </c>
      <c r="G37" s="94">
        <f t="shared" si="1"/>
        <v>144</v>
      </c>
      <c r="H37" s="224">
        <v>1</v>
      </c>
      <c r="I37" s="165">
        <f t="shared" si="2"/>
        <v>144</v>
      </c>
    </row>
    <row r="38" spans="1:9" ht="33" x14ac:dyDescent="0.3">
      <c r="A38" s="221">
        <v>26</v>
      </c>
      <c r="B38" s="222" t="s">
        <v>126</v>
      </c>
      <c r="C38" s="305" t="str">
        <f>+'PAA OCI  '!B47</f>
        <v>Seguimiento Informes Gobierno Digital</v>
      </c>
      <c r="D38" s="309">
        <f>2.5*8</f>
        <v>20</v>
      </c>
      <c r="E38" s="309">
        <f>3*8</f>
        <v>24</v>
      </c>
      <c r="F38" s="309">
        <f>2*8</f>
        <v>16</v>
      </c>
      <c r="G38" s="94">
        <f t="shared" si="1"/>
        <v>60</v>
      </c>
      <c r="H38" s="224">
        <v>1</v>
      </c>
      <c r="I38" s="165">
        <f t="shared" si="2"/>
        <v>60</v>
      </c>
    </row>
    <row r="39" spans="1:9" ht="33" x14ac:dyDescent="0.3">
      <c r="A39" s="221">
        <v>27</v>
      </c>
      <c r="B39" s="222" t="s">
        <v>126</v>
      </c>
      <c r="C39" s="305" t="str">
        <f>+'PAA OCI  '!B48</f>
        <v>Seguimiento Comité de Sostenibilidad Contable</v>
      </c>
      <c r="D39" s="309">
        <v>40</v>
      </c>
      <c r="E39" s="309">
        <f>7*8</f>
        <v>56</v>
      </c>
      <c r="F39" s="309">
        <f>1.5*8</f>
        <v>12</v>
      </c>
      <c r="G39" s="94">
        <f t="shared" si="1"/>
        <v>108</v>
      </c>
      <c r="H39" s="224">
        <v>1</v>
      </c>
      <c r="I39" s="165">
        <f t="shared" si="2"/>
        <v>108</v>
      </c>
    </row>
    <row r="40" spans="1:9" ht="66" x14ac:dyDescent="0.3">
      <c r="A40" s="221">
        <v>28</v>
      </c>
      <c r="B40" s="222" t="s">
        <v>126</v>
      </c>
      <c r="C40" s="305" t="str">
        <f>+'PAA OCI  '!B49</f>
        <v>Seguimiento a la implementación  del Código de Integridad de la Empresa vigencia 2020</v>
      </c>
      <c r="D40" s="309">
        <v>32</v>
      </c>
      <c r="E40" s="309">
        <v>40</v>
      </c>
      <c r="F40" s="309">
        <v>8</v>
      </c>
      <c r="G40" s="94">
        <f t="shared" si="1"/>
        <v>80</v>
      </c>
      <c r="H40" s="224">
        <v>1</v>
      </c>
      <c r="I40" s="165">
        <f t="shared" si="2"/>
        <v>80</v>
      </c>
    </row>
    <row r="41" spans="1:9" ht="66" x14ac:dyDescent="0.3">
      <c r="A41" s="221">
        <v>29</v>
      </c>
      <c r="B41" s="222" t="s">
        <v>126</v>
      </c>
      <c r="C41" s="305" t="str">
        <f>+'PAA OCI  '!B50</f>
        <v>Seguimiento a la implementación del código de integridad de la Empresa vigencia 2021.</v>
      </c>
      <c r="D41" s="309">
        <v>32</v>
      </c>
      <c r="E41" s="309">
        <v>40</v>
      </c>
      <c r="F41" s="309">
        <v>8</v>
      </c>
      <c r="G41" s="94">
        <f t="shared" si="1"/>
        <v>80</v>
      </c>
      <c r="H41" s="224">
        <v>1</v>
      </c>
      <c r="I41" s="165">
        <f t="shared" si="2"/>
        <v>80</v>
      </c>
    </row>
    <row r="42" spans="1:9" ht="66" x14ac:dyDescent="0.3">
      <c r="A42" s="221">
        <v>30</v>
      </c>
      <c r="B42" s="222" t="s">
        <v>126</v>
      </c>
      <c r="C42" s="305" t="str">
        <f>+'PAA OCI  '!B51</f>
        <v>Seguimiento Reporte - Ley e índice de Transparencia y Acceso a la Información - ITA.</v>
      </c>
      <c r="D42" s="309">
        <v>32</v>
      </c>
      <c r="E42" s="309">
        <v>40</v>
      </c>
      <c r="F42" s="309">
        <v>8</v>
      </c>
      <c r="G42" s="94">
        <f t="shared" si="1"/>
        <v>80</v>
      </c>
      <c r="H42" s="224">
        <v>1</v>
      </c>
      <c r="I42" s="165">
        <f t="shared" si="2"/>
        <v>80</v>
      </c>
    </row>
    <row r="43" spans="1:9" ht="33" x14ac:dyDescent="0.3">
      <c r="A43" s="221">
        <v>31</v>
      </c>
      <c r="B43" s="222" t="s">
        <v>126</v>
      </c>
      <c r="C43" s="305" t="str">
        <f>+'PAA OCI  '!B52</f>
        <v>Campaña de fomento de Autocontrol</v>
      </c>
      <c r="D43" s="309">
        <v>40</v>
      </c>
      <c r="E43" s="309">
        <f>2.5*8</f>
        <v>20</v>
      </c>
      <c r="F43" s="309">
        <f>8*4</f>
        <v>32</v>
      </c>
      <c r="G43" s="94">
        <f t="shared" si="1"/>
        <v>92</v>
      </c>
      <c r="H43" s="224">
        <v>2</v>
      </c>
      <c r="I43" s="165">
        <f t="shared" si="2"/>
        <v>184</v>
      </c>
    </row>
    <row r="44" spans="1:9" ht="66" x14ac:dyDescent="0.3">
      <c r="A44" s="221">
        <v>32</v>
      </c>
      <c r="B44" s="222" t="s">
        <v>126</v>
      </c>
      <c r="C44" s="305" t="str">
        <f>+'PAA OCI  '!B53</f>
        <v>Prestar los servicios de asesoría y acompañamiento requeridos</v>
      </c>
      <c r="D44" s="224">
        <v>2</v>
      </c>
      <c r="E44" s="224">
        <v>5</v>
      </c>
      <c r="F44" s="224">
        <v>0</v>
      </c>
      <c r="G44" s="94">
        <f t="shared" si="1"/>
        <v>7</v>
      </c>
      <c r="H44" s="224">
        <v>10</v>
      </c>
      <c r="I44" s="165">
        <f t="shared" si="2"/>
        <v>70</v>
      </c>
    </row>
    <row r="45" spans="1:9" ht="49.5" x14ac:dyDescent="0.3">
      <c r="A45" s="221">
        <v>33</v>
      </c>
      <c r="B45" s="222" t="s">
        <v>126</v>
      </c>
      <c r="C45" s="305" t="str">
        <f>+'PAA OCI  '!B54</f>
        <v>Diligenciamiento Encuestas Gobierno Corporativo - Veeduría Distrital.</v>
      </c>
      <c r="D45" s="224">
        <v>1</v>
      </c>
      <c r="E45" s="224">
        <v>1</v>
      </c>
      <c r="F45" s="224">
        <v>0</v>
      </c>
      <c r="G45" s="94">
        <f t="shared" si="1"/>
        <v>2</v>
      </c>
      <c r="H45" s="224">
        <v>3</v>
      </c>
      <c r="I45" s="165">
        <f t="shared" si="2"/>
        <v>6</v>
      </c>
    </row>
    <row r="46" spans="1:9" ht="82.5" x14ac:dyDescent="0.3">
      <c r="A46" s="221">
        <v>34</v>
      </c>
      <c r="B46" s="222" t="s">
        <v>126</v>
      </c>
      <c r="C46" s="305" t="str">
        <f>+'PAA OCI  '!B55</f>
        <v>Revisión Código de Ética del Auditor Interno, Estatuto Auditoría Interna y Carta de Representación de la Empresa.</v>
      </c>
      <c r="D46" s="309">
        <v>32</v>
      </c>
      <c r="E46" s="309">
        <v>40</v>
      </c>
      <c r="F46" s="309">
        <v>8</v>
      </c>
      <c r="G46" s="94">
        <f t="shared" si="1"/>
        <v>80</v>
      </c>
      <c r="H46" s="224">
        <v>1</v>
      </c>
      <c r="I46" s="165">
        <f t="shared" si="2"/>
        <v>80</v>
      </c>
    </row>
    <row r="47" spans="1:9" ht="49.5" x14ac:dyDescent="0.3">
      <c r="A47" s="221">
        <v>35</v>
      </c>
      <c r="B47" s="222" t="s">
        <v>126</v>
      </c>
      <c r="C47" s="305" t="str">
        <f>+'PAA OCI  '!B56</f>
        <v>Activos de Información y Funcionamiento Software que maneja la Empresa</v>
      </c>
      <c r="D47" s="309">
        <v>32</v>
      </c>
      <c r="E47" s="309">
        <v>40</v>
      </c>
      <c r="F47" s="309">
        <v>8</v>
      </c>
      <c r="G47" s="94">
        <f t="shared" si="1"/>
        <v>80</v>
      </c>
      <c r="H47" s="224">
        <v>1</v>
      </c>
      <c r="I47" s="165">
        <f t="shared" si="2"/>
        <v>80</v>
      </c>
    </row>
    <row r="48" spans="1:9" ht="49.5" x14ac:dyDescent="0.3">
      <c r="A48" s="221">
        <v>36</v>
      </c>
      <c r="B48" s="222" t="s">
        <v>126</v>
      </c>
      <c r="C48" s="305" t="str">
        <f>+'PAA OCI  '!B57</f>
        <v>Seguimiento a la actualización de bases de datos en RNBD</v>
      </c>
      <c r="D48" s="309">
        <v>32</v>
      </c>
      <c r="E48" s="309">
        <v>40</v>
      </c>
      <c r="F48" s="309">
        <v>8</v>
      </c>
      <c r="G48" s="94">
        <f t="shared" si="1"/>
        <v>80</v>
      </c>
      <c r="H48" s="224">
        <v>1</v>
      </c>
      <c r="I48" s="165">
        <f t="shared" si="2"/>
        <v>80</v>
      </c>
    </row>
    <row r="49" spans="1:9" ht="49.5" x14ac:dyDescent="0.3">
      <c r="A49" s="221">
        <v>37</v>
      </c>
      <c r="B49" s="222" t="s">
        <v>257</v>
      </c>
      <c r="C49" s="306" t="str">
        <f>+'PAA OCI  '!B59</f>
        <v>Asistencia y Participación en los Comités Institucionales</v>
      </c>
      <c r="D49" s="224">
        <v>1</v>
      </c>
      <c r="E49" s="224">
        <v>2</v>
      </c>
      <c r="F49" s="224">
        <v>0</v>
      </c>
      <c r="G49" s="94">
        <f t="shared" si="1"/>
        <v>3</v>
      </c>
      <c r="H49" s="224">
        <v>30</v>
      </c>
      <c r="I49" s="165">
        <f t="shared" si="2"/>
        <v>90</v>
      </c>
    </row>
    <row r="50" spans="1:9" ht="49.5" x14ac:dyDescent="0.3">
      <c r="A50" s="221">
        <v>38</v>
      </c>
      <c r="B50" s="222" t="s">
        <v>257</v>
      </c>
      <c r="C50" s="306" t="str">
        <f>+'PAA OCI  '!B60</f>
        <v>Reuniones de Autoevaluación Proceso (quincenal)</v>
      </c>
      <c r="D50" s="224">
        <v>1</v>
      </c>
      <c r="E50" s="224">
        <v>2</v>
      </c>
      <c r="F50" s="224">
        <v>1</v>
      </c>
      <c r="G50" s="94">
        <f t="shared" si="1"/>
        <v>4</v>
      </c>
      <c r="H50" s="224">
        <v>24</v>
      </c>
      <c r="I50" s="165">
        <f t="shared" si="2"/>
        <v>96</v>
      </c>
    </row>
    <row r="51" spans="1:9" x14ac:dyDescent="0.3">
      <c r="A51" s="221">
        <v>39</v>
      </c>
      <c r="B51" s="222" t="s">
        <v>257</v>
      </c>
      <c r="C51" s="306" t="e">
        <f>+'PAA OCI  '!#REF!</f>
        <v>#REF!</v>
      </c>
      <c r="D51" s="309">
        <v>32</v>
      </c>
      <c r="E51" s="309">
        <v>40</v>
      </c>
      <c r="F51" s="224">
        <v>0</v>
      </c>
      <c r="G51" s="94">
        <f t="shared" si="1"/>
        <v>72</v>
      </c>
      <c r="H51" s="224">
        <v>1</v>
      </c>
      <c r="I51" s="165">
        <f t="shared" si="2"/>
        <v>72</v>
      </c>
    </row>
    <row r="52" spans="1:9" ht="198" x14ac:dyDescent="0.3">
      <c r="A52" s="221">
        <v>40</v>
      </c>
      <c r="B52" s="222" t="s">
        <v>257</v>
      </c>
      <c r="C52" s="306" t="str">
        <f>+'PAA OCI  '!B61</f>
        <v>Revisión y actualización del Proceso Evaluación y Seguimiento: Revisión procedimientos, instructivos, formatos, indicadores y riesgos del proceso, asignación y seguimiento  de tareas y actividades programadas, determinación de directrices e instrucciones al grupo de trabajo</v>
      </c>
      <c r="D52" s="309">
        <v>32</v>
      </c>
      <c r="E52" s="309">
        <v>40</v>
      </c>
      <c r="F52" s="224">
        <v>0</v>
      </c>
      <c r="G52" s="94">
        <f t="shared" si="1"/>
        <v>72</v>
      </c>
      <c r="H52" s="224">
        <v>1</v>
      </c>
      <c r="I52" s="165">
        <f t="shared" si="2"/>
        <v>72</v>
      </c>
    </row>
    <row r="53" spans="1:9" ht="49.5" x14ac:dyDescent="0.3">
      <c r="A53" s="221">
        <v>41</v>
      </c>
      <c r="B53" s="222" t="s">
        <v>127</v>
      </c>
      <c r="C53" s="306" t="str">
        <f>+'PAA OCI  '!B62</f>
        <v>Seguimiento Cajas Menores (SE EFECTUAN SIN PREVIO AVISO)</v>
      </c>
      <c r="D53" s="309">
        <v>16</v>
      </c>
      <c r="E53" s="309">
        <v>16</v>
      </c>
      <c r="F53" s="309">
        <v>16</v>
      </c>
      <c r="G53" s="94">
        <f t="shared" si="1"/>
        <v>48</v>
      </c>
      <c r="H53" s="224">
        <v>4</v>
      </c>
      <c r="I53" s="165">
        <f t="shared" si="2"/>
        <v>192</v>
      </c>
    </row>
    <row r="54" spans="1:9" ht="66" x14ac:dyDescent="0.3">
      <c r="A54" s="221">
        <v>42</v>
      </c>
      <c r="B54" s="222" t="s">
        <v>127</v>
      </c>
      <c r="C54" s="307" t="str">
        <f>+'PAA OCI  '!B64</f>
        <v>Auditoría de Control Fiscal en la Modalidad de Regularidad PAD 2021 Vigencia 2020</v>
      </c>
      <c r="D54" s="224">
        <v>16</v>
      </c>
      <c r="E54" s="224">
        <v>40</v>
      </c>
      <c r="F54" s="224">
        <v>3</v>
      </c>
      <c r="G54" s="94">
        <f t="shared" si="1"/>
        <v>59</v>
      </c>
      <c r="H54" s="224">
        <v>1</v>
      </c>
      <c r="I54" s="165">
        <f t="shared" si="2"/>
        <v>59</v>
      </c>
    </row>
    <row r="55" spans="1:9" ht="66" x14ac:dyDescent="0.3">
      <c r="A55" s="221">
        <v>43</v>
      </c>
      <c r="B55" s="222" t="s">
        <v>127</v>
      </c>
      <c r="C55" s="307" t="str">
        <f>+'PAA OCI  '!B65</f>
        <v>Auditoría de Control Fiscal en la Modalidad de Desempeño PAD 2021 Vigencia 2020</v>
      </c>
      <c r="D55" s="224">
        <v>16</v>
      </c>
      <c r="E55" s="224">
        <v>40</v>
      </c>
      <c r="F55" s="224">
        <v>3</v>
      </c>
      <c r="G55" s="94">
        <f t="shared" si="1"/>
        <v>59</v>
      </c>
      <c r="H55" s="224">
        <v>1</v>
      </c>
      <c r="I55" s="165">
        <f t="shared" si="2"/>
        <v>59</v>
      </c>
    </row>
    <row r="56" spans="1:9" ht="66" x14ac:dyDescent="0.3">
      <c r="A56" s="221">
        <v>44</v>
      </c>
      <c r="B56" s="222" t="s">
        <v>127</v>
      </c>
      <c r="C56" s="307" t="str">
        <f>+'PAA OCI  '!B66</f>
        <v>Auditoría de Control Fiscal en la Modalidad de Cumplimiento PAD 2021 Vigencia 2020</v>
      </c>
      <c r="D56" s="224">
        <v>16</v>
      </c>
      <c r="E56" s="224">
        <v>40</v>
      </c>
      <c r="F56" s="224">
        <v>3</v>
      </c>
      <c r="G56" s="94">
        <f t="shared" si="1"/>
        <v>59</v>
      </c>
      <c r="H56" s="224">
        <v>1</v>
      </c>
      <c r="I56" s="165">
        <f t="shared" si="2"/>
        <v>59</v>
      </c>
    </row>
    <row r="57" spans="1:9" ht="33" x14ac:dyDescent="0.3">
      <c r="A57" s="221">
        <v>45</v>
      </c>
      <c r="B57" s="222" t="s">
        <v>127</v>
      </c>
      <c r="C57" s="307" t="str">
        <f>+'PAA OCI  '!B67</f>
        <v>Visitas Administrativas de Control Fiscal</v>
      </c>
      <c r="D57" s="224">
        <v>16</v>
      </c>
      <c r="E57" s="224">
        <v>40</v>
      </c>
      <c r="F57" s="224">
        <v>3</v>
      </c>
      <c r="G57" s="94">
        <f t="shared" si="1"/>
        <v>59</v>
      </c>
      <c r="H57" s="224">
        <v>1</v>
      </c>
      <c r="I57" s="165">
        <f t="shared" si="2"/>
        <v>59</v>
      </c>
    </row>
    <row r="58" spans="1:9" ht="33" x14ac:dyDescent="0.3">
      <c r="A58" s="221">
        <v>46</v>
      </c>
      <c r="B58" s="222" t="s">
        <v>127</v>
      </c>
      <c r="C58" s="307" t="str">
        <f>+'PAA OCI  '!B68</f>
        <v>Seguimiento Plan de Mejoramiento por Procesos</v>
      </c>
      <c r="D58" s="224">
        <v>16</v>
      </c>
      <c r="E58" s="224">
        <v>40</v>
      </c>
      <c r="F58" s="224">
        <v>3</v>
      </c>
      <c r="G58" s="94">
        <f>SUM(D58:F58)</f>
        <v>59</v>
      </c>
      <c r="H58" s="224">
        <v>2</v>
      </c>
      <c r="I58" s="353">
        <f>+G58*H58</f>
        <v>118</v>
      </c>
    </row>
    <row r="59" spans="1:9" ht="33" x14ac:dyDescent="0.3">
      <c r="A59" s="221">
        <v>47</v>
      </c>
      <c r="B59" s="222" t="s">
        <v>127</v>
      </c>
      <c r="C59" s="307" t="str">
        <f>+'PAA OCI  '!B69</f>
        <v>Seguimiento Plan de Mejoramiento Contraloría</v>
      </c>
      <c r="D59" s="309">
        <v>10</v>
      </c>
      <c r="E59" s="309">
        <v>20</v>
      </c>
      <c r="F59" s="309">
        <v>8</v>
      </c>
      <c r="G59" s="94">
        <f t="shared" si="1"/>
        <v>38</v>
      </c>
      <c r="H59" s="224">
        <v>4</v>
      </c>
      <c r="I59" s="165">
        <f t="shared" ref="I59:I90" si="3">+G59*H59</f>
        <v>152</v>
      </c>
    </row>
    <row r="60" spans="1:9" ht="33" x14ac:dyDescent="0.3">
      <c r="A60" s="221">
        <v>48</v>
      </c>
      <c r="B60" s="222" t="s">
        <v>126</v>
      </c>
      <c r="C60" s="307" t="str">
        <f>+'PAA OCI  '!B71</f>
        <v>Trasmisión Cuenta Mensual Contraloría</v>
      </c>
      <c r="D60" s="309">
        <f>1.5*8</f>
        <v>12</v>
      </c>
      <c r="E60" s="309">
        <v>8</v>
      </c>
      <c r="F60" s="309">
        <f>0.5*8</f>
        <v>4</v>
      </c>
      <c r="G60" s="94">
        <f t="shared" si="1"/>
        <v>24</v>
      </c>
      <c r="H60" s="224">
        <v>12</v>
      </c>
      <c r="I60" s="165">
        <f t="shared" si="3"/>
        <v>288</v>
      </c>
    </row>
    <row r="61" spans="1:9" ht="49.5" x14ac:dyDescent="0.3">
      <c r="A61" s="221">
        <v>49</v>
      </c>
      <c r="B61" s="222" t="s">
        <v>126</v>
      </c>
      <c r="C61" s="307" t="str">
        <f>+'PAA OCI  '!B72</f>
        <v>Asesoría, acompañamiento  y Trasmisión Cuenta Anual Contraloría</v>
      </c>
      <c r="D61" s="309">
        <v>40</v>
      </c>
      <c r="E61" s="309">
        <v>45</v>
      </c>
      <c r="F61" s="309">
        <v>8</v>
      </c>
      <c r="G61" s="94">
        <f t="shared" si="1"/>
        <v>93</v>
      </c>
      <c r="H61" s="224">
        <v>1</v>
      </c>
      <c r="I61" s="165">
        <f t="shared" si="3"/>
        <v>93</v>
      </c>
    </row>
    <row r="62" spans="1:9" ht="66" x14ac:dyDescent="0.3">
      <c r="A62" s="221">
        <v>50</v>
      </c>
      <c r="B62" s="222" t="s">
        <v>257</v>
      </c>
      <c r="C62" s="307" t="str">
        <f>+'PAA OCI  '!B73</f>
        <v>Reparto, seguimiento, revisión y registro de respuestas a Entes Externos de Control</v>
      </c>
      <c r="D62" s="309">
        <v>2</v>
      </c>
      <c r="E62" s="309">
        <v>8</v>
      </c>
      <c r="F62" s="309">
        <v>2</v>
      </c>
      <c r="G62" s="94">
        <f t="shared" si="1"/>
        <v>12</v>
      </c>
      <c r="H62" s="224">
        <v>582</v>
      </c>
      <c r="I62" s="165">
        <f t="shared" si="3"/>
        <v>6984</v>
      </c>
    </row>
    <row r="63" spans="1:9" ht="66" x14ac:dyDescent="0.3">
      <c r="A63" s="221">
        <v>51</v>
      </c>
      <c r="B63" s="222" t="s">
        <v>126</v>
      </c>
      <c r="C63" s="308" t="str">
        <f>+'PAA OCI  '!B75</f>
        <v>Informes gestión OCI 2020-2021 -  Informe transición jefatura control interno 2022</v>
      </c>
      <c r="D63" s="224">
        <v>16</v>
      </c>
      <c r="E63" s="224">
        <v>40</v>
      </c>
      <c r="F63" s="224">
        <v>8</v>
      </c>
      <c r="G63" s="94">
        <f t="shared" si="1"/>
        <v>64</v>
      </c>
      <c r="H63" s="224">
        <v>1</v>
      </c>
      <c r="I63" s="165">
        <f t="shared" si="3"/>
        <v>64</v>
      </c>
    </row>
    <row r="64" spans="1:9" x14ac:dyDescent="0.3">
      <c r="A64" s="221">
        <v>52</v>
      </c>
      <c r="B64" s="222"/>
      <c r="C64" s="335"/>
      <c r="D64" s="224"/>
      <c r="E64" s="224"/>
      <c r="F64" s="224"/>
      <c r="G64" s="94">
        <f t="shared" si="1"/>
        <v>0</v>
      </c>
      <c r="H64" s="224"/>
      <c r="I64" s="165">
        <f t="shared" si="3"/>
        <v>0</v>
      </c>
    </row>
    <row r="65" spans="1:9" x14ac:dyDescent="0.3">
      <c r="A65" s="221">
        <v>53</v>
      </c>
      <c r="B65" s="222"/>
      <c r="C65" s="224"/>
      <c r="D65" s="224"/>
      <c r="E65" s="224"/>
      <c r="F65" s="224"/>
      <c r="G65" s="94">
        <f t="shared" si="1"/>
        <v>0</v>
      </c>
      <c r="H65" s="224"/>
      <c r="I65" s="165">
        <f t="shared" si="3"/>
        <v>0</v>
      </c>
    </row>
    <row r="66" spans="1:9" x14ac:dyDescent="0.3">
      <c r="A66" s="221">
        <v>54</v>
      </c>
      <c r="B66" s="222"/>
      <c r="C66" s="224"/>
      <c r="D66" s="224"/>
      <c r="E66" s="224"/>
      <c r="F66" s="224"/>
      <c r="G66" s="94">
        <f t="shared" si="1"/>
        <v>0</v>
      </c>
      <c r="H66" s="224"/>
      <c r="I66" s="165">
        <f t="shared" si="3"/>
        <v>0</v>
      </c>
    </row>
    <row r="67" spans="1:9" x14ac:dyDescent="0.3">
      <c r="A67" s="221">
        <v>55</v>
      </c>
      <c r="B67" s="222"/>
      <c r="C67" s="224"/>
      <c r="D67" s="224"/>
      <c r="E67" s="224"/>
      <c r="F67" s="224"/>
      <c r="G67" s="94">
        <f t="shared" si="1"/>
        <v>0</v>
      </c>
      <c r="H67" s="224"/>
      <c r="I67" s="165">
        <f t="shared" si="3"/>
        <v>0</v>
      </c>
    </row>
    <row r="68" spans="1:9" x14ac:dyDescent="0.3">
      <c r="A68" s="221">
        <v>56</v>
      </c>
      <c r="B68" s="222"/>
      <c r="C68" s="224"/>
      <c r="D68" s="224"/>
      <c r="E68" s="224"/>
      <c r="F68" s="224"/>
      <c r="G68" s="94">
        <f t="shared" si="1"/>
        <v>0</v>
      </c>
      <c r="H68" s="224"/>
      <c r="I68" s="165">
        <f t="shared" si="3"/>
        <v>0</v>
      </c>
    </row>
    <row r="69" spans="1:9" x14ac:dyDescent="0.3">
      <c r="A69" s="221">
        <v>57</v>
      </c>
      <c r="B69" s="222"/>
      <c r="C69" s="224"/>
      <c r="D69" s="224"/>
      <c r="E69" s="224"/>
      <c r="F69" s="224"/>
      <c r="G69" s="94">
        <f t="shared" si="1"/>
        <v>0</v>
      </c>
      <c r="H69" s="224"/>
      <c r="I69" s="165">
        <f t="shared" si="3"/>
        <v>0</v>
      </c>
    </row>
    <row r="70" spans="1:9" x14ac:dyDescent="0.3">
      <c r="A70" s="221">
        <v>58</v>
      </c>
      <c r="B70" s="222"/>
      <c r="C70" s="223"/>
      <c r="D70" s="224"/>
      <c r="E70" s="224"/>
      <c r="F70" s="224"/>
      <c r="G70" s="94">
        <f t="shared" si="1"/>
        <v>0</v>
      </c>
      <c r="H70" s="224"/>
      <c r="I70" s="165">
        <f t="shared" si="3"/>
        <v>0</v>
      </c>
    </row>
    <row r="71" spans="1:9" x14ac:dyDescent="0.3">
      <c r="A71" s="221">
        <v>59</v>
      </c>
      <c r="B71" s="222"/>
      <c r="C71" s="223"/>
      <c r="D71" s="224"/>
      <c r="E71" s="224"/>
      <c r="F71" s="224"/>
      <c r="G71" s="94">
        <f t="shared" si="1"/>
        <v>0</v>
      </c>
      <c r="H71" s="224"/>
      <c r="I71" s="165">
        <f t="shared" si="3"/>
        <v>0</v>
      </c>
    </row>
    <row r="72" spans="1:9" x14ac:dyDescent="0.3">
      <c r="A72" s="221">
        <v>60</v>
      </c>
      <c r="B72" s="222"/>
      <c r="C72" s="223"/>
      <c r="D72" s="224"/>
      <c r="E72" s="224"/>
      <c r="F72" s="224"/>
      <c r="G72" s="94">
        <f t="shared" si="1"/>
        <v>0</v>
      </c>
      <c r="H72" s="224"/>
      <c r="I72" s="165">
        <f t="shared" si="3"/>
        <v>0</v>
      </c>
    </row>
    <row r="73" spans="1:9" x14ac:dyDescent="0.3">
      <c r="A73" s="221">
        <v>61</v>
      </c>
      <c r="B73" s="222"/>
      <c r="C73" s="223"/>
      <c r="D73" s="224"/>
      <c r="E73" s="224"/>
      <c r="F73" s="224"/>
      <c r="G73" s="94">
        <f t="shared" si="1"/>
        <v>0</v>
      </c>
      <c r="H73" s="224"/>
      <c r="I73" s="165">
        <f t="shared" si="3"/>
        <v>0</v>
      </c>
    </row>
    <row r="74" spans="1:9" x14ac:dyDescent="0.3">
      <c r="A74" s="221">
        <v>62</v>
      </c>
      <c r="B74" s="222"/>
      <c r="C74" s="223"/>
      <c r="D74" s="224"/>
      <c r="E74" s="224"/>
      <c r="F74" s="224"/>
      <c r="G74" s="94">
        <f t="shared" ref="G74:G86" si="4">SUM(D74:F74)</f>
        <v>0</v>
      </c>
      <c r="H74" s="224"/>
      <c r="I74" s="165">
        <f t="shared" si="3"/>
        <v>0</v>
      </c>
    </row>
    <row r="75" spans="1:9" x14ac:dyDescent="0.3">
      <c r="A75" s="221">
        <v>63</v>
      </c>
      <c r="B75" s="222"/>
      <c r="C75" s="223"/>
      <c r="D75" s="224"/>
      <c r="E75" s="224"/>
      <c r="F75" s="224"/>
      <c r="G75" s="94">
        <f t="shared" si="4"/>
        <v>0</v>
      </c>
      <c r="H75" s="224"/>
      <c r="I75" s="165">
        <f t="shared" si="3"/>
        <v>0</v>
      </c>
    </row>
    <row r="76" spans="1:9" x14ac:dyDescent="0.3">
      <c r="A76" s="221">
        <v>64</v>
      </c>
      <c r="B76" s="222"/>
      <c r="C76" s="223"/>
      <c r="D76" s="224"/>
      <c r="E76" s="224"/>
      <c r="F76" s="224"/>
      <c r="G76" s="94">
        <f t="shared" si="4"/>
        <v>0</v>
      </c>
      <c r="H76" s="224"/>
      <c r="I76" s="165">
        <f t="shared" si="3"/>
        <v>0</v>
      </c>
    </row>
    <row r="77" spans="1:9" x14ac:dyDescent="0.3">
      <c r="A77" s="221">
        <v>65</v>
      </c>
      <c r="B77" s="222"/>
      <c r="C77" s="223"/>
      <c r="D77" s="224"/>
      <c r="E77" s="224"/>
      <c r="F77" s="224"/>
      <c r="G77" s="94">
        <f t="shared" si="4"/>
        <v>0</v>
      </c>
      <c r="H77" s="224"/>
      <c r="I77" s="165">
        <f t="shared" si="3"/>
        <v>0</v>
      </c>
    </row>
    <row r="78" spans="1:9" x14ac:dyDescent="0.3">
      <c r="A78" s="221">
        <v>66</v>
      </c>
      <c r="B78" s="222"/>
      <c r="C78" s="223"/>
      <c r="D78" s="224"/>
      <c r="E78" s="224"/>
      <c r="F78" s="224"/>
      <c r="G78" s="94">
        <f t="shared" si="4"/>
        <v>0</v>
      </c>
      <c r="H78" s="224"/>
      <c r="I78" s="165">
        <f t="shared" si="3"/>
        <v>0</v>
      </c>
    </row>
    <row r="79" spans="1:9" x14ac:dyDescent="0.3">
      <c r="A79" s="221">
        <v>67</v>
      </c>
      <c r="B79" s="222"/>
      <c r="C79" s="223"/>
      <c r="D79" s="224"/>
      <c r="E79" s="224"/>
      <c r="F79" s="224"/>
      <c r="G79" s="94">
        <f t="shared" si="4"/>
        <v>0</v>
      </c>
      <c r="H79" s="224"/>
      <c r="I79" s="165">
        <f t="shared" si="3"/>
        <v>0</v>
      </c>
    </row>
    <row r="80" spans="1:9" x14ac:dyDescent="0.3">
      <c r="A80" s="221">
        <v>68</v>
      </c>
      <c r="B80" s="222"/>
      <c r="C80" s="223"/>
      <c r="D80" s="224"/>
      <c r="E80" s="224"/>
      <c r="F80" s="224"/>
      <c r="G80" s="94">
        <f t="shared" si="4"/>
        <v>0</v>
      </c>
      <c r="H80" s="224"/>
      <c r="I80" s="165">
        <f t="shared" si="3"/>
        <v>0</v>
      </c>
    </row>
    <row r="81" spans="1:9" x14ac:dyDescent="0.3">
      <c r="A81" s="221">
        <v>69</v>
      </c>
      <c r="B81" s="222"/>
      <c r="C81" s="223"/>
      <c r="D81" s="224"/>
      <c r="E81" s="224"/>
      <c r="F81" s="224"/>
      <c r="G81" s="94">
        <f t="shared" si="4"/>
        <v>0</v>
      </c>
      <c r="H81" s="224"/>
      <c r="I81" s="165">
        <f t="shared" si="3"/>
        <v>0</v>
      </c>
    </row>
    <row r="82" spans="1:9" x14ac:dyDescent="0.3">
      <c r="A82" s="221">
        <v>70</v>
      </c>
      <c r="B82" s="222"/>
      <c r="C82" s="223"/>
      <c r="D82" s="224"/>
      <c r="E82" s="224"/>
      <c r="F82" s="224"/>
      <c r="G82" s="94">
        <f t="shared" si="4"/>
        <v>0</v>
      </c>
      <c r="H82" s="224"/>
      <c r="I82" s="165">
        <f t="shared" si="3"/>
        <v>0</v>
      </c>
    </row>
    <row r="83" spans="1:9" x14ac:dyDescent="0.3">
      <c r="A83" s="221">
        <v>71</v>
      </c>
      <c r="B83" s="222"/>
      <c r="C83" s="223"/>
      <c r="D83" s="224"/>
      <c r="E83" s="224"/>
      <c r="F83" s="224"/>
      <c r="G83" s="94">
        <f t="shared" si="4"/>
        <v>0</v>
      </c>
      <c r="H83" s="224"/>
      <c r="I83" s="165">
        <f t="shared" si="3"/>
        <v>0</v>
      </c>
    </row>
    <row r="84" spans="1:9" x14ac:dyDescent="0.3">
      <c r="A84" s="221">
        <v>72</v>
      </c>
      <c r="B84" s="222"/>
      <c r="C84" s="223"/>
      <c r="D84" s="224"/>
      <c r="E84" s="224"/>
      <c r="F84" s="224"/>
      <c r="G84" s="94">
        <f t="shared" si="4"/>
        <v>0</v>
      </c>
      <c r="H84" s="224"/>
      <c r="I84" s="165">
        <f t="shared" si="3"/>
        <v>0</v>
      </c>
    </row>
    <row r="85" spans="1:9" x14ac:dyDescent="0.3">
      <c r="A85" s="221">
        <v>73</v>
      </c>
      <c r="B85" s="222"/>
      <c r="C85" s="223"/>
      <c r="D85" s="224"/>
      <c r="E85" s="224"/>
      <c r="F85" s="224"/>
      <c r="G85" s="94">
        <f t="shared" si="4"/>
        <v>0</v>
      </c>
      <c r="H85" s="224"/>
      <c r="I85" s="165">
        <f t="shared" si="3"/>
        <v>0</v>
      </c>
    </row>
    <row r="86" spans="1:9" x14ac:dyDescent="0.3">
      <c r="A86" s="221">
        <v>74</v>
      </c>
      <c r="B86" s="222"/>
      <c r="C86" s="223"/>
      <c r="D86" s="224"/>
      <c r="E86" s="224"/>
      <c r="F86" s="224"/>
      <c r="G86" s="94">
        <f t="shared" si="4"/>
        <v>0</v>
      </c>
      <c r="H86" s="224"/>
      <c r="I86" s="165">
        <f t="shared" si="3"/>
        <v>0</v>
      </c>
    </row>
    <row r="87" spans="1:9" x14ac:dyDescent="0.3">
      <c r="A87" s="221">
        <v>75</v>
      </c>
      <c r="B87" s="222"/>
      <c r="C87" s="223"/>
      <c r="D87" s="224"/>
      <c r="E87" s="224"/>
      <c r="F87" s="224"/>
      <c r="G87" s="94">
        <f t="shared" ref="G87:G94" si="5">SUM(D87:F87)</f>
        <v>0</v>
      </c>
      <c r="H87" s="224"/>
      <c r="I87" s="165">
        <f t="shared" si="3"/>
        <v>0</v>
      </c>
    </row>
    <row r="88" spans="1:9" x14ac:dyDescent="0.3">
      <c r="A88" s="221">
        <v>76</v>
      </c>
      <c r="B88" s="222"/>
      <c r="C88" s="223"/>
      <c r="D88" s="224"/>
      <c r="E88" s="224"/>
      <c r="F88" s="224"/>
      <c r="G88" s="94">
        <f t="shared" si="5"/>
        <v>0</v>
      </c>
      <c r="H88" s="224"/>
      <c r="I88" s="165">
        <f t="shared" si="3"/>
        <v>0</v>
      </c>
    </row>
    <row r="89" spans="1:9" x14ac:dyDescent="0.3">
      <c r="A89" s="221">
        <v>77</v>
      </c>
      <c r="B89" s="222"/>
      <c r="C89" s="223"/>
      <c r="D89" s="224"/>
      <c r="E89" s="224"/>
      <c r="F89" s="224"/>
      <c r="G89" s="94">
        <f t="shared" si="5"/>
        <v>0</v>
      </c>
      <c r="H89" s="224"/>
      <c r="I89" s="165">
        <f t="shared" si="3"/>
        <v>0</v>
      </c>
    </row>
    <row r="90" spans="1:9" x14ac:dyDescent="0.3">
      <c r="A90" s="221">
        <v>78</v>
      </c>
      <c r="B90" s="222"/>
      <c r="C90" s="223"/>
      <c r="D90" s="224"/>
      <c r="E90" s="224"/>
      <c r="F90" s="224"/>
      <c r="G90" s="94">
        <f t="shared" si="5"/>
        <v>0</v>
      </c>
      <c r="H90" s="224"/>
      <c r="I90" s="165">
        <f t="shared" si="3"/>
        <v>0</v>
      </c>
    </row>
    <row r="91" spans="1:9" x14ac:dyDescent="0.3">
      <c r="A91" s="221">
        <v>79</v>
      </c>
      <c r="B91" s="222"/>
      <c r="C91" s="223"/>
      <c r="D91" s="224"/>
      <c r="E91" s="224"/>
      <c r="F91" s="224"/>
      <c r="G91" s="94">
        <f t="shared" si="5"/>
        <v>0</v>
      </c>
      <c r="H91" s="224"/>
      <c r="I91" s="165">
        <f>+G91*H91</f>
        <v>0</v>
      </c>
    </row>
    <row r="92" spans="1:9" x14ac:dyDescent="0.3">
      <c r="A92" s="221">
        <v>80</v>
      </c>
      <c r="B92" s="222"/>
      <c r="C92" s="223"/>
      <c r="D92" s="224"/>
      <c r="E92" s="224"/>
      <c r="F92" s="224"/>
      <c r="G92" s="94">
        <f t="shared" si="5"/>
        <v>0</v>
      </c>
      <c r="H92" s="224"/>
      <c r="I92" s="165">
        <f>+G92*H92</f>
        <v>0</v>
      </c>
    </row>
    <row r="93" spans="1:9" x14ac:dyDescent="0.3">
      <c r="A93" s="221">
        <v>81</v>
      </c>
      <c r="B93" s="222"/>
      <c r="C93" s="223"/>
      <c r="D93" s="224"/>
      <c r="E93" s="224"/>
      <c r="F93" s="224"/>
      <c r="G93" s="94">
        <f t="shared" si="5"/>
        <v>0</v>
      </c>
      <c r="H93" s="224"/>
      <c r="I93" s="165">
        <f>+G93*H93</f>
        <v>0</v>
      </c>
    </row>
    <row r="94" spans="1:9" x14ac:dyDescent="0.3">
      <c r="A94" s="221">
        <v>82</v>
      </c>
      <c r="B94" s="222"/>
      <c r="C94" s="223"/>
      <c r="D94" s="224"/>
      <c r="E94" s="224"/>
      <c r="F94" s="224"/>
      <c r="G94" s="94">
        <f t="shared" si="5"/>
        <v>0</v>
      </c>
      <c r="H94" s="224"/>
      <c r="I94" s="165">
        <f>+G94*H94</f>
        <v>0</v>
      </c>
    </row>
    <row r="95" spans="1:9" ht="17.25" thickBot="1" x14ac:dyDescent="0.35">
      <c r="A95" s="221">
        <v>83</v>
      </c>
      <c r="B95" s="109"/>
      <c r="C95" s="109"/>
      <c r="D95" s="110"/>
      <c r="E95" s="110"/>
      <c r="F95" s="111" t="s">
        <v>231</v>
      </c>
      <c r="G95" s="111">
        <f>SUBTOTAL(109,G13:G94)</f>
        <v>5904</v>
      </c>
      <c r="H95" s="111">
        <f>SUBTOTAL(109,H13:H94)</f>
        <v>732</v>
      </c>
      <c r="I95" s="111">
        <f>SUBTOTAL(109,I13:I94)</f>
        <v>15413</v>
      </c>
    </row>
    <row r="96" spans="1:9" x14ac:dyDescent="0.3">
      <c r="A96" s="225"/>
      <c r="B96" s="226"/>
      <c r="C96" s="226"/>
      <c r="D96" s="227"/>
      <c r="E96" s="228"/>
      <c r="F96" s="227"/>
      <c r="G96" s="229"/>
      <c r="H96" s="227"/>
      <c r="I96" s="230"/>
    </row>
    <row r="97" spans="1:11" x14ac:dyDescent="0.3">
      <c r="K97" s="100"/>
    </row>
    <row r="98" spans="1:11" x14ac:dyDescent="0.3">
      <c r="K98" s="100"/>
    </row>
    <row r="99" spans="1:11" x14ac:dyDescent="0.3">
      <c r="A99" s="167" t="s">
        <v>255</v>
      </c>
      <c r="K99" s="100"/>
    </row>
    <row r="100" spans="1:11" x14ac:dyDescent="0.3">
      <c r="A100" s="167"/>
      <c r="K100" s="100"/>
    </row>
    <row r="101" spans="1:11" x14ac:dyDescent="0.3">
      <c r="A101" s="168" t="s">
        <v>259</v>
      </c>
      <c r="B101" s="32" t="s">
        <v>263</v>
      </c>
      <c r="C101" s="32" t="s">
        <v>262</v>
      </c>
      <c r="D101"/>
      <c r="E101"/>
      <c r="F101"/>
      <c r="G101"/>
      <c r="H101"/>
      <c r="I101"/>
      <c r="J101"/>
      <c r="K101"/>
    </row>
    <row r="102" spans="1:11" x14ac:dyDescent="0.3">
      <c r="A102" s="169" t="s">
        <v>128</v>
      </c>
      <c r="B102" s="170">
        <v>2930</v>
      </c>
      <c r="C102" s="170">
        <v>18</v>
      </c>
      <c r="D102"/>
      <c r="E102"/>
      <c r="F102"/>
      <c r="G102"/>
      <c r="H102"/>
      <c r="I102"/>
      <c r="J102"/>
      <c r="K102"/>
    </row>
    <row r="103" spans="1:11" x14ac:dyDescent="0.3">
      <c r="A103" s="169" t="s">
        <v>126</v>
      </c>
      <c r="B103" s="170">
        <v>2263</v>
      </c>
      <c r="C103" s="170">
        <v>26</v>
      </c>
      <c r="D103"/>
      <c r="E103"/>
      <c r="F103"/>
      <c r="G103"/>
      <c r="H103"/>
      <c r="I103"/>
      <c r="J103"/>
      <c r="K103"/>
    </row>
    <row r="104" spans="1:11" x14ac:dyDescent="0.3">
      <c r="A104" s="169" t="s">
        <v>127</v>
      </c>
      <c r="B104" s="170">
        <v>215</v>
      </c>
      <c r="C104" s="170">
        <v>6</v>
      </c>
      <c r="D104"/>
      <c r="E104"/>
      <c r="F104"/>
      <c r="G104"/>
      <c r="H104"/>
      <c r="I104"/>
      <c r="J104"/>
      <c r="K104"/>
    </row>
    <row r="105" spans="1:11" x14ac:dyDescent="0.3">
      <c r="A105" s="169" t="s">
        <v>260</v>
      </c>
      <c r="B105" s="170">
        <v>5408</v>
      </c>
      <c r="C105" s="170">
        <v>1</v>
      </c>
      <c r="D105"/>
      <c r="E105"/>
      <c r="F105"/>
      <c r="G105"/>
      <c r="H105"/>
      <c r="I105"/>
      <c r="J105"/>
      <c r="K105"/>
    </row>
    <row r="106" spans="1:11" x14ac:dyDescent="0.3">
      <c r="A106" s="169" t="s">
        <v>261</v>
      </c>
      <c r="B106" s="170">
        <v>10816</v>
      </c>
      <c r="C106" s="170">
        <v>51</v>
      </c>
      <c r="D106"/>
      <c r="E106"/>
      <c r="F106"/>
      <c r="G106"/>
      <c r="H106"/>
      <c r="I106"/>
      <c r="J106"/>
      <c r="K106"/>
    </row>
    <row r="107" spans="1:11" x14ac:dyDescent="0.3">
      <c r="A107"/>
      <c r="B107"/>
      <c r="C107"/>
      <c r="D107"/>
      <c r="E107"/>
      <c r="F107"/>
      <c r="G107"/>
      <c r="H107"/>
      <c r="I107"/>
      <c r="J107"/>
      <c r="K107"/>
    </row>
    <row r="108" spans="1:11" x14ac:dyDescent="0.3">
      <c r="A108"/>
      <c r="B108"/>
      <c r="C108"/>
    </row>
    <row r="109" spans="1:11" x14ac:dyDescent="0.3">
      <c r="A109"/>
      <c r="B109"/>
      <c r="C109"/>
    </row>
    <row r="110" spans="1:11" x14ac:dyDescent="0.3">
      <c r="A110"/>
      <c r="B110"/>
      <c r="C110"/>
    </row>
    <row r="111" spans="1:11" x14ac:dyDescent="0.3">
      <c r="A111"/>
      <c r="B111"/>
      <c r="C111"/>
    </row>
    <row r="112" spans="1:11" x14ac:dyDescent="0.3">
      <c r="A112"/>
      <c r="B112"/>
      <c r="C112"/>
    </row>
    <row r="113" spans="1:3" x14ac:dyDescent="0.3">
      <c r="A113"/>
      <c r="B113"/>
      <c r="C113"/>
    </row>
    <row r="114" spans="1:3" x14ac:dyDescent="0.3">
      <c r="A114"/>
      <c r="B114"/>
      <c r="C114"/>
    </row>
    <row r="115" spans="1:3" x14ac:dyDescent="0.3">
      <c r="A115"/>
      <c r="B115"/>
      <c r="C115"/>
    </row>
    <row r="116" spans="1:3" x14ac:dyDescent="0.3">
      <c r="A116"/>
      <c r="B116"/>
      <c r="C116"/>
    </row>
    <row r="117" spans="1:3" x14ac:dyDescent="0.3">
      <c r="A117"/>
      <c r="B117"/>
      <c r="C117"/>
    </row>
    <row r="118" spans="1:3" x14ac:dyDescent="0.3">
      <c r="A118"/>
      <c r="B118"/>
      <c r="C118"/>
    </row>
    <row r="119" spans="1:3" x14ac:dyDescent="0.3">
      <c r="A119"/>
      <c r="B119"/>
      <c r="C119"/>
    </row>
    <row r="120" spans="1:3" x14ac:dyDescent="0.3">
      <c r="A120"/>
      <c r="B120"/>
      <c r="C120"/>
    </row>
    <row r="121" spans="1:3" x14ac:dyDescent="0.3">
      <c r="A121"/>
      <c r="B121"/>
      <c r="C121"/>
    </row>
    <row r="122" spans="1:3" x14ac:dyDescent="0.3">
      <c r="A122"/>
      <c r="B122"/>
      <c r="C122"/>
    </row>
    <row r="123" spans="1:3" x14ac:dyDescent="0.3">
      <c r="A123"/>
      <c r="B123"/>
      <c r="C123"/>
    </row>
    <row r="124" spans="1:3" x14ac:dyDescent="0.3">
      <c r="A124"/>
      <c r="B124"/>
      <c r="C124"/>
    </row>
    <row r="125" spans="1:3" x14ac:dyDescent="0.3">
      <c r="A125"/>
      <c r="B125"/>
      <c r="C125"/>
    </row>
  </sheetData>
  <mergeCells count="3">
    <mergeCell ref="D11:F11"/>
    <mergeCell ref="B1:I1"/>
    <mergeCell ref="A9:I9"/>
  </mergeCells>
  <dataValidations count="6">
    <dataValidation allowBlank="1" showInputMessage="1" showErrorMessage="1" prompt="Para el cálculo de las horas requeridas para el desarrollo del PAAI, liste todos los informes de ley que debe realizar la OCI, seguimientos y auditorias priorizadas" sqref="C12"/>
    <dataValidation allowBlank="1" showInputMessage="1" showErrorMessage="1" prompt="Registre para cada informe a realizar, las horas estimadas en cada fase o etapa (planeación, ejecucion y elaboracion del informe)" sqref="D12:F12"/>
    <dataValidation allowBlank="1" showInputMessage="1" showErrorMessage="1" prompt="Registre el numero de informes que se proyectan realizar en la vigencia según la periodicidad" sqref="H12"/>
    <dataValidation allowBlank="1" showInputMessage="1" showErrorMessage="1" prompt="En esta columna se determina el numero de horas requeridas para el desarrollo del PAAI" sqref="I12"/>
    <dataValidation allowBlank="1" showInputMessage="1" showErrorMessage="1" prompt="Identifique el tipo de trabajo de auditoría a realizar de acuerdo a la priorización realizada" sqref="B12"/>
    <dataValidation type="list" allowBlank="1" showInputMessage="1" showErrorMessage="1" sqref="B13:B94">
      <formula1>$N$13:$N$17</formula1>
    </dataValidation>
  </dataValidations>
  <hyperlinks>
    <hyperlink ref="A4" location="'1. Horas requeridas PAAI'!A9" display="1.CÁLCULO DE HORAS REQUERIDAS PARA EL PAA"/>
    <hyperlink ref="A5" location="'2. Días -horas hábiles x vig'!A1" display="2.CALCULO DIAS -HORAS LABORALES POR AÑO Y POR AUDITOR"/>
    <hyperlink ref="A6" location="'3 Horas disponibles E. Auditor'!A30" display="3. RESULTADOS SOBRE LA CAPACIDAD INSTALADA Y REQUERIDA DEL EQUIPO AUDITOR"/>
  </hyperlinks>
  <pageMargins left="0.7" right="0.7" top="0.75" bottom="0.75" header="0.3" footer="0.3"/>
  <drawing r:id="rId2"/>
  <legacyDrawing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21"/>
  <sheetViews>
    <sheetView topLeftCell="A13" workbookViewId="0">
      <selection activeCell="C16" sqref="C16:K16"/>
    </sheetView>
  </sheetViews>
  <sheetFormatPr baseColWidth="10" defaultColWidth="11.42578125" defaultRowHeight="15" x14ac:dyDescent="0.25"/>
  <cols>
    <col min="1" max="2" width="11.42578125" style="26"/>
    <col min="3" max="3" width="16.85546875" style="26" customWidth="1"/>
    <col min="4" max="16384" width="11.42578125" style="26"/>
  </cols>
  <sheetData>
    <row r="4" spans="3:11" ht="15.75" thickBot="1" x14ac:dyDescent="0.3"/>
    <row r="5" spans="3:11" x14ac:dyDescent="0.25">
      <c r="C5" s="157" t="s">
        <v>244</v>
      </c>
      <c r="D5" s="158"/>
      <c r="E5" s="158"/>
      <c r="F5" s="158"/>
      <c r="G5" s="158"/>
      <c r="H5" s="158"/>
      <c r="I5" s="158"/>
      <c r="J5" s="158"/>
      <c r="K5" s="159"/>
    </row>
    <row r="6" spans="3:11" ht="32.25" customHeight="1" thickBot="1" x14ac:dyDescent="0.3">
      <c r="C6" s="180" t="s">
        <v>268</v>
      </c>
      <c r="D6" s="611" t="s">
        <v>272</v>
      </c>
      <c r="E6" s="611"/>
      <c r="F6" s="611"/>
      <c r="G6" s="611"/>
      <c r="H6" s="611"/>
      <c r="I6" s="611"/>
      <c r="J6" s="611"/>
      <c r="K6" s="612"/>
    </row>
    <row r="7" spans="3:11" x14ac:dyDescent="0.25">
      <c r="C7" s="156"/>
      <c r="D7" s="156"/>
      <c r="E7" s="156"/>
      <c r="F7" s="156"/>
      <c r="G7" s="156"/>
      <c r="H7" s="156"/>
      <c r="I7" s="156"/>
      <c r="J7" s="156"/>
      <c r="K7" s="156"/>
    </row>
    <row r="9" spans="3:11" ht="384" customHeight="1" x14ac:dyDescent="0.25">
      <c r="C9" s="502" t="s">
        <v>271</v>
      </c>
      <c r="D9" s="502"/>
      <c r="E9" s="502"/>
      <c r="F9" s="502"/>
      <c r="G9" s="502"/>
      <c r="H9" s="502"/>
      <c r="I9" s="502"/>
      <c r="J9" s="502"/>
      <c r="K9" s="502"/>
    </row>
    <row r="10" spans="3:11" ht="205.5" customHeight="1" x14ac:dyDescent="0.25">
      <c r="C10" s="502" t="s">
        <v>269</v>
      </c>
      <c r="D10" s="502"/>
      <c r="E10" s="502"/>
      <c r="F10" s="502"/>
      <c r="G10" s="502"/>
      <c r="H10" s="502"/>
      <c r="I10" s="502"/>
      <c r="J10" s="502"/>
      <c r="K10" s="502"/>
    </row>
    <row r="11" spans="3:11" ht="205.5" customHeight="1" thickBot="1" x14ac:dyDescent="0.3">
      <c r="C11" s="502" t="s">
        <v>270</v>
      </c>
      <c r="D11" s="502"/>
      <c r="E11" s="502"/>
      <c r="F11" s="502"/>
      <c r="G11" s="502"/>
      <c r="H11" s="502"/>
      <c r="I11" s="502"/>
      <c r="J11" s="502"/>
      <c r="K11" s="502"/>
    </row>
    <row r="12" spans="3:11" ht="39.75" customHeight="1" x14ac:dyDescent="0.25">
      <c r="C12" s="157" t="s">
        <v>244</v>
      </c>
      <c r="D12" s="158"/>
      <c r="E12" s="158"/>
      <c r="F12" s="158"/>
      <c r="G12" s="158"/>
      <c r="H12" s="158"/>
      <c r="I12" s="158"/>
      <c r="J12" s="158"/>
      <c r="K12" s="159"/>
    </row>
    <row r="13" spans="3:11" ht="15.75" thickBot="1" x14ac:dyDescent="0.3">
      <c r="C13" s="180" t="s">
        <v>273</v>
      </c>
      <c r="D13" s="611" t="s">
        <v>274</v>
      </c>
      <c r="E13" s="611"/>
      <c r="F13" s="611"/>
      <c r="G13" s="611"/>
      <c r="H13" s="611"/>
      <c r="I13" s="611"/>
      <c r="J13" s="611"/>
      <c r="K13" s="612"/>
    </row>
    <row r="14" spans="3:11" x14ac:dyDescent="0.25">
      <c r="C14" s="156"/>
      <c r="D14" s="156"/>
      <c r="E14" s="156"/>
      <c r="F14" s="156"/>
      <c r="G14" s="156"/>
      <c r="H14" s="156"/>
      <c r="I14" s="156"/>
      <c r="J14" s="156"/>
      <c r="K14" s="156"/>
    </row>
    <row r="16" spans="3:11" ht="184.5" customHeight="1" x14ac:dyDescent="0.25">
      <c r="C16" s="502" t="s">
        <v>275</v>
      </c>
      <c r="D16" s="502"/>
      <c r="E16" s="502"/>
      <c r="F16" s="502"/>
      <c r="G16" s="502"/>
      <c r="H16" s="502"/>
      <c r="I16" s="502"/>
      <c r="J16" s="502"/>
      <c r="K16" s="502"/>
    </row>
    <row r="17" spans="3:11" ht="320.25" customHeight="1" x14ac:dyDescent="0.25">
      <c r="C17" s="502" t="s">
        <v>276</v>
      </c>
      <c r="D17" s="502"/>
      <c r="E17" s="502"/>
      <c r="F17" s="502"/>
      <c r="G17" s="502"/>
      <c r="H17" s="502"/>
      <c r="I17" s="502"/>
      <c r="J17" s="502"/>
      <c r="K17" s="502"/>
    </row>
    <row r="18" spans="3:11" ht="242.25" customHeight="1" x14ac:dyDescent="0.25">
      <c r="C18" s="502" t="s">
        <v>277</v>
      </c>
      <c r="D18" s="502"/>
      <c r="E18" s="502"/>
      <c r="F18" s="502"/>
      <c r="G18" s="502"/>
      <c r="H18" s="502"/>
      <c r="I18" s="502"/>
      <c r="J18" s="502"/>
      <c r="K18" s="502"/>
    </row>
    <row r="19" spans="3:11" ht="252" customHeight="1" x14ac:dyDescent="0.25">
      <c r="C19" s="502" t="s">
        <v>278</v>
      </c>
      <c r="D19" s="502"/>
      <c r="E19" s="502"/>
      <c r="F19" s="502"/>
      <c r="G19" s="502"/>
      <c r="H19" s="502"/>
      <c r="I19" s="502"/>
      <c r="J19" s="502"/>
      <c r="K19" s="502"/>
    </row>
    <row r="20" spans="3:11" ht="161.25" customHeight="1" x14ac:dyDescent="0.25">
      <c r="C20" s="502" t="s">
        <v>279</v>
      </c>
      <c r="D20" s="502"/>
      <c r="E20" s="502"/>
      <c r="F20" s="502"/>
      <c r="G20" s="502"/>
      <c r="H20" s="502"/>
      <c r="I20" s="502"/>
      <c r="J20" s="502"/>
      <c r="K20" s="502"/>
    </row>
    <row r="21" spans="3:11" ht="16.5" x14ac:dyDescent="0.25">
      <c r="C21" s="613" t="s">
        <v>254</v>
      </c>
      <c r="D21" s="613"/>
      <c r="E21" s="613"/>
      <c r="F21" s="613"/>
      <c r="G21" s="613"/>
      <c r="H21" s="613"/>
      <c r="I21" s="613"/>
      <c r="J21" s="613"/>
      <c r="K21" s="613"/>
    </row>
  </sheetData>
  <mergeCells count="11">
    <mergeCell ref="C9:K9"/>
    <mergeCell ref="C10:K10"/>
    <mergeCell ref="C11:K11"/>
    <mergeCell ref="D6:K6"/>
    <mergeCell ref="C21:K21"/>
    <mergeCell ref="D13:K13"/>
    <mergeCell ref="C16:K16"/>
    <mergeCell ref="C18:K18"/>
    <mergeCell ref="C20:K20"/>
    <mergeCell ref="C17:K17"/>
    <mergeCell ref="C19:K19"/>
  </mergeCell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zoomScale="130" zoomScaleNormal="130" workbookViewId="0">
      <selection activeCell="C59" sqref="C59"/>
    </sheetView>
  </sheetViews>
  <sheetFormatPr baseColWidth="10" defaultColWidth="11.42578125" defaultRowHeight="11.25" x14ac:dyDescent="0.2"/>
  <cols>
    <col min="1" max="1" width="26.140625" style="113" customWidth="1"/>
    <col min="2" max="2" width="21.28515625" style="113" customWidth="1"/>
    <col min="3" max="3" width="11.42578125" style="113"/>
    <col min="4" max="4" width="13.140625" style="113" customWidth="1"/>
    <col min="5" max="5" width="21.5703125" style="113" customWidth="1"/>
    <col min="6" max="6" width="11.42578125" style="113"/>
    <col min="7" max="7" width="26.42578125" style="113" customWidth="1"/>
    <col min="8" max="8" width="27.5703125" style="113" customWidth="1"/>
    <col min="9" max="9" width="15.85546875" style="115" customWidth="1"/>
    <col min="10" max="10" width="23.85546875" style="115" customWidth="1"/>
    <col min="11" max="11" width="11.42578125" style="115"/>
    <col min="12" max="12" width="12.28515625" style="115" customWidth="1"/>
    <col min="13" max="15" width="11.42578125" style="115"/>
    <col min="16" max="16" width="18.42578125" style="115" customWidth="1"/>
    <col min="17" max="17" width="11.42578125" style="115"/>
    <col min="18" max="16384" width="11.42578125" style="113"/>
  </cols>
  <sheetData>
    <row r="1" spans="1:17" s="26" customFormat="1" ht="72" customHeight="1" x14ac:dyDescent="0.25">
      <c r="A1" s="128" t="s">
        <v>16</v>
      </c>
      <c r="B1" s="616" t="s">
        <v>251</v>
      </c>
      <c r="C1" s="616"/>
      <c r="D1" s="616"/>
      <c r="E1" s="616"/>
      <c r="F1" s="616"/>
      <c r="G1" s="616"/>
      <c r="H1" s="129"/>
      <c r="I1" s="131"/>
      <c r="J1" s="131"/>
      <c r="K1" s="131"/>
      <c r="L1" s="131"/>
      <c r="M1" s="131"/>
      <c r="N1" s="131"/>
      <c r="O1" s="131"/>
      <c r="P1" s="21"/>
      <c r="Q1" s="21"/>
    </row>
    <row r="2" spans="1:17" ht="12.75" x14ac:dyDescent="0.25">
      <c r="A2" s="123" t="s">
        <v>494</v>
      </c>
      <c r="B2" s="90"/>
      <c r="C2" s="90"/>
      <c r="D2" s="90"/>
      <c r="E2" s="90"/>
      <c r="F2" s="90"/>
      <c r="G2" s="90"/>
      <c r="H2" s="90"/>
    </row>
    <row r="3" spans="1:17" ht="12.75" x14ac:dyDescent="0.25">
      <c r="A3" s="619" t="s">
        <v>247</v>
      </c>
      <c r="B3" s="619"/>
      <c r="C3" s="619"/>
      <c r="D3" s="619"/>
      <c r="E3" s="619"/>
      <c r="F3" s="619"/>
      <c r="G3" s="619"/>
      <c r="H3" s="619"/>
    </row>
    <row r="4" spans="1:17" ht="18.75" customHeight="1" x14ac:dyDescent="0.25">
      <c r="A4" s="622" t="s">
        <v>230</v>
      </c>
      <c r="B4" s="622"/>
      <c r="C4" s="622"/>
      <c r="D4" s="622"/>
      <c r="E4" s="622"/>
      <c r="F4" s="622"/>
      <c r="G4" s="622"/>
      <c r="H4" s="622"/>
    </row>
    <row r="5" spans="1:17" ht="12.75" x14ac:dyDescent="0.25">
      <c r="A5" s="118" t="s">
        <v>234</v>
      </c>
      <c r="B5" s="118" t="s">
        <v>175</v>
      </c>
      <c r="C5" s="118" t="s">
        <v>176</v>
      </c>
      <c r="D5" s="118" t="s">
        <v>177</v>
      </c>
      <c r="E5" s="118" t="s">
        <v>235</v>
      </c>
      <c r="F5" s="118" t="s">
        <v>176</v>
      </c>
      <c r="G5" s="118" t="s">
        <v>177</v>
      </c>
      <c r="H5" s="118" t="s">
        <v>236</v>
      </c>
      <c r="I5" s="114"/>
      <c r="J5" s="114"/>
      <c r="K5" s="114"/>
      <c r="L5" s="114"/>
    </row>
    <row r="6" spans="1:17" ht="13.5" x14ac:dyDescent="0.3">
      <c r="A6" s="121" t="s">
        <v>178</v>
      </c>
      <c r="B6" s="119">
        <v>19</v>
      </c>
      <c r="C6" s="119">
        <v>8</v>
      </c>
      <c r="D6" s="119">
        <f>+C6*B6</f>
        <v>152</v>
      </c>
      <c r="E6" s="119"/>
      <c r="F6" s="119">
        <v>8</v>
      </c>
      <c r="G6" s="119">
        <f>+F6*E6</f>
        <v>0</v>
      </c>
      <c r="H6" s="119">
        <f>+D6-G6</f>
        <v>152</v>
      </c>
      <c r="J6" s="116"/>
      <c r="K6" s="116"/>
      <c r="L6" s="116"/>
    </row>
    <row r="7" spans="1:17" ht="13.5" x14ac:dyDescent="0.3">
      <c r="A7" s="121" t="s">
        <v>179</v>
      </c>
      <c r="B7" s="119">
        <v>20</v>
      </c>
      <c r="C7" s="119">
        <v>8</v>
      </c>
      <c r="D7" s="119">
        <f t="shared" ref="D7:D17" si="0">+C7*B7</f>
        <v>160</v>
      </c>
      <c r="E7" s="119"/>
      <c r="F7" s="119">
        <v>8</v>
      </c>
      <c r="G7" s="119">
        <f t="shared" ref="G7:G17" si="1">+F7*E7</f>
        <v>0</v>
      </c>
      <c r="H7" s="119">
        <f t="shared" ref="H7:H17" si="2">+D7-G7</f>
        <v>160</v>
      </c>
      <c r="J7" s="116"/>
      <c r="K7" s="116"/>
      <c r="L7" s="116"/>
    </row>
    <row r="8" spans="1:17" ht="13.5" x14ac:dyDescent="0.3">
      <c r="A8" s="121" t="s">
        <v>180</v>
      </c>
      <c r="B8" s="119">
        <v>22</v>
      </c>
      <c r="C8" s="119">
        <v>8</v>
      </c>
      <c r="D8" s="119">
        <f t="shared" si="0"/>
        <v>176</v>
      </c>
      <c r="E8" s="119"/>
      <c r="F8" s="119">
        <v>8</v>
      </c>
      <c r="G8" s="119">
        <f t="shared" si="1"/>
        <v>0</v>
      </c>
      <c r="H8" s="119">
        <f t="shared" si="2"/>
        <v>176</v>
      </c>
      <c r="J8" s="116"/>
      <c r="K8" s="116"/>
      <c r="L8" s="116"/>
    </row>
    <row r="9" spans="1:17" ht="13.5" x14ac:dyDescent="0.3">
      <c r="A9" s="121" t="s">
        <v>181</v>
      </c>
      <c r="B9" s="119">
        <v>20</v>
      </c>
      <c r="C9" s="119">
        <v>8</v>
      </c>
      <c r="D9" s="119">
        <f t="shared" si="0"/>
        <v>160</v>
      </c>
      <c r="E9" s="119"/>
      <c r="F9" s="119">
        <v>8</v>
      </c>
      <c r="G9" s="119">
        <f t="shared" si="1"/>
        <v>0</v>
      </c>
      <c r="H9" s="119">
        <f t="shared" si="2"/>
        <v>160</v>
      </c>
      <c r="J9" s="116"/>
      <c r="K9" s="116"/>
      <c r="L9" s="116"/>
    </row>
    <row r="10" spans="1:17" ht="13.5" x14ac:dyDescent="0.3">
      <c r="A10" s="121" t="s">
        <v>182</v>
      </c>
      <c r="B10" s="119">
        <v>20</v>
      </c>
      <c r="C10" s="119">
        <v>8</v>
      </c>
      <c r="D10" s="119">
        <f t="shared" si="0"/>
        <v>160</v>
      </c>
      <c r="E10" s="119"/>
      <c r="F10" s="119">
        <v>8</v>
      </c>
      <c r="G10" s="119">
        <f t="shared" si="1"/>
        <v>0</v>
      </c>
      <c r="H10" s="119">
        <f t="shared" si="2"/>
        <v>160</v>
      </c>
      <c r="J10" s="116"/>
      <c r="K10" s="116"/>
      <c r="L10" s="116"/>
    </row>
    <row r="11" spans="1:17" ht="13.5" x14ac:dyDescent="0.3">
      <c r="A11" s="121" t="s">
        <v>183</v>
      </c>
      <c r="B11" s="119">
        <v>20</v>
      </c>
      <c r="C11" s="119">
        <v>8</v>
      </c>
      <c r="D11" s="119">
        <f t="shared" si="0"/>
        <v>160</v>
      </c>
      <c r="E11" s="119"/>
      <c r="F11" s="119">
        <v>8</v>
      </c>
      <c r="G11" s="119">
        <f t="shared" si="1"/>
        <v>0</v>
      </c>
      <c r="H11" s="119">
        <f t="shared" si="2"/>
        <v>160</v>
      </c>
      <c r="J11" s="116"/>
      <c r="K11" s="116"/>
      <c r="L11" s="116"/>
    </row>
    <row r="12" spans="1:17" ht="13.5" x14ac:dyDescent="0.3">
      <c r="A12" s="121" t="s">
        <v>184</v>
      </c>
      <c r="B12" s="119">
        <v>20</v>
      </c>
      <c r="C12" s="119">
        <v>8</v>
      </c>
      <c r="D12" s="119">
        <f t="shared" si="0"/>
        <v>160</v>
      </c>
      <c r="E12" s="119"/>
      <c r="F12" s="119">
        <v>8</v>
      </c>
      <c r="G12" s="119">
        <f t="shared" si="1"/>
        <v>0</v>
      </c>
      <c r="H12" s="119">
        <f t="shared" si="2"/>
        <v>160</v>
      </c>
      <c r="J12" s="116"/>
      <c r="K12" s="116"/>
      <c r="L12" s="116"/>
    </row>
    <row r="13" spans="1:17" ht="13.5" x14ac:dyDescent="0.3">
      <c r="A13" s="121" t="s">
        <v>185</v>
      </c>
      <c r="B13" s="119">
        <v>21</v>
      </c>
      <c r="C13" s="119">
        <v>8</v>
      </c>
      <c r="D13" s="119">
        <f t="shared" si="0"/>
        <v>168</v>
      </c>
      <c r="E13" s="119"/>
      <c r="F13" s="119">
        <v>8</v>
      </c>
      <c r="G13" s="119">
        <f t="shared" si="1"/>
        <v>0</v>
      </c>
      <c r="H13" s="119">
        <f t="shared" si="2"/>
        <v>168</v>
      </c>
      <c r="J13" s="116"/>
      <c r="K13" s="116"/>
      <c r="L13" s="116"/>
    </row>
    <row r="14" spans="1:17" ht="13.5" x14ac:dyDescent="0.3">
      <c r="A14" s="121" t="s">
        <v>186</v>
      </c>
      <c r="B14" s="119">
        <v>22</v>
      </c>
      <c r="C14" s="119">
        <v>8</v>
      </c>
      <c r="D14" s="119">
        <f t="shared" si="0"/>
        <v>176</v>
      </c>
      <c r="E14" s="119"/>
      <c r="F14" s="119">
        <v>8</v>
      </c>
      <c r="G14" s="119">
        <f t="shared" si="1"/>
        <v>0</v>
      </c>
      <c r="H14" s="119">
        <f t="shared" si="2"/>
        <v>176</v>
      </c>
      <c r="J14" s="116"/>
      <c r="K14" s="116"/>
      <c r="L14" s="116"/>
    </row>
    <row r="15" spans="1:17" ht="13.5" x14ac:dyDescent="0.3">
      <c r="A15" s="121" t="s">
        <v>187</v>
      </c>
      <c r="B15" s="119">
        <v>20</v>
      </c>
      <c r="C15" s="119">
        <v>8</v>
      </c>
      <c r="D15" s="119">
        <f t="shared" si="0"/>
        <v>160</v>
      </c>
      <c r="E15" s="119"/>
      <c r="F15" s="119">
        <v>8</v>
      </c>
      <c r="G15" s="119">
        <f t="shared" si="1"/>
        <v>0</v>
      </c>
      <c r="H15" s="119">
        <f t="shared" si="2"/>
        <v>160</v>
      </c>
      <c r="J15" s="116"/>
      <c r="K15" s="116"/>
      <c r="L15" s="116"/>
    </row>
    <row r="16" spans="1:17" ht="13.5" x14ac:dyDescent="0.3">
      <c r="A16" s="121" t="s">
        <v>188</v>
      </c>
      <c r="B16" s="119">
        <v>20</v>
      </c>
      <c r="C16" s="119">
        <v>8</v>
      </c>
      <c r="D16" s="119">
        <f t="shared" si="0"/>
        <v>160</v>
      </c>
      <c r="E16" s="119"/>
      <c r="F16" s="119">
        <v>8</v>
      </c>
      <c r="G16" s="119">
        <f t="shared" si="1"/>
        <v>0</v>
      </c>
      <c r="H16" s="119">
        <f t="shared" si="2"/>
        <v>160</v>
      </c>
      <c r="J16" s="116"/>
      <c r="K16" s="116"/>
      <c r="L16" s="116"/>
    </row>
    <row r="17" spans="1:15" ht="13.5" x14ac:dyDescent="0.3">
      <c r="A17" s="121" t="s">
        <v>189</v>
      </c>
      <c r="B17" s="119">
        <v>22</v>
      </c>
      <c r="C17" s="119">
        <v>8</v>
      </c>
      <c r="D17" s="119">
        <f t="shared" si="0"/>
        <v>176</v>
      </c>
      <c r="E17" s="119"/>
      <c r="F17" s="119">
        <v>8</v>
      </c>
      <c r="G17" s="119">
        <f t="shared" si="1"/>
        <v>0</v>
      </c>
      <c r="H17" s="119">
        <f t="shared" si="2"/>
        <v>176</v>
      </c>
      <c r="J17" s="116"/>
      <c r="K17" s="116"/>
      <c r="L17" s="116"/>
    </row>
    <row r="18" spans="1:15" ht="12.75" x14ac:dyDescent="0.25">
      <c r="A18" s="122" t="s">
        <v>5</v>
      </c>
      <c r="B18" s="118">
        <f>SUM(B6:B17)</f>
        <v>246</v>
      </c>
      <c r="C18" s="118"/>
      <c r="D18" s="118">
        <f>SUM(D6:D17)</f>
        <v>1968</v>
      </c>
      <c r="E18" s="118">
        <f>SUM(E6:E17)</f>
        <v>0</v>
      </c>
      <c r="F18" s="118"/>
      <c r="G18" s="118">
        <f>SUM(G6:G17)</f>
        <v>0</v>
      </c>
      <c r="H18" s="118">
        <f>SUM(H6:H17)</f>
        <v>1968</v>
      </c>
      <c r="I18" s="117"/>
      <c r="J18" s="114"/>
      <c r="K18" s="114"/>
      <c r="L18" s="114"/>
    </row>
    <row r="19" spans="1:15" x14ac:dyDescent="0.2">
      <c r="A19" s="120"/>
      <c r="B19" s="130"/>
      <c r="C19" s="126"/>
      <c r="D19" s="126"/>
      <c r="E19" s="126"/>
      <c r="F19" s="124"/>
      <c r="G19" s="125"/>
      <c r="H19" s="124"/>
      <c r="L19" s="116"/>
    </row>
    <row r="20" spans="1:15" ht="25.5" customHeight="1" x14ac:dyDescent="0.25">
      <c r="A20" s="617" t="s">
        <v>240</v>
      </c>
      <c r="B20" s="618"/>
    </row>
    <row r="21" spans="1:15" ht="12.75" x14ac:dyDescent="0.25">
      <c r="A21" s="122" t="s">
        <v>237</v>
      </c>
      <c r="B21" s="112">
        <f>+B18-E18</f>
        <v>246</v>
      </c>
      <c r="F21" s="114"/>
      <c r="G21" s="114"/>
      <c r="H21" s="114"/>
      <c r="I21" s="114"/>
      <c r="K21" s="114"/>
      <c r="L21" s="114"/>
      <c r="M21" s="114"/>
      <c r="N21" s="114"/>
    </row>
    <row r="22" spans="1:15" ht="12.75" x14ac:dyDescent="0.25">
      <c r="A22" s="122" t="s">
        <v>238</v>
      </c>
      <c r="B22" s="112">
        <f>+D18-G18</f>
        <v>1968</v>
      </c>
      <c r="F22" s="115"/>
      <c r="G22" s="116"/>
      <c r="H22" s="116"/>
      <c r="I22" s="116"/>
      <c r="L22" s="116"/>
      <c r="M22" s="116"/>
      <c r="N22" s="116"/>
    </row>
    <row r="23" spans="1:15" x14ac:dyDescent="0.2">
      <c r="F23" s="115"/>
      <c r="G23" s="116"/>
      <c r="H23" s="116"/>
      <c r="I23" s="116"/>
      <c r="L23" s="116"/>
      <c r="M23" s="116"/>
      <c r="N23" s="116"/>
    </row>
    <row r="24" spans="1:15" x14ac:dyDescent="0.2">
      <c r="F24" s="115"/>
      <c r="G24" s="116"/>
      <c r="H24" s="116"/>
      <c r="I24" s="116"/>
      <c r="L24" s="116"/>
      <c r="M24" s="116"/>
      <c r="N24" s="116"/>
    </row>
    <row r="25" spans="1:15" ht="15" x14ac:dyDescent="0.25">
      <c r="A25" s="127" t="s">
        <v>174</v>
      </c>
      <c r="F25" s="115"/>
      <c r="G25" s="116"/>
      <c r="H25" s="116"/>
      <c r="I25" s="116"/>
      <c r="L25" s="116"/>
      <c r="M25" s="116"/>
      <c r="N25" s="116"/>
    </row>
    <row r="26" spans="1:15" x14ac:dyDescent="0.2">
      <c r="F26" s="115"/>
      <c r="G26" s="116"/>
      <c r="H26" s="116"/>
      <c r="I26" s="116"/>
      <c r="L26" s="116"/>
      <c r="M26" s="116"/>
      <c r="N26" s="116"/>
    </row>
    <row r="27" spans="1:15" s="90" customFormat="1" ht="17.25" customHeight="1" x14ac:dyDescent="0.25">
      <c r="A27" s="622" t="s">
        <v>239</v>
      </c>
      <c r="B27" s="622"/>
      <c r="C27" s="622"/>
      <c r="D27" s="622"/>
      <c r="E27" s="622"/>
      <c r="F27" s="622"/>
      <c r="G27" s="622"/>
      <c r="H27" s="622"/>
      <c r="I27" s="622"/>
      <c r="J27" s="622"/>
      <c r="K27" s="622"/>
      <c r="L27" s="622"/>
      <c r="M27" s="622"/>
      <c r="N27" s="622"/>
      <c r="O27" s="622"/>
    </row>
    <row r="28" spans="1:15" s="91" customFormat="1" ht="18" customHeight="1" x14ac:dyDescent="0.2">
      <c r="A28" s="614" t="s">
        <v>112</v>
      </c>
      <c r="B28" s="614" t="s">
        <v>113</v>
      </c>
      <c r="C28" s="614" t="s">
        <v>115</v>
      </c>
      <c r="D28" s="614" t="s">
        <v>116</v>
      </c>
      <c r="E28" s="614" t="s">
        <v>118</v>
      </c>
      <c r="F28" s="92" t="s">
        <v>119</v>
      </c>
      <c r="G28" s="92" t="s">
        <v>192</v>
      </c>
      <c r="H28" s="93" t="s">
        <v>120</v>
      </c>
      <c r="I28" s="93" t="s">
        <v>193</v>
      </c>
      <c r="J28" s="614" t="s">
        <v>194</v>
      </c>
      <c r="K28" s="623" t="s">
        <v>195</v>
      </c>
      <c r="L28" s="614" t="s">
        <v>196</v>
      </c>
      <c r="M28" s="614" t="s">
        <v>197</v>
      </c>
      <c r="N28" s="614" t="s">
        <v>198</v>
      </c>
    </row>
    <row r="29" spans="1:15" s="90" customFormat="1" x14ac:dyDescent="0.2">
      <c r="A29" s="615"/>
      <c r="B29" s="615"/>
      <c r="C29" s="615"/>
      <c r="D29" s="615"/>
      <c r="E29" s="615"/>
      <c r="F29" s="625" t="s">
        <v>199</v>
      </c>
      <c r="G29" s="625"/>
      <c r="H29" s="626" t="s">
        <v>200</v>
      </c>
      <c r="I29" s="626"/>
      <c r="J29" s="615"/>
      <c r="K29" s="624"/>
      <c r="L29" s="615"/>
      <c r="M29" s="615"/>
      <c r="N29" s="615"/>
    </row>
    <row r="30" spans="1:15" s="136" customFormat="1" ht="77.25" customHeight="1" x14ac:dyDescent="0.3">
      <c r="A30" s="132" t="s">
        <v>201</v>
      </c>
      <c r="B30" s="132" t="s">
        <v>202</v>
      </c>
      <c r="C30" s="133" t="s">
        <v>203</v>
      </c>
      <c r="D30" s="133" t="s">
        <v>190</v>
      </c>
      <c r="E30" s="134" t="s">
        <v>204</v>
      </c>
      <c r="F30" s="133" t="s">
        <v>205</v>
      </c>
      <c r="G30" s="133" t="s">
        <v>206</v>
      </c>
      <c r="H30" s="133" t="s">
        <v>207</v>
      </c>
      <c r="I30" s="133" t="s">
        <v>208</v>
      </c>
      <c r="J30" s="133" t="s">
        <v>209</v>
      </c>
      <c r="K30" s="135" t="s">
        <v>210</v>
      </c>
      <c r="L30" s="133" t="s">
        <v>211</v>
      </c>
      <c r="M30" s="133" t="s">
        <v>212</v>
      </c>
      <c r="N30" s="133" t="s">
        <v>213</v>
      </c>
    </row>
    <row r="31" spans="1:15" s="32" customFormat="1" ht="16.5" x14ac:dyDescent="0.3">
      <c r="A31" s="137"/>
      <c r="B31" s="137"/>
      <c r="C31" s="137"/>
      <c r="D31" s="137"/>
      <c r="E31" s="137"/>
      <c r="F31" s="138">
        <v>0.1</v>
      </c>
      <c r="G31" s="138">
        <v>0.05</v>
      </c>
      <c r="H31" s="138">
        <v>2.5000000000000001E-2</v>
      </c>
      <c r="I31" s="139">
        <f>+I32/E32</f>
        <v>6.097560975609756E-2</v>
      </c>
      <c r="J31" s="140">
        <f>SUM(F31:I31)</f>
        <v>0.23597560975609758</v>
      </c>
      <c r="K31" s="141"/>
      <c r="L31" s="142"/>
      <c r="M31" s="142"/>
      <c r="N31" s="137"/>
    </row>
    <row r="32" spans="1:15" s="136" customFormat="1" ht="13.5" x14ac:dyDescent="0.3">
      <c r="A32" s="119" t="s">
        <v>446</v>
      </c>
      <c r="B32" s="119">
        <v>1</v>
      </c>
      <c r="C32" s="119">
        <f>+B21</f>
        <v>246</v>
      </c>
      <c r="D32" s="119">
        <v>0</v>
      </c>
      <c r="E32" s="143">
        <f t="shared" ref="E32:E38" si="3">+C32-D32</f>
        <v>246</v>
      </c>
      <c r="F32" s="144">
        <f t="shared" ref="F32:F38" si="4">+E32*$F$31</f>
        <v>24.6</v>
      </c>
      <c r="G32" s="145">
        <f t="shared" ref="G32:G38" si="5">+E32*$G$31</f>
        <v>12.3</v>
      </c>
      <c r="H32" s="145">
        <f t="shared" ref="H32:H38" si="6">+E32*$H$31</f>
        <v>6.15</v>
      </c>
      <c r="I32" s="144">
        <v>15</v>
      </c>
      <c r="J32" s="144">
        <f>SUM(F32:I32)</f>
        <v>58.050000000000004</v>
      </c>
      <c r="K32" s="146">
        <f>+E32-J32</f>
        <v>187.95</v>
      </c>
      <c r="L32" s="147">
        <v>8</v>
      </c>
      <c r="M32" s="147">
        <f>+K32*L32</f>
        <v>1503.6</v>
      </c>
      <c r="N32" s="147">
        <f>+M32*B32</f>
        <v>1503.6</v>
      </c>
    </row>
    <row r="33" spans="1:17" s="136" customFormat="1" ht="13.5" x14ac:dyDescent="0.3">
      <c r="A33" s="119" t="s">
        <v>511</v>
      </c>
      <c r="B33" s="119">
        <v>2</v>
      </c>
      <c r="C33" s="119">
        <f>+B21</f>
        <v>246</v>
      </c>
      <c r="D33" s="119">
        <f>+'[2]2. Días -horas hábiles x vig'!D63</f>
        <v>0</v>
      </c>
      <c r="E33" s="143">
        <f t="shared" si="3"/>
        <v>246</v>
      </c>
      <c r="F33" s="144">
        <f t="shared" si="4"/>
        <v>24.6</v>
      </c>
      <c r="G33" s="145">
        <f t="shared" si="5"/>
        <v>12.3</v>
      </c>
      <c r="H33" s="145">
        <f t="shared" si="6"/>
        <v>6.15</v>
      </c>
      <c r="I33" s="144">
        <v>0</v>
      </c>
      <c r="J33" s="144">
        <f>SUM(F33:I33)</f>
        <v>43.050000000000004</v>
      </c>
      <c r="K33" s="146">
        <f>+E33-J33</f>
        <v>202.95</v>
      </c>
      <c r="L33" s="147">
        <v>8</v>
      </c>
      <c r="M33" s="147">
        <f>+K33*L33</f>
        <v>1623.6</v>
      </c>
      <c r="N33" s="147">
        <f>+M33*B33</f>
        <v>3247.2</v>
      </c>
    </row>
    <row r="34" spans="1:17" s="136" customFormat="1" ht="13.5" x14ac:dyDescent="0.3">
      <c r="A34" s="119" t="s">
        <v>512</v>
      </c>
      <c r="B34" s="119">
        <v>6</v>
      </c>
      <c r="C34" s="119">
        <f>+B21</f>
        <v>246</v>
      </c>
      <c r="D34" s="119">
        <v>0</v>
      </c>
      <c r="E34" s="143">
        <f t="shared" si="3"/>
        <v>246</v>
      </c>
      <c r="F34" s="144">
        <f t="shared" si="4"/>
        <v>24.6</v>
      </c>
      <c r="G34" s="145">
        <f t="shared" si="5"/>
        <v>12.3</v>
      </c>
      <c r="H34" s="145">
        <f t="shared" si="6"/>
        <v>6.15</v>
      </c>
      <c r="I34" s="144">
        <v>0</v>
      </c>
      <c r="J34" s="144">
        <f>SUM(F34:I34)</f>
        <v>43.050000000000004</v>
      </c>
      <c r="K34" s="146">
        <f>+E34-J34</f>
        <v>202.95</v>
      </c>
      <c r="L34" s="147">
        <v>8</v>
      </c>
      <c r="M34" s="147">
        <f>+K34*L34</f>
        <v>1623.6</v>
      </c>
      <c r="N34" s="147">
        <f>+M34*B34</f>
        <v>9741.5999999999985</v>
      </c>
    </row>
    <row r="35" spans="1:17" s="136" customFormat="1" ht="13.5" x14ac:dyDescent="0.3">
      <c r="A35" s="119"/>
      <c r="B35" s="119"/>
      <c r="C35" s="119"/>
      <c r="D35" s="119">
        <v>0</v>
      </c>
      <c r="E35" s="143">
        <f t="shared" si="3"/>
        <v>0</v>
      </c>
      <c r="F35" s="144">
        <f t="shared" si="4"/>
        <v>0</v>
      </c>
      <c r="G35" s="145">
        <f t="shared" si="5"/>
        <v>0</v>
      </c>
      <c r="H35" s="145">
        <f t="shared" si="6"/>
        <v>0</v>
      </c>
      <c r="I35" s="144">
        <v>0</v>
      </c>
      <c r="J35" s="144">
        <f t="shared" ref="J35:J42" si="7">SUM(F35:I35)</f>
        <v>0</v>
      </c>
      <c r="K35" s="146">
        <f t="shared" ref="K35:K42" si="8">+E35-J35</f>
        <v>0</v>
      </c>
      <c r="L35" s="147">
        <v>8</v>
      </c>
      <c r="M35" s="147">
        <f t="shared" ref="M35:M42" si="9">+K35*L35</f>
        <v>0</v>
      </c>
      <c r="N35" s="147">
        <f t="shared" ref="N35:N42" si="10">+M35*B35</f>
        <v>0</v>
      </c>
    </row>
    <row r="36" spans="1:17" s="136" customFormat="1" ht="13.5" x14ac:dyDescent="0.3">
      <c r="A36" s="119"/>
      <c r="B36" s="119"/>
      <c r="C36" s="119"/>
      <c r="D36" s="119">
        <v>0</v>
      </c>
      <c r="E36" s="143">
        <f t="shared" si="3"/>
        <v>0</v>
      </c>
      <c r="F36" s="144">
        <f t="shared" si="4"/>
        <v>0</v>
      </c>
      <c r="G36" s="145">
        <f t="shared" si="5"/>
        <v>0</v>
      </c>
      <c r="H36" s="145">
        <f t="shared" si="6"/>
        <v>0</v>
      </c>
      <c r="I36" s="144">
        <v>0</v>
      </c>
      <c r="J36" s="144">
        <f t="shared" si="7"/>
        <v>0</v>
      </c>
      <c r="K36" s="146">
        <f t="shared" si="8"/>
        <v>0</v>
      </c>
      <c r="L36" s="147">
        <v>8</v>
      </c>
      <c r="M36" s="147">
        <f t="shared" si="9"/>
        <v>0</v>
      </c>
      <c r="N36" s="147">
        <f t="shared" si="10"/>
        <v>0</v>
      </c>
    </row>
    <row r="37" spans="1:17" s="136" customFormat="1" ht="13.5" x14ac:dyDescent="0.3">
      <c r="A37" s="119"/>
      <c r="B37" s="119"/>
      <c r="C37" s="119"/>
      <c r="D37" s="119">
        <v>0</v>
      </c>
      <c r="E37" s="143">
        <f t="shared" si="3"/>
        <v>0</v>
      </c>
      <c r="F37" s="144">
        <f t="shared" si="4"/>
        <v>0</v>
      </c>
      <c r="G37" s="145">
        <f t="shared" si="5"/>
        <v>0</v>
      </c>
      <c r="H37" s="145">
        <f t="shared" si="6"/>
        <v>0</v>
      </c>
      <c r="I37" s="144">
        <v>0</v>
      </c>
      <c r="J37" s="144">
        <f t="shared" si="7"/>
        <v>0</v>
      </c>
      <c r="K37" s="146">
        <f t="shared" si="8"/>
        <v>0</v>
      </c>
      <c r="L37" s="147">
        <v>8</v>
      </c>
      <c r="M37" s="147">
        <f t="shared" si="9"/>
        <v>0</v>
      </c>
      <c r="N37" s="147">
        <f t="shared" si="10"/>
        <v>0</v>
      </c>
    </row>
    <row r="38" spans="1:17" s="136" customFormat="1" ht="13.5" x14ac:dyDescent="0.3">
      <c r="A38" s="119"/>
      <c r="B38" s="119"/>
      <c r="C38" s="119"/>
      <c r="D38" s="119">
        <v>0</v>
      </c>
      <c r="E38" s="143">
        <f t="shared" si="3"/>
        <v>0</v>
      </c>
      <c r="F38" s="144">
        <f t="shared" si="4"/>
        <v>0</v>
      </c>
      <c r="G38" s="145">
        <f t="shared" si="5"/>
        <v>0</v>
      </c>
      <c r="H38" s="145">
        <f t="shared" si="6"/>
        <v>0</v>
      </c>
      <c r="I38" s="144">
        <v>0</v>
      </c>
      <c r="J38" s="144">
        <f t="shared" si="7"/>
        <v>0</v>
      </c>
      <c r="K38" s="146">
        <f t="shared" si="8"/>
        <v>0</v>
      </c>
      <c r="L38" s="147">
        <v>8</v>
      </c>
      <c r="M38" s="147">
        <f t="shared" si="9"/>
        <v>0</v>
      </c>
      <c r="N38" s="147">
        <f t="shared" si="10"/>
        <v>0</v>
      </c>
    </row>
    <row r="39" spans="1:17" s="136" customFormat="1" ht="13.5" x14ac:dyDescent="0.3">
      <c r="A39" s="119"/>
      <c r="B39" s="119"/>
      <c r="C39" s="119"/>
      <c r="D39" s="119"/>
      <c r="E39" s="143"/>
      <c r="F39" s="144"/>
      <c r="G39" s="145"/>
      <c r="H39" s="145"/>
      <c r="I39" s="144"/>
      <c r="J39" s="144">
        <f t="shared" si="7"/>
        <v>0</v>
      </c>
      <c r="K39" s="146">
        <f t="shared" si="8"/>
        <v>0</v>
      </c>
      <c r="L39" s="147"/>
      <c r="M39" s="147">
        <f t="shared" si="9"/>
        <v>0</v>
      </c>
      <c r="N39" s="147">
        <f t="shared" si="10"/>
        <v>0</v>
      </c>
    </row>
    <row r="40" spans="1:17" s="136" customFormat="1" ht="13.5" x14ac:dyDescent="0.3">
      <c r="A40" s="119"/>
      <c r="B40" s="119"/>
      <c r="C40" s="119"/>
      <c r="D40" s="119"/>
      <c r="E40" s="143"/>
      <c r="F40" s="144"/>
      <c r="G40" s="145"/>
      <c r="H40" s="145"/>
      <c r="I40" s="144"/>
      <c r="J40" s="144">
        <f t="shared" si="7"/>
        <v>0</v>
      </c>
      <c r="K40" s="146">
        <f t="shared" si="8"/>
        <v>0</v>
      </c>
      <c r="L40" s="147"/>
      <c r="M40" s="147">
        <f t="shared" si="9"/>
        <v>0</v>
      </c>
      <c r="N40" s="147">
        <f t="shared" si="10"/>
        <v>0</v>
      </c>
    </row>
    <row r="41" spans="1:17" s="136" customFormat="1" ht="13.5" x14ac:dyDescent="0.3">
      <c r="A41" s="119"/>
      <c r="B41" s="119"/>
      <c r="C41" s="119"/>
      <c r="D41" s="119"/>
      <c r="E41" s="143"/>
      <c r="F41" s="144"/>
      <c r="G41" s="145"/>
      <c r="H41" s="145"/>
      <c r="I41" s="144"/>
      <c r="J41" s="144">
        <f t="shared" si="7"/>
        <v>0</v>
      </c>
      <c r="K41" s="146">
        <f t="shared" si="8"/>
        <v>0</v>
      </c>
      <c r="L41" s="147"/>
      <c r="M41" s="147">
        <f t="shared" si="9"/>
        <v>0</v>
      </c>
      <c r="N41" s="147">
        <f t="shared" si="10"/>
        <v>0</v>
      </c>
    </row>
    <row r="42" spans="1:17" s="136" customFormat="1" ht="13.5" x14ac:dyDescent="0.3">
      <c r="A42" s="119"/>
      <c r="B42" s="119"/>
      <c r="C42" s="119"/>
      <c r="D42" s="119"/>
      <c r="E42" s="143"/>
      <c r="F42" s="144"/>
      <c r="G42" s="145"/>
      <c r="H42" s="145"/>
      <c r="I42" s="144"/>
      <c r="J42" s="144">
        <f t="shared" si="7"/>
        <v>0</v>
      </c>
      <c r="K42" s="146">
        <f t="shared" si="8"/>
        <v>0</v>
      </c>
      <c r="L42" s="147"/>
      <c r="M42" s="147">
        <f t="shared" si="9"/>
        <v>0</v>
      </c>
      <c r="N42" s="147">
        <f t="shared" si="10"/>
        <v>0</v>
      </c>
    </row>
    <row r="43" spans="1:17" s="136" customFormat="1" ht="13.5" x14ac:dyDescent="0.3">
      <c r="A43" s="148"/>
      <c r="B43" s="149"/>
      <c r="C43" s="149"/>
      <c r="D43" s="149"/>
      <c r="E43" s="149"/>
      <c r="F43" s="149"/>
      <c r="G43" s="149"/>
      <c r="H43" s="149"/>
      <c r="I43" s="149"/>
      <c r="J43" s="150" t="s">
        <v>231</v>
      </c>
      <c r="K43" s="151">
        <f>SUM(K32:K42)</f>
        <v>593.84999999999991</v>
      </c>
      <c r="L43" s="151"/>
      <c r="M43" s="151"/>
      <c r="N43" s="151">
        <f>SUM(N32:N42)</f>
        <v>14492.399999999998</v>
      </c>
    </row>
    <row r="44" spans="1:17" s="152" customFormat="1" ht="13.5" x14ac:dyDescent="0.3">
      <c r="I44" s="153"/>
      <c r="J44" s="153"/>
      <c r="K44" s="153"/>
      <c r="L44" s="153"/>
      <c r="M44" s="153"/>
      <c r="N44" s="153"/>
      <c r="O44" s="153"/>
      <c r="P44" s="153"/>
      <c r="Q44" s="153"/>
    </row>
    <row r="45" spans="1:17" s="152" customFormat="1" ht="13.5" x14ac:dyDescent="0.3">
      <c r="I45" s="153"/>
      <c r="J45" s="153"/>
      <c r="K45" s="153"/>
      <c r="L45" s="153"/>
      <c r="M45" s="153"/>
      <c r="N45" s="153"/>
      <c r="O45" s="153"/>
      <c r="P45" s="153"/>
      <c r="Q45" s="153"/>
    </row>
    <row r="46" spans="1:17" s="152" customFormat="1" ht="13.5" x14ac:dyDescent="0.3">
      <c r="I46" s="153"/>
      <c r="J46" s="153"/>
      <c r="K46" s="153"/>
      <c r="L46" s="153"/>
      <c r="M46" s="153"/>
      <c r="N46" s="153"/>
      <c r="O46" s="153"/>
      <c r="P46" s="153"/>
      <c r="Q46" s="153"/>
    </row>
    <row r="48" spans="1:17" ht="23.25" customHeight="1" x14ac:dyDescent="0.25">
      <c r="A48" s="617" t="s">
        <v>241</v>
      </c>
      <c r="B48" s="618"/>
    </row>
    <row r="49" spans="1:3" ht="22.5" customHeight="1" x14ac:dyDescent="0.25">
      <c r="A49" s="122" t="s">
        <v>237</v>
      </c>
      <c r="B49" s="154">
        <f>K43</f>
        <v>593.84999999999991</v>
      </c>
    </row>
    <row r="50" spans="1:3" ht="27.75" customHeight="1" x14ac:dyDescent="0.25">
      <c r="A50" s="155" t="s">
        <v>242</v>
      </c>
      <c r="B50" s="154">
        <f>+N43</f>
        <v>14492.399999999998</v>
      </c>
    </row>
    <row r="54" spans="1:3" ht="12" thickBot="1" x14ac:dyDescent="0.25"/>
    <row r="55" spans="1:3" ht="41.25" customHeight="1" x14ac:dyDescent="0.25">
      <c r="A55" s="620" t="s">
        <v>264</v>
      </c>
      <c r="B55" s="621"/>
    </row>
    <row r="56" spans="1:3" ht="15" x14ac:dyDescent="0.25">
      <c r="A56" s="5"/>
      <c r="B56" s="171" t="s">
        <v>176</v>
      </c>
    </row>
    <row r="57" spans="1:3" ht="25.5" x14ac:dyDescent="0.25">
      <c r="A57" s="172" t="s">
        <v>109</v>
      </c>
      <c r="B57" s="173">
        <f>+'1. Horas requeridas PAAI'!I95</f>
        <v>15413</v>
      </c>
    </row>
    <row r="58" spans="1:3" ht="25.5" x14ac:dyDescent="0.25">
      <c r="A58" s="172" t="s">
        <v>191</v>
      </c>
      <c r="B58" s="174">
        <f>+B50</f>
        <v>14492.399999999998</v>
      </c>
    </row>
    <row r="59" spans="1:3" ht="12.75" x14ac:dyDescent="0.25">
      <c r="A59" s="172" t="s">
        <v>266</v>
      </c>
      <c r="B59" s="174">
        <f>+B58-B57</f>
        <v>-920.60000000000218</v>
      </c>
      <c r="C59" s="233">
        <f>+B59/1624</f>
        <v>-0.56687192118226737</v>
      </c>
    </row>
    <row r="60" spans="1:3" ht="36.75" customHeight="1" thickBot="1" x14ac:dyDescent="0.3">
      <c r="A60" s="175" t="s">
        <v>265</v>
      </c>
      <c r="B60" s="176" t="str">
        <f>IF(B58&gt;B57,"NO PRESENTA DÉFICIT","PRESENTA DÉFICIT")</f>
        <v>PRESENTA DÉFICIT</v>
      </c>
    </row>
    <row r="61" spans="1:3" ht="15" x14ac:dyDescent="0.25">
      <c r="A61"/>
      <c r="B61"/>
    </row>
    <row r="62" spans="1:3" ht="15" x14ac:dyDescent="0.25">
      <c r="A62"/>
    </row>
  </sheetData>
  <mergeCells count="19">
    <mergeCell ref="A55:B55"/>
    <mergeCell ref="A4:H4"/>
    <mergeCell ref="A27:O27"/>
    <mergeCell ref="A48:B48"/>
    <mergeCell ref="J28:J29"/>
    <mergeCell ref="K28:K29"/>
    <mergeCell ref="L28:L29"/>
    <mergeCell ref="M28:M29"/>
    <mergeCell ref="N28:N29"/>
    <mergeCell ref="F29:G29"/>
    <mergeCell ref="H29:I29"/>
    <mergeCell ref="A28:A29"/>
    <mergeCell ref="B28:B29"/>
    <mergeCell ref="C28:C29"/>
    <mergeCell ref="D28:D29"/>
    <mergeCell ref="E28:E29"/>
    <mergeCell ref="B1:G1"/>
    <mergeCell ref="A20:B20"/>
    <mergeCell ref="A3:H3"/>
  </mergeCells>
  <dataValidations count="8">
    <dataValidation allowBlank="1" showInputMessage="1" showErrorMessage="1" prompt="Registre el numero de auditores de la OCI, discrimado por tipo de vinculacion ej Carrera Administrativa, Provisional o Contratista" sqref="B30"/>
    <dataValidation allowBlank="1" showInputMessage="1" showErrorMessage="1" prompt="Registre el tipo de vinculacion por auditor disponible en el equipo: Carrera Administrativa, Provisional,  Contratista  u otro." sqref="A30"/>
    <dataValidation allowBlank="1" showInputMessage="1" showErrorMessage="1" prompt="En caso de contar con auditores con permiso sindical registrelo de manera independiente, para efectuar el calculo respectivo" sqref="D30"/>
    <dataValidation allowBlank="1" showInputMessage="1" showErrorMessage="1" prompt="Registre en la celda inferior (amarilla) el % estimado a actividades administrativas y/o atencion a entes de control" sqref="F30"/>
    <dataValidation allowBlank="1" showInputMessage="1" showErrorMessage="1" prompt="Registre en celda inferior (amarilla) &quot; el % estimado a reuniones y/o capacitaciones" sqref="G30"/>
    <dataValidation allowBlank="1" showInputMessage="1" showErrorMessage="1" prompt="Registre en la en la celda inferior (amarilla) el % estimado por incapacidades y permisos" sqref="H30"/>
    <dataValidation allowBlank="1" showInputMessage="1" showErrorMessage="1" prompt="Registre los 15 dias habiles correspondientes de los auditores con derecho a disfrute a vacaciones" sqref="I30"/>
    <dataValidation allowBlank="1" showInputMessage="1" showErrorMessage="1" prompt="Registre el numero de horas laborables por tipo de vinculacion" sqref="L30"/>
  </dataValidations>
  <hyperlinks>
    <hyperlink ref="A25" r:id="rId1"/>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topLeftCell="R1" workbookViewId="0">
      <pane ySplit="2" topLeftCell="A3" activePane="bottomLeft" state="frozen"/>
      <selection pane="bottomLeft" activeCell="Y3" sqref="Y3"/>
    </sheetView>
  </sheetViews>
  <sheetFormatPr baseColWidth="10" defaultColWidth="18.85546875" defaultRowHeight="39.950000000000003" customHeight="1" x14ac:dyDescent="0.25"/>
  <cols>
    <col min="1" max="1" width="18.85546875" style="322"/>
    <col min="2" max="2" width="24.28515625" style="322" bestFit="1" customWidth="1"/>
    <col min="3" max="3" width="22.7109375" style="322" bestFit="1" customWidth="1"/>
    <col min="4" max="4" width="14" style="322" bestFit="1" customWidth="1"/>
    <col min="5" max="5" width="21" style="322" bestFit="1" customWidth="1"/>
    <col min="6" max="6" width="17.42578125" style="322" bestFit="1" customWidth="1"/>
    <col min="7" max="7" width="29.42578125" style="322" bestFit="1" customWidth="1"/>
    <col min="8" max="8" width="97.85546875" style="322" customWidth="1"/>
    <col min="9" max="9" width="22.140625" style="322" bestFit="1" customWidth="1"/>
    <col min="10" max="10" width="19" style="322" bestFit="1" customWidth="1"/>
    <col min="11" max="11" width="14.140625" style="322" bestFit="1" customWidth="1"/>
    <col min="12" max="12" width="22" style="322" bestFit="1" customWidth="1"/>
    <col min="13" max="13" width="20.7109375" style="322" bestFit="1" customWidth="1"/>
    <col min="14" max="14" width="17" style="322" bestFit="1" customWidth="1"/>
    <col min="15" max="15" width="17" style="322" customWidth="1"/>
    <col min="16" max="16" width="35.28515625" style="322" bestFit="1" customWidth="1"/>
    <col min="17" max="18" width="35.28515625" style="322" customWidth="1"/>
    <col min="19" max="19" width="17.140625" style="322" bestFit="1" customWidth="1"/>
    <col min="20" max="21" width="17.140625" style="322" customWidth="1"/>
    <col min="22" max="22" width="15.5703125" style="322" bestFit="1" customWidth="1"/>
    <col min="23" max="23" width="19.28515625" style="322" bestFit="1" customWidth="1"/>
    <col min="24" max="24" width="15.28515625" style="322" bestFit="1" customWidth="1"/>
    <col min="25" max="25" width="17.5703125" style="322" bestFit="1" customWidth="1"/>
    <col min="26" max="16384" width="18.85546875" style="322"/>
  </cols>
  <sheetData>
    <row r="1" spans="1:25" ht="39.950000000000003" customHeight="1" x14ac:dyDescent="0.25">
      <c r="P1" s="340" t="s">
        <v>574</v>
      </c>
      <c r="Q1" s="340" t="s">
        <v>580</v>
      </c>
      <c r="R1" s="301" t="s">
        <v>581</v>
      </c>
      <c r="S1" s="338"/>
      <c r="T1" s="338"/>
      <c r="U1" s="338"/>
    </row>
    <row r="2" spans="1:25" ht="63.75" x14ac:dyDescent="0.25">
      <c r="A2" s="314" t="s">
        <v>523</v>
      </c>
      <c r="B2" s="314" t="s">
        <v>524</v>
      </c>
      <c r="C2" s="314" t="s">
        <v>525</v>
      </c>
      <c r="D2" s="314" t="s">
        <v>526</v>
      </c>
      <c r="E2" s="314" t="s">
        <v>527</v>
      </c>
      <c r="F2" s="314" t="s">
        <v>528</v>
      </c>
      <c r="G2" s="314" t="s">
        <v>529</v>
      </c>
      <c r="H2" s="314" t="s">
        <v>530</v>
      </c>
      <c r="I2" s="314" t="s">
        <v>531</v>
      </c>
      <c r="J2" s="314" t="s">
        <v>532</v>
      </c>
      <c r="K2" s="314" t="s">
        <v>533</v>
      </c>
      <c r="L2" s="314" t="s">
        <v>534</v>
      </c>
      <c r="M2" s="314" t="s">
        <v>535</v>
      </c>
      <c r="N2" s="314" t="s">
        <v>536</v>
      </c>
      <c r="O2" s="314" t="s">
        <v>567</v>
      </c>
      <c r="P2" s="315" t="s">
        <v>568</v>
      </c>
      <c r="Q2" s="315" t="s">
        <v>569</v>
      </c>
      <c r="R2" s="315" t="s">
        <v>572</v>
      </c>
      <c r="S2" s="315" t="s">
        <v>570</v>
      </c>
      <c r="T2" s="315" t="s">
        <v>571</v>
      </c>
      <c r="U2" s="315" t="s">
        <v>573</v>
      </c>
      <c r="V2" s="314" t="s">
        <v>537</v>
      </c>
      <c r="W2" s="314" t="s">
        <v>538</v>
      </c>
      <c r="X2" s="314" t="s">
        <v>539</v>
      </c>
      <c r="Y2" s="314" t="s">
        <v>584</v>
      </c>
    </row>
    <row r="3" spans="1:25" ht="111.75" customHeight="1" x14ac:dyDescent="0.25">
      <c r="A3" s="323" t="s">
        <v>540</v>
      </c>
      <c r="B3" s="324" t="s">
        <v>541</v>
      </c>
      <c r="C3" s="324" t="s">
        <v>402</v>
      </c>
      <c r="D3" s="324">
        <v>3153481040</v>
      </c>
      <c r="E3" s="325" t="s">
        <v>542</v>
      </c>
      <c r="F3" s="326">
        <v>84111603</v>
      </c>
      <c r="G3" s="316" t="s">
        <v>543</v>
      </c>
      <c r="H3" s="317" t="s">
        <v>544</v>
      </c>
      <c r="I3" s="327" t="s">
        <v>545</v>
      </c>
      <c r="J3" s="327" t="s">
        <v>545</v>
      </c>
      <c r="K3" s="326">
        <v>10</v>
      </c>
      <c r="L3" s="327" t="s">
        <v>546</v>
      </c>
      <c r="M3" s="327" t="s">
        <v>547</v>
      </c>
      <c r="N3" s="327" t="s">
        <v>548</v>
      </c>
      <c r="O3" s="339">
        <v>6879128</v>
      </c>
      <c r="P3" s="328">
        <f>71886880/10</f>
        <v>7188688</v>
      </c>
      <c r="Q3" s="328">
        <f>+(O3*1.61%)+6879128</f>
        <v>6989881.9607999995</v>
      </c>
      <c r="R3" s="328">
        <v>7500000</v>
      </c>
      <c r="S3" s="328">
        <v>71886880</v>
      </c>
      <c r="T3" s="328">
        <f>+Q3*10</f>
        <v>69898819.607999995</v>
      </c>
      <c r="U3" s="328">
        <f>+R3*10</f>
        <v>75000000</v>
      </c>
      <c r="V3" s="333" t="s">
        <v>549</v>
      </c>
      <c r="W3" s="327"/>
      <c r="X3" s="327" t="s">
        <v>550</v>
      </c>
      <c r="Y3" s="318" t="s">
        <v>582</v>
      </c>
    </row>
    <row r="4" spans="1:25" ht="111.75" customHeight="1" x14ac:dyDescent="0.25">
      <c r="A4" s="323"/>
      <c r="B4" s="323" t="s">
        <v>541</v>
      </c>
      <c r="C4" s="323" t="s">
        <v>402</v>
      </c>
      <c r="D4" s="323">
        <v>3153481040</v>
      </c>
      <c r="E4" s="329" t="s">
        <v>542</v>
      </c>
      <c r="F4" s="330">
        <v>84111603</v>
      </c>
      <c r="G4" s="316" t="s">
        <v>551</v>
      </c>
      <c r="H4" s="319" t="s">
        <v>552</v>
      </c>
      <c r="I4" s="331" t="s">
        <v>545</v>
      </c>
      <c r="J4" s="331" t="s">
        <v>545</v>
      </c>
      <c r="K4" s="330">
        <v>10</v>
      </c>
      <c r="L4" s="331" t="s">
        <v>546</v>
      </c>
      <c r="M4" s="331" t="s">
        <v>547</v>
      </c>
      <c r="N4" s="331" t="s">
        <v>548</v>
      </c>
      <c r="O4" s="339">
        <v>6879128</v>
      </c>
      <c r="P4" s="328">
        <f>71886880/10</f>
        <v>7188688</v>
      </c>
      <c r="Q4" s="328">
        <f>+(O4*1.61%)+6879128</f>
        <v>6989881.9607999995</v>
      </c>
      <c r="R4" s="328">
        <v>7500000</v>
      </c>
      <c r="S4" s="328">
        <v>71886880</v>
      </c>
      <c r="T4" s="328">
        <f t="shared" ref="T4:T10" si="0">+Q4*10</f>
        <v>69898819.607999995</v>
      </c>
      <c r="U4" s="328">
        <f t="shared" ref="U4:U10" si="1">+R4*10</f>
        <v>75000000</v>
      </c>
      <c r="V4" s="334" t="s">
        <v>549</v>
      </c>
      <c r="W4" s="331"/>
      <c r="X4" s="331" t="s">
        <v>550</v>
      </c>
      <c r="Y4" s="316" t="s">
        <v>583</v>
      </c>
    </row>
    <row r="5" spans="1:25" ht="111.75" customHeight="1" x14ac:dyDescent="0.25">
      <c r="A5" s="323"/>
      <c r="B5" s="323" t="s">
        <v>541</v>
      </c>
      <c r="C5" s="323" t="s">
        <v>402</v>
      </c>
      <c r="D5" s="323">
        <v>3153481040</v>
      </c>
      <c r="E5" s="329" t="s">
        <v>542</v>
      </c>
      <c r="F5" s="330">
        <v>84111603</v>
      </c>
      <c r="G5" s="316" t="s">
        <v>553</v>
      </c>
      <c r="H5" s="320" t="s">
        <v>554</v>
      </c>
      <c r="I5" s="331" t="s">
        <v>545</v>
      </c>
      <c r="J5" s="331" t="s">
        <v>545</v>
      </c>
      <c r="K5" s="330">
        <v>10</v>
      </c>
      <c r="L5" s="331" t="s">
        <v>546</v>
      </c>
      <c r="M5" s="331" t="s">
        <v>547</v>
      </c>
      <c r="N5" s="331" t="s">
        <v>548</v>
      </c>
      <c r="O5" s="339">
        <v>6879128</v>
      </c>
      <c r="P5" s="328">
        <f>71886880/10</f>
        <v>7188688</v>
      </c>
      <c r="Q5" s="328">
        <f>+(O5*1.61%)+6879128</f>
        <v>6989881.9607999995</v>
      </c>
      <c r="R5" s="328">
        <v>7500000</v>
      </c>
      <c r="S5" s="328">
        <v>71886880</v>
      </c>
      <c r="T5" s="328">
        <f t="shared" si="0"/>
        <v>69898819.607999995</v>
      </c>
      <c r="U5" s="328">
        <f t="shared" si="1"/>
        <v>75000000</v>
      </c>
      <c r="V5" s="334" t="s">
        <v>549</v>
      </c>
      <c r="W5" s="331"/>
      <c r="X5" s="331" t="s">
        <v>550</v>
      </c>
      <c r="Y5" s="316" t="s">
        <v>582</v>
      </c>
    </row>
    <row r="6" spans="1:25" ht="111.75" customHeight="1" x14ac:dyDescent="0.25">
      <c r="A6" s="323"/>
      <c r="B6" s="323" t="s">
        <v>541</v>
      </c>
      <c r="C6" s="323" t="s">
        <v>402</v>
      </c>
      <c r="D6" s="323">
        <v>3153481040</v>
      </c>
      <c r="E6" s="329" t="s">
        <v>542</v>
      </c>
      <c r="F6" s="330">
        <v>84111603</v>
      </c>
      <c r="G6" s="316" t="s">
        <v>555</v>
      </c>
      <c r="H6" s="320" t="s">
        <v>556</v>
      </c>
      <c r="I6" s="331" t="s">
        <v>545</v>
      </c>
      <c r="J6" s="331" t="s">
        <v>545</v>
      </c>
      <c r="K6" s="330">
        <v>10</v>
      </c>
      <c r="L6" s="331" t="s">
        <v>546</v>
      </c>
      <c r="M6" s="331" t="s">
        <v>547</v>
      </c>
      <c r="N6" s="331" t="s">
        <v>548</v>
      </c>
      <c r="O6" s="339">
        <v>6879128</v>
      </c>
      <c r="P6" s="328">
        <f>71886880/10</f>
        <v>7188688</v>
      </c>
      <c r="Q6" s="328">
        <f>+(O6*1.61%)+6879128</f>
        <v>6989881.9607999995</v>
      </c>
      <c r="R6" s="328">
        <v>7500000</v>
      </c>
      <c r="S6" s="328">
        <v>71886880</v>
      </c>
      <c r="T6" s="328">
        <f t="shared" si="0"/>
        <v>69898819.607999995</v>
      </c>
      <c r="U6" s="328">
        <f t="shared" si="1"/>
        <v>75000000</v>
      </c>
      <c r="V6" s="334" t="s">
        <v>549</v>
      </c>
      <c r="W6" s="331"/>
      <c r="X6" s="331" t="s">
        <v>550</v>
      </c>
      <c r="Y6" s="316" t="s">
        <v>582</v>
      </c>
    </row>
    <row r="7" spans="1:25" ht="111.75" customHeight="1" x14ac:dyDescent="0.25">
      <c r="A7" s="323"/>
      <c r="B7" s="323" t="s">
        <v>541</v>
      </c>
      <c r="C7" s="323" t="s">
        <v>402</v>
      </c>
      <c r="D7" s="323">
        <v>3153481040</v>
      </c>
      <c r="E7" s="329" t="s">
        <v>542</v>
      </c>
      <c r="F7" s="330">
        <v>84111603</v>
      </c>
      <c r="G7" s="316" t="s">
        <v>557</v>
      </c>
      <c r="H7" s="320" t="s">
        <v>558</v>
      </c>
      <c r="I7" s="331" t="s">
        <v>545</v>
      </c>
      <c r="J7" s="331" t="s">
        <v>545</v>
      </c>
      <c r="K7" s="330">
        <v>10</v>
      </c>
      <c r="L7" s="331" t="s">
        <v>546</v>
      </c>
      <c r="M7" s="331" t="s">
        <v>547</v>
      </c>
      <c r="N7" s="331" t="s">
        <v>548</v>
      </c>
      <c r="O7" s="339">
        <v>6879128</v>
      </c>
      <c r="P7" s="328">
        <f>71886880/10</f>
        <v>7188688</v>
      </c>
      <c r="Q7" s="328">
        <f>+(O7*1.61%)+6879128</f>
        <v>6989881.9607999995</v>
      </c>
      <c r="R7" s="328">
        <v>7500000</v>
      </c>
      <c r="S7" s="328">
        <v>71886880</v>
      </c>
      <c r="T7" s="328">
        <f t="shared" si="0"/>
        <v>69898819.607999995</v>
      </c>
      <c r="U7" s="328">
        <f t="shared" si="1"/>
        <v>75000000</v>
      </c>
      <c r="V7" s="334" t="s">
        <v>549</v>
      </c>
      <c r="W7" s="331"/>
      <c r="X7" s="331" t="s">
        <v>550</v>
      </c>
      <c r="Y7" s="316" t="s">
        <v>582</v>
      </c>
    </row>
    <row r="8" spans="1:25" ht="111.75" customHeight="1" x14ac:dyDescent="0.25">
      <c r="A8" s="323"/>
      <c r="B8" s="323" t="s">
        <v>541</v>
      </c>
      <c r="C8" s="323" t="s">
        <v>402</v>
      </c>
      <c r="D8" s="323">
        <v>3153481040</v>
      </c>
      <c r="E8" s="329" t="s">
        <v>542</v>
      </c>
      <c r="F8" s="330">
        <v>84111603</v>
      </c>
      <c r="G8" s="316" t="s">
        <v>559</v>
      </c>
      <c r="H8" s="319" t="s">
        <v>560</v>
      </c>
      <c r="I8" s="331" t="s">
        <v>545</v>
      </c>
      <c r="J8" s="331" t="s">
        <v>545</v>
      </c>
      <c r="K8" s="330">
        <v>10</v>
      </c>
      <c r="L8" s="331" t="s">
        <v>546</v>
      </c>
      <c r="M8" s="331" t="s">
        <v>547</v>
      </c>
      <c r="N8" s="331" t="s">
        <v>548</v>
      </c>
      <c r="O8" s="339">
        <v>3749831</v>
      </c>
      <c r="P8" s="332">
        <f>39185733.95/10</f>
        <v>3918573.3950000005</v>
      </c>
      <c r="Q8" s="332">
        <f>+(O8*1.61%)+3749831</f>
        <v>3810203.2790999999</v>
      </c>
      <c r="R8" s="332">
        <v>3810203</v>
      </c>
      <c r="S8" s="332">
        <v>39185733.950000003</v>
      </c>
      <c r="T8" s="328">
        <f t="shared" si="0"/>
        <v>38102032.791000001</v>
      </c>
      <c r="U8" s="328">
        <f t="shared" si="1"/>
        <v>38102030</v>
      </c>
      <c r="V8" s="334" t="s">
        <v>549</v>
      </c>
      <c r="W8" s="331"/>
      <c r="X8" s="331" t="s">
        <v>550</v>
      </c>
      <c r="Y8" s="316" t="s">
        <v>583</v>
      </c>
    </row>
    <row r="9" spans="1:25" ht="111.75" customHeight="1" x14ac:dyDescent="0.25">
      <c r="A9" s="323"/>
      <c r="B9" s="323" t="s">
        <v>541</v>
      </c>
      <c r="C9" s="323" t="s">
        <v>402</v>
      </c>
      <c r="D9" s="323">
        <v>3153481040</v>
      </c>
      <c r="E9" s="329" t="s">
        <v>542</v>
      </c>
      <c r="F9" s="330">
        <v>84111603</v>
      </c>
      <c r="G9" s="316" t="s">
        <v>561</v>
      </c>
      <c r="H9" s="321" t="s">
        <v>562</v>
      </c>
      <c r="I9" s="331" t="s">
        <v>545</v>
      </c>
      <c r="J9" s="331" t="s">
        <v>545</v>
      </c>
      <c r="K9" s="330">
        <v>10</v>
      </c>
      <c r="L9" s="331" t="s">
        <v>546</v>
      </c>
      <c r="M9" s="331" t="s">
        <v>547</v>
      </c>
      <c r="N9" s="331" t="s">
        <v>548</v>
      </c>
      <c r="O9" s="339">
        <v>3706976</v>
      </c>
      <c r="P9" s="332">
        <f>38737899.2/10</f>
        <v>3873789.9200000004</v>
      </c>
      <c r="Q9" s="332">
        <f>+(O9*1.61%)+3706976</f>
        <v>3766658.3136</v>
      </c>
      <c r="R9" s="332">
        <v>3810203</v>
      </c>
      <c r="S9" s="332">
        <v>38737899.200000003</v>
      </c>
      <c r="T9" s="328">
        <f t="shared" si="0"/>
        <v>37666583.136</v>
      </c>
      <c r="U9" s="328">
        <f t="shared" si="1"/>
        <v>38102030</v>
      </c>
      <c r="V9" s="334" t="s">
        <v>549</v>
      </c>
      <c r="W9" s="331"/>
      <c r="X9" s="331" t="s">
        <v>550</v>
      </c>
      <c r="Y9" s="316" t="s">
        <v>583</v>
      </c>
    </row>
    <row r="10" spans="1:25" ht="111.75" customHeight="1" x14ac:dyDescent="0.25">
      <c r="A10" s="323"/>
      <c r="B10" s="323" t="s">
        <v>541</v>
      </c>
      <c r="C10" s="323" t="s">
        <v>402</v>
      </c>
      <c r="D10" s="323">
        <v>3153481040</v>
      </c>
      <c r="E10" s="329" t="s">
        <v>542</v>
      </c>
      <c r="F10" s="330">
        <v>84111603</v>
      </c>
      <c r="G10" s="316" t="s">
        <v>563</v>
      </c>
      <c r="H10" s="319" t="s">
        <v>564</v>
      </c>
      <c r="I10" s="331" t="s">
        <v>545</v>
      </c>
      <c r="J10" s="331" t="s">
        <v>545</v>
      </c>
      <c r="K10" s="330">
        <v>10</v>
      </c>
      <c r="L10" s="331" t="s">
        <v>546</v>
      </c>
      <c r="M10" s="331" t="s">
        <v>547</v>
      </c>
      <c r="N10" s="331" t="s">
        <v>548</v>
      </c>
      <c r="O10" s="339">
        <v>7000000</v>
      </c>
      <c r="P10" s="332">
        <f>73150000/10</f>
        <v>7315000</v>
      </c>
      <c r="Q10" s="332">
        <f>+(O10*1.61%)+7000000</f>
        <v>7112700</v>
      </c>
      <c r="R10" s="332">
        <v>7500000</v>
      </c>
      <c r="S10" s="332">
        <v>73150000</v>
      </c>
      <c r="T10" s="328">
        <f t="shared" si="0"/>
        <v>71127000</v>
      </c>
      <c r="U10" s="328">
        <f t="shared" si="1"/>
        <v>75000000</v>
      </c>
      <c r="V10" s="334" t="s">
        <v>549</v>
      </c>
      <c r="W10" s="331"/>
      <c r="X10" s="331" t="s">
        <v>550</v>
      </c>
      <c r="Y10" s="316" t="s">
        <v>583</v>
      </c>
    </row>
    <row r="11" spans="1:25" ht="39.950000000000003" customHeight="1" x14ac:dyDescent="0.25">
      <c r="A11" s="323"/>
      <c r="B11" s="323" t="s">
        <v>541</v>
      </c>
      <c r="C11" s="323" t="s">
        <v>402</v>
      </c>
      <c r="D11" s="323">
        <v>3153481040</v>
      </c>
      <c r="E11" s="329" t="s">
        <v>542</v>
      </c>
      <c r="F11" s="330">
        <v>84111603</v>
      </c>
      <c r="G11" s="316" t="s">
        <v>575</v>
      </c>
      <c r="H11" s="323" t="s">
        <v>576</v>
      </c>
      <c r="I11" s="323" t="s">
        <v>578</v>
      </c>
      <c r="J11" s="323" t="s">
        <v>578</v>
      </c>
      <c r="K11" s="323">
        <v>10</v>
      </c>
      <c r="L11" s="323" t="s">
        <v>546</v>
      </c>
      <c r="M11" s="331" t="s">
        <v>547</v>
      </c>
      <c r="N11" s="331" t="s">
        <v>548</v>
      </c>
      <c r="O11" s="323">
        <v>0</v>
      </c>
      <c r="P11" s="341">
        <f>+P6</f>
        <v>7188688</v>
      </c>
      <c r="Q11" s="341">
        <f>+Q6</f>
        <v>6989881.9607999995</v>
      </c>
      <c r="R11" s="341">
        <v>0</v>
      </c>
      <c r="S11" s="332">
        <f>+P11*10</f>
        <v>71886880</v>
      </c>
      <c r="T11" s="328">
        <f>+Q11*10</f>
        <v>69898819.607999995</v>
      </c>
      <c r="U11" s="323">
        <v>0</v>
      </c>
      <c r="V11" s="334" t="s">
        <v>549</v>
      </c>
      <c r="W11" s="331"/>
      <c r="X11" s="331" t="s">
        <v>550</v>
      </c>
      <c r="Y11" s="316" t="s">
        <v>583</v>
      </c>
    </row>
    <row r="12" spans="1:25" ht="39.950000000000003" customHeight="1" x14ac:dyDescent="0.25">
      <c r="A12" s="323"/>
      <c r="B12" s="323" t="s">
        <v>541</v>
      </c>
      <c r="C12" s="323" t="s">
        <v>402</v>
      </c>
      <c r="D12" s="323">
        <v>3153481040</v>
      </c>
      <c r="E12" s="329" t="s">
        <v>542</v>
      </c>
      <c r="F12" s="330">
        <v>84111603</v>
      </c>
      <c r="G12" s="316" t="s">
        <v>577</v>
      </c>
      <c r="H12" s="323" t="s">
        <v>576</v>
      </c>
      <c r="I12" s="323" t="s">
        <v>578</v>
      </c>
      <c r="J12" s="323" t="s">
        <v>578</v>
      </c>
      <c r="K12" s="323">
        <v>10</v>
      </c>
      <c r="L12" s="323" t="s">
        <v>546</v>
      </c>
      <c r="M12" s="331" t="s">
        <v>547</v>
      </c>
      <c r="N12" s="331" t="s">
        <v>548</v>
      </c>
      <c r="O12" s="323">
        <v>0</v>
      </c>
      <c r="P12" s="341">
        <f>+P11</f>
        <v>7188688</v>
      </c>
      <c r="Q12" s="341">
        <f>+Q11</f>
        <v>6989881.9607999995</v>
      </c>
      <c r="R12" s="341">
        <v>0</v>
      </c>
      <c r="S12" s="332">
        <f>+P12*10</f>
        <v>71886880</v>
      </c>
      <c r="T12" s="328">
        <f>+Q12*10</f>
        <v>69898819.607999995</v>
      </c>
      <c r="U12" s="323">
        <v>0</v>
      </c>
      <c r="V12" s="334" t="s">
        <v>549</v>
      </c>
      <c r="W12" s="331"/>
      <c r="X12" s="331" t="s">
        <v>550</v>
      </c>
      <c r="Y12" s="316" t="s">
        <v>583</v>
      </c>
    </row>
    <row r="13" spans="1:25" ht="39.950000000000003" customHeight="1" x14ac:dyDescent="0.25">
      <c r="O13" s="338"/>
      <c r="R13" s="302" t="s">
        <v>5</v>
      </c>
      <c r="S13" s="343">
        <f>SUM(S3:S12)</f>
        <v>654281793.14999998</v>
      </c>
      <c r="T13" s="343">
        <f>SUM(T3:T12)</f>
        <v>636187353.18299997</v>
      </c>
      <c r="U13" s="343">
        <f>SUM(U3:U12)</f>
        <v>526204060</v>
      </c>
    </row>
    <row r="14" spans="1:25" ht="39.950000000000003" customHeight="1" x14ac:dyDescent="0.25">
      <c r="S14" s="342"/>
      <c r="T14" s="196" t="s">
        <v>579</v>
      </c>
      <c r="U14" s="343">
        <f>+T13-U13</f>
        <v>109983293.18299997</v>
      </c>
    </row>
  </sheetData>
  <phoneticPr fontId="59" type="noConversion"/>
  <hyperlinks>
    <hyperlink ref="E3" r:id="rId1"/>
    <hyperlink ref="E4:E10" r:id="rId2" display="jvillalbam@eru.gov.co"/>
    <hyperlink ref="E11" r:id="rId3"/>
    <hyperlink ref="E12" r:id="rId4"/>
  </hyperlinks>
  <pageMargins left="0.7" right="0.7" top="0.75" bottom="0.75" header="0.3" footer="0.3"/>
  <pageSetup orientation="portrait"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56"/>
  <sheetViews>
    <sheetView topLeftCell="A4" workbookViewId="0">
      <selection activeCell="B16" sqref="B16"/>
    </sheetView>
  </sheetViews>
  <sheetFormatPr baseColWidth="10" defaultColWidth="11.42578125" defaultRowHeight="15" x14ac:dyDescent="0.25"/>
  <cols>
    <col min="1" max="1" width="4.5703125" customWidth="1"/>
    <col min="2" max="2" width="48.7109375" style="73" customWidth="1"/>
    <col min="3" max="3" width="12.140625" style="74" bestFit="1" customWidth="1"/>
    <col min="4" max="7" width="11.42578125" style="74"/>
    <col min="8" max="8" width="11.5703125" style="74" customWidth="1"/>
    <col min="9" max="9" width="5.28515625" style="74" customWidth="1"/>
    <col min="10" max="10" width="8.28515625" style="74" customWidth="1"/>
    <col min="11" max="15" width="11.42578125" style="74"/>
    <col min="16" max="16" width="11.42578125" style="75"/>
    <col min="17" max="17" width="21.42578125" customWidth="1"/>
    <col min="18" max="18" width="22.7109375" customWidth="1"/>
    <col min="20" max="20" width="45.28515625" customWidth="1"/>
  </cols>
  <sheetData>
    <row r="1" spans="2:20" ht="15.75" thickBot="1" x14ac:dyDescent="0.3">
      <c r="B1"/>
      <c r="C1"/>
      <c r="D1"/>
      <c r="E1"/>
      <c r="F1"/>
      <c r="G1"/>
      <c r="H1"/>
      <c r="I1"/>
      <c r="J1"/>
      <c r="K1"/>
      <c r="L1"/>
      <c r="M1"/>
      <c r="N1"/>
      <c r="O1"/>
      <c r="P1"/>
    </row>
    <row r="2" spans="2:20" x14ac:dyDescent="0.25">
      <c r="B2" s="561" t="s">
        <v>16</v>
      </c>
      <c r="C2" s="504" t="s">
        <v>17</v>
      </c>
      <c r="D2" s="642"/>
      <c r="E2" s="642"/>
      <c r="F2" s="642"/>
      <c r="G2" s="642"/>
      <c r="H2" s="642"/>
      <c r="I2" s="642"/>
      <c r="J2" s="642"/>
      <c r="K2" s="642"/>
      <c r="L2" s="642"/>
      <c r="M2" s="642"/>
      <c r="N2" s="642"/>
      <c r="O2" s="568"/>
      <c r="P2" s="568"/>
      <c r="Q2" s="569"/>
    </row>
    <row r="3" spans="2:20" x14ac:dyDescent="0.25">
      <c r="B3" s="562"/>
      <c r="C3" s="643"/>
      <c r="D3" s="643"/>
      <c r="E3" s="643"/>
      <c r="F3" s="643"/>
      <c r="G3" s="643"/>
      <c r="H3" s="643"/>
      <c r="I3" s="643"/>
      <c r="J3" s="643"/>
      <c r="K3" s="643"/>
      <c r="L3" s="643"/>
      <c r="M3" s="643"/>
      <c r="N3" s="643"/>
      <c r="O3" s="570"/>
      <c r="P3" s="570"/>
      <c r="Q3" s="571"/>
    </row>
    <row r="4" spans="2:20" x14ac:dyDescent="0.25">
      <c r="B4" s="562"/>
      <c r="C4" s="643"/>
      <c r="D4" s="643"/>
      <c r="E4" s="643"/>
      <c r="F4" s="643"/>
      <c r="G4" s="643"/>
      <c r="H4" s="643"/>
      <c r="I4" s="643"/>
      <c r="J4" s="643"/>
      <c r="K4" s="643"/>
      <c r="L4" s="643"/>
      <c r="M4" s="643"/>
      <c r="N4" s="643"/>
      <c r="O4" s="570"/>
      <c r="P4" s="570"/>
      <c r="Q4" s="571"/>
    </row>
    <row r="5" spans="2:20" ht="15.75" thickBot="1" x14ac:dyDescent="0.3">
      <c r="B5" s="641"/>
      <c r="C5" s="597"/>
      <c r="D5" s="644"/>
      <c r="E5" s="644"/>
      <c r="F5" s="644"/>
      <c r="G5" s="644"/>
      <c r="H5" s="644"/>
      <c r="I5" s="644"/>
      <c r="J5" s="644"/>
      <c r="K5" s="644"/>
      <c r="L5" s="644"/>
      <c r="M5" s="644"/>
      <c r="N5" s="644"/>
      <c r="O5" s="572"/>
      <c r="P5" s="572"/>
      <c r="Q5" s="573"/>
    </row>
    <row r="6" spans="2:20" ht="17.25" thickBot="1" x14ac:dyDescent="0.35">
      <c r="B6" s="30" t="s">
        <v>11</v>
      </c>
      <c r="C6" s="31">
        <v>44196</v>
      </c>
      <c r="D6" s="32"/>
      <c r="E6"/>
      <c r="F6"/>
      <c r="G6"/>
      <c r="H6"/>
      <c r="I6"/>
      <c r="J6"/>
      <c r="K6"/>
      <c r="L6"/>
      <c r="M6"/>
      <c r="N6"/>
      <c r="O6"/>
      <c r="P6"/>
    </row>
    <row r="7" spans="2:20" ht="16.5" x14ac:dyDescent="0.3">
      <c r="B7" s="54"/>
      <c r="C7" s="55"/>
      <c r="D7" s="32"/>
      <c r="E7"/>
      <c r="F7"/>
      <c r="G7"/>
      <c r="H7"/>
      <c r="I7"/>
      <c r="J7"/>
      <c r="K7"/>
      <c r="L7"/>
      <c r="M7"/>
      <c r="N7"/>
      <c r="O7"/>
      <c r="P7"/>
    </row>
    <row r="8" spans="2:20" ht="17.25" thickBot="1" x14ac:dyDescent="0.35">
      <c r="B8" s="32"/>
      <c r="C8" s="32"/>
      <c r="D8" s="32"/>
      <c r="E8"/>
      <c r="F8"/>
      <c r="G8"/>
      <c r="H8"/>
      <c r="I8"/>
      <c r="J8"/>
      <c r="K8"/>
      <c r="L8"/>
      <c r="M8"/>
      <c r="N8"/>
      <c r="O8"/>
      <c r="P8"/>
    </row>
    <row r="9" spans="2:20" ht="15.75" thickBot="1" x14ac:dyDescent="0.3">
      <c r="B9" s="15">
        <v>1</v>
      </c>
      <c r="C9" s="635">
        <v>2</v>
      </c>
      <c r="D9" s="635"/>
      <c r="E9" s="635"/>
      <c r="F9" s="635"/>
      <c r="G9" s="635"/>
      <c r="H9" s="635"/>
      <c r="I9" s="635"/>
      <c r="J9" s="635">
        <v>3</v>
      </c>
      <c r="K9" s="635"/>
      <c r="L9" s="635">
        <v>4</v>
      </c>
      <c r="M9" s="635"/>
      <c r="N9" s="635">
        <v>4</v>
      </c>
      <c r="O9" s="635"/>
      <c r="P9" s="640"/>
      <c r="Q9" s="628">
        <v>5</v>
      </c>
      <c r="R9" s="629"/>
    </row>
    <row r="10" spans="2:20" ht="15.75" thickBot="1" x14ac:dyDescent="0.3">
      <c r="B10" s="636" t="s">
        <v>19</v>
      </c>
      <c r="C10" s="638" t="s">
        <v>0</v>
      </c>
      <c r="D10" s="639"/>
      <c r="E10" s="639"/>
      <c r="F10" s="639"/>
      <c r="G10" s="639"/>
      <c r="H10" s="633" t="s">
        <v>6</v>
      </c>
      <c r="I10" s="634"/>
      <c r="J10" s="633" t="s">
        <v>7</v>
      </c>
      <c r="K10" s="634"/>
      <c r="L10" s="633" t="s">
        <v>8</v>
      </c>
      <c r="M10" s="634"/>
      <c r="N10" s="627" t="s">
        <v>9</v>
      </c>
      <c r="O10" s="627" t="s">
        <v>10</v>
      </c>
      <c r="P10" s="627" t="s">
        <v>13</v>
      </c>
      <c r="Q10" s="627" t="s">
        <v>14</v>
      </c>
      <c r="R10" s="627" t="s">
        <v>27</v>
      </c>
    </row>
    <row r="11" spans="2:20" ht="15.75" thickBot="1" x14ac:dyDescent="0.3">
      <c r="B11" s="637"/>
      <c r="C11" s="276" t="s">
        <v>1</v>
      </c>
      <c r="D11" s="277" t="s">
        <v>2</v>
      </c>
      <c r="E11" s="278" t="s">
        <v>3</v>
      </c>
      <c r="F11" s="279" t="s">
        <v>4</v>
      </c>
      <c r="G11" s="280" t="s">
        <v>5</v>
      </c>
      <c r="H11" s="633"/>
      <c r="I11" s="634"/>
      <c r="J11" s="633"/>
      <c r="K11" s="634"/>
      <c r="L11" s="633"/>
      <c r="M11" s="634"/>
      <c r="N11" s="627"/>
      <c r="O11" s="627"/>
      <c r="P11" s="627"/>
      <c r="Q11" s="627"/>
      <c r="R11" s="627"/>
    </row>
    <row r="12" spans="2:20" ht="30.75" thickBot="1" x14ac:dyDescent="0.3">
      <c r="B12" s="421" t="str">
        <f>+'PRIORIZACIÓN (2)'!B11</f>
        <v>Factores de Gestión Prioritarias para la Empresa (análisis OCI) y Fortalecimiento Institucional</v>
      </c>
      <c r="C12" s="2">
        <f>+'PRIORIZACIÓN (2)'!C11</f>
        <v>1</v>
      </c>
      <c r="D12" s="3">
        <f>+'PRIORIZACIÓN (2)'!D11</f>
        <v>0</v>
      </c>
      <c r="E12" s="3">
        <f>+'PRIORIZACIÓN (2)'!E11</f>
        <v>2</v>
      </c>
      <c r="F12" s="3">
        <f>+'PRIORIZACIÓN (2)'!F11</f>
        <v>1</v>
      </c>
      <c r="G12" s="282">
        <f>SUM(C12:F12)</f>
        <v>4</v>
      </c>
      <c r="H12" s="285" t="str">
        <f>+IF(($C12/$G12)&gt;=0.2,"Extremo",+IF((($C12/G12)+($D12/$G12))&gt;=0.3,"Alto",+IF((($C12/$G12)+($D12/$G12)+($E12/$G12))&gt;=0.4,"Moderado",+IF(($C12/$G12)+($D12/$G12)+($E12/$G12)+($F12/$G12)&gt;=0.5,"Bajo",""))))</f>
        <v>Extremo</v>
      </c>
      <c r="I12" s="4">
        <f>(IF(H12="Extremo",50%,(IF(H12="Alto",40%,IF(H12="Moderado",15%,IF(H12="Bajo",10%,0))))))</f>
        <v>0.5</v>
      </c>
      <c r="J12" s="10" t="s">
        <v>379</v>
      </c>
      <c r="K12" s="273">
        <f>IF(J12="Si",100%,IF(J12="No",0,0))</f>
        <v>1</v>
      </c>
      <c r="L12" s="2" t="s">
        <v>12</v>
      </c>
      <c r="M12" s="4">
        <f>IF(L12="Si",20%,IF(L12="No",0,0))</f>
        <v>0</v>
      </c>
      <c r="N12" s="298">
        <f>+'PRIORIZACIÓN (2)'!Q11</f>
        <v>43600</v>
      </c>
      <c r="O12" s="295">
        <f>+$C$6-N12</f>
        <v>596</v>
      </c>
      <c r="P12" s="292">
        <f>IF(O12&gt;=1080,30%,IF(O12&gt;=720,20%,IF(O12&gt;=360,10%,IF(O12&lt;=359,0%,0))))</f>
        <v>0.1</v>
      </c>
      <c r="Q12" s="288">
        <f>IF(K12=100%,100%,(I12+M12+P12))</f>
        <v>1</v>
      </c>
      <c r="R12" s="291" t="e">
        <f>+RANK(Q12,$Q$12:$Q$29,0)</f>
        <v>#DIV/0!</v>
      </c>
      <c r="T12" s="33" t="e">
        <f>IF(N12=100%,100%,(L12+P12+S12))</f>
        <v>#VALUE!</v>
      </c>
    </row>
    <row r="13" spans="2:20" ht="30.75" thickBot="1" x14ac:dyDescent="0.3">
      <c r="B13" s="421" t="str">
        <f>+'PRIORIZACIÓN (2)'!B12</f>
        <v>Auditoria de Fiducias. Alcance por muestra confiable.</v>
      </c>
      <c r="C13" s="5">
        <f>+'PRIORIZACIÓN (2)'!C12</f>
        <v>0</v>
      </c>
      <c r="D13" s="1">
        <f>+'PRIORIZACIÓN (2)'!D12</f>
        <v>1</v>
      </c>
      <c r="E13" s="1">
        <f>+'PRIORIZACIÓN (2)'!E12</f>
        <v>1</v>
      </c>
      <c r="F13" s="1">
        <f>+'PRIORIZACIÓN (2)'!F12</f>
        <v>1</v>
      </c>
      <c r="G13" s="283">
        <f t="shared" ref="G13:G25" si="0">SUM(C13:F13)</f>
        <v>3</v>
      </c>
      <c r="H13" s="286" t="str">
        <f t="shared" ref="H13:H25" si="1">+IF(($C13/$G13)&gt;=0.2,"Extremo",+IF((($C13/G13)+($D13/$G13))&gt;=0.3,"Alto",+IF((($C13/$G13)+($D13/$G13)+($E13/$G13))&gt;=0.4,"Moderado",+IF(($C13/$G13)+($D13/$G13)+($E13/$G13)+($F13/$G13)&gt;=0.5,"Bajo",""))))</f>
        <v>Alto</v>
      </c>
      <c r="I13" s="6">
        <f t="shared" ref="I13:I25" si="2">(IF(H13="Extremo",50%,(IF(H13="Alto",40%,IF(H13="Moderado",15%,IF(H13="Bajo",10%,0))))))</f>
        <v>0.4</v>
      </c>
      <c r="J13" s="11" t="s">
        <v>12</v>
      </c>
      <c r="K13" s="274">
        <f t="shared" ref="K13:K25" si="3">IF(J13="Si",100%,IF(J13="No",0,0))</f>
        <v>0</v>
      </c>
      <c r="L13" s="5" t="s">
        <v>12</v>
      </c>
      <c r="M13" s="6">
        <f t="shared" ref="M13:M25" si="4">IF(L13="Si",20%,IF(L13="No",0,0))</f>
        <v>0</v>
      </c>
      <c r="N13" s="299">
        <f>+'PRIORIZACIÓN (2)'!Q12</f>
        <v>0</v>
      </c>
      <c r="O13" s="296">
        <f t="shared" ref="O13:O25" si="5">+$C$6-N13</f>
        <v>44196</v>
      </c>
      <c r="P13" s="293">
        <f t="shared" ref="P13:P25" si="6">IF(O13&gt;=1080,30%,IF(O13&gt;=720,20%,IF(O13&gt;=360,10%,IF(O13&lt;=359,0%,0))))</f>
        <v>0.3</v>
      </c>
      <c r="Q13" s="289">
        <f t="shared" ref="Q13:Q25" si="7">IF(K13=100%,100%,(I13+M13+P13))</f>
        <v>0.7</v>
      </c>
      <c r="R13" s="34" t="e">
        <f t="shared" ref="R13:R29" si="8">+RANK(Q13,$Q$12:$Q$29,0)</f>
        <v>#DIV/0!</v>
      </c>
    </row>
    <row r="14" spans="2:20" ht="30.75" thickBot="1" x14ac:dyDescent="0.3">
      <c r="B14" s="421" t="str">
        <f>+'PRIORIZACIÓN (2)'!B13</f>
        <v>Auditoria Plan estratégico y gestión Tecnología y Comunicaciones</v>
      </c>
      <c r="C14" s="5">
        <f>+'PRIORIZACIÓN (2)'!C13</f>
        <v>0</v>
      </c>
      <c r="D14" s="1">
        <f>+'PRIORIZACIÓN (2)'!D13</f>
        <v>2</v>
      </c>
      <c r="E14" s="1">
        <f>+'PRIORIZACIÓN (2)'!E13</f>
        <v>2</v>
      </c>
      <c r="F14" s="1">
        <f>+'PRIORIZACIÓN (2)'!F13</f>
        <v>2</v>
      </c>
      <c r="G14" s="283">
        <f t="shared" si="0"/>
        <v>6</v>
      </c>
      <c r="H14" s="286" t="str">
        <f t="shared" si="1"/>
        <v>Alto</v>
      </c>
      <c r="I14" s="6">
        <f t="shared" si="2"/>
        <v>0.4</v>
      </c>
      <c r="J14" s="11" t="s">
        <v>379</v>
      </c>
      <c r="K14" s="274">
        <f t="shared" si="3"/>
        <v>1</v>
      </c>
      <c r="L14" s="5" t="s">
        <v>12</v>
      </c>
      <c r="M14" s="6">
        <f t="shared" si="4"/>
        <v>0</v>
      </c>
      <c r="N14" s="299">
        <f>+'PRIORIZACIÓN (2)'!Q13</f>
        <v>0</v>
      </c>
      <c r="O14" s="296">
        <f t="shared" si="5"/>
        <v>44196</v>
      </c>
      <c r="P14" s="293">
        <f t="shared" si="6"/>
        <v>0.3</v>
      </c>
      <c r="Q14" s="289">
        <f t="shared" si="7"/>
        <v>1</v>
      </c>
      <c r="R14" s="34" t="e">
        <f t="shared" si="8"/>
        <v>#DIV/0!</v>
      </c>
    </row>
    <row r="15" spans="2:20" ht="45.75" thickBot="1" x14ac:dyDescent="0.3">
      <c r="B15" s="421" t="str">
        <f>+'PRIORIZACIÓN (2)'!B14</f>
        <v>Proyecto: Formulación, Gestión y Estructuración de Proyectos de Desarrollo, Revitalización o Renovación Urbana. Incluido aspecto contractual</v>
      </c>
      <c r="C15" s="5">
        <f>+'PRIORIZACIÓN (2)'!C14</f>
        <v>1</v>
      </c>
      <c r="D15" s="1">
        <f>+'PRIORIZACIÓN (2)'!D14</f>
        <v>0</v>
      </c>
      <c r="E15" s="1">
        <f>+'PRIORIZACIÓN (2)'!E14</f>
        <v>1</v>
      </c>
      <c r="F15" s="1">
        <f>+'PRIORIZACIÓN (2)'!F14</f>
        <v>1</v>
      </c>
      <c r="G15" s="283">
        <f t="shared" si="0"/>
        <v>3</v>
      </c>
      <c r="H15" s="286" t="str">
        <f t="shared" si="1"/>
        <v>Extremo</v>
      </c>
      <c r="I15" s="6">
        <f t="shared" si="2"/>
        <v>0.5</v>
      </c>
      <c r="J15" s="11" t="s">
        <v>12</v>
      </c>
      <c r="K15" s="274">
        <f t="shared" si="3"/>
        <v>0</v>
      </c>
      <c r="L15" s="5" t="s">
        <v>12</v>
      </c>
      <c r="M15" s="6">
        <f t="shared" si="4"/>
        <v>0</v>
      </c>
      <c r="N15" s="299">
        <f>+'PRIORIZACIÓN (2)'!Q14</f>
        <v>0</v>
      </c>
      <c r="O15" s="296">
        <f t="shared" si="5"/>
        <v>44196</v>
      </c>
      <c r="P15" s="293">
        <f t="shared" si="6"/>
        <v>0.3</v>
      </c>
      <c r="Q15" s="289">
        <f t="shared" si="7"/>
        <v>0.8</v>
      </c>
      <c r="R15" s="34" t="e">
        <f t="shared" si="8"/>
        <v>#DIV/0!</v>
      </c>
    </row>
    <row r="16" spans="2:20" ht="30.75" thickBot="1" x14ac:dyDescent="0.3">
      <c r="B16" s="421" t="str">
        <f>+'PRIORIZACIÓN (2)'!B15</f>
        <v>Auditoria Gestión Social asociada a la Adquisición Predial y grupos de interés</v>
      </c>
      <c r="C16" s="5">
        <f>+'PRIORIZACIÓN (2)'!C15</f>
        <v>0</v>
      </c>
      <c r="D16" s="1">
        <f>+'PRIORIZACIÓN (2)'!D15</f>
        <v>2</v>
      </c>
      <c r="E16" s="1">
        <f>+'PRIORIZACIÓN (2)'!E15</f>
        <v>0</v>
      </c>
      <c r="F16" s="1">
        <f>+'PRIORIZACIÓN (2)'!F15</f>
        <v>4</v>
      </c>
      <c r="G16" s="283">
        <f t="shared" si="0"/>
        <v>6</v>
      </c>
      <c r="H16" s="286" t="str">
        <f t="shared" si="1"/>
        <v>Alto</v>
      </c>
      <c r="I16" s="6">
        <f t="shared" si="2"/>
        <v>0.4</v>
      </c>
      <c r="J16" s="11" t="s">
        <v>12</v>
      </c>
      <c r="K16" s="274">
        <f t="shared" si="3"/>
        <v>0</v>
      </c>
      <c r="L16" s="5" t="s">
        <v>12</v>
      </c>
      <c r="M16" s="6">
        <f t="shared" si="4"/>
        <v>0</v>
      </c>
      <c r="N16" s="299">
        <f>+'PRIORIZACIÓN (2)'!Q15</f>
        <v>0</v>
      </c>
      <c r="O16" s="296">
        <f t="shared" si="5"/>
        <v>44196</v>
      </c>
      <c r="P16" s="293">
        <f t="shared" si="6"/>
        <v>0.3</v>
      </c>
      <c r="Q16" s="289">
        <f t="shared" si="7"/>
        <v>0.7</v>
      </c>
      <c r="R16" s="34" t="e">
        <f t="shared" si="8"/>
        <v>#DIV/0!</v>
      </c>
    </row>
    <row r="17" spans="2:18" ht="45.75" thickBot="1" x14ac:dyDescent="0.3">
      <c r="B17" s="421" t="str">
        <f>+'PRIORIZACIÓN (2)'!B16</f>
        <v>Auditoria Proceso Evaluación y seguimiento - Normas Internacionales de Auditoria - Oficina PAD
Auditorias cruzadas OCI - Alcaldia.</v>
      </c>
      <c r="C17" s="5">
        <f>+'PRIORIZACIÓN (2)'!C16</f>
        <v>3</v>
      </c>
      <c r="D17" s="1">
        <f>+'PRIORIZACIÓN (2)'!D16</f>
        <v>0</v>
      </c>
      <c r="E17" s="1">
        <f>+'PRIORIZACIÓN (2)'!E16</f>
        <v>1</v>
      </c>
      <c r="F17" s="1">
        <f>+'PRIORIZACIÓN (2)'!F16</f>
        <v>1</v>
      </c>
      <c r="G17" s="283">
        <f t="shared" si="0"/>
        <v>5</v>
      </c>
      <c r="H17" s="286" t="str">
        <f t="shared" si="1"/>
        <v>Extremo</v>
      </c>
      <c r="I17" s="6">
        <f t="shared" si="2"/>
        <v>0.5</v>
      </c>
      <c r="J17" s="11" t="s">
        <v>379</v>
      </c>
      <c r="K17" s="274">
        <f t="shared" si="3"/>
        <v>1</v>
      </c>
      <c r="L17" s="5" t="s">
        <v>12</v>
      </c>
      <c r="M17" s="6">
        <f t="shared" si="4"/>
        <v>0</v>
      </c>
      <c r="N17" s="299">
        <f>+'PRIORIZACIÓN (2)'!Q16</f>
        <v>0</v>
      </c>
      <c r="O17" s="296">
        <f t="shared" si="5"/>
        <v>44196</v>
      </c>
      <c r="P17" s="293">
        <f t="shared" si="6"/>
        <v>0.3</v>
      </c>
      <c r="Q17" s="289">
        <f t="shared" si="7"/>
        <v>1</v>
      </c>
      <c r="R17" s="34" t="e">
        <f t="shared" si="8"/>
        <v>#DIV/0!</v>
      </c>
    </row>
    <row r="18" spans="2:18" ht="30.75" thickBot="1" x14ac:dyDescent="0.3">
      <c r="B18" s="421" t="str">
        <f>+'PRIORIZACIÓN (2)'!B17</f>
        <v>Auditoria Misional - Predios Administrados por la ERU</v>
      </c>
      <c r="C18" s="5">
        <f>+'PRIORIZACIÓN (2)'!C17</f>
        <v>0</v>
      </c>
      <c r="D18" s="1">
        <f>+'PRIORIZACIÓN (2)'!D17</f>
        <v>1</v>
      </c>
      <c r="E18" s="1">
        <f>+'PRIORIZACIÓN (2)'!E17</f>
        <v>1</v>
      </c>
      <c r="F18" s="1">
        <f>+'PRIORIZACIÓN (2)'!F17</f>
        <v>2</v>
      </c>
      <c r="G18" s="283">
        <f t="shared" si="0"/>
        <v>4</v>
      </c>
      <c r="H18" s="286" t="str">
        <f t="shared" si="1"/>
        <v>Moderado</v>
      </c>
      <c r="I18" s="6">
        <f t="shared" si="2"/>
        <v>0.15</v>
      </c>
      <c r="J18" s="11" t="s">
        <v>379</v>
      </c>
      <c r="K18" s="274">
        <f t="shared" si="3"/>
        <v>1</v>
      </c>
      <c r="L18" s="5" t="s">
        <v>12</v>
      </c>
      <c r="M18" s="6">
        <f t="shared" si="4"/>
        <v>0</v>
      </c>
      <c r="N18" s="299">
        <f>+'PRIORIZACIÓN (2)'!Q17</f>
        <v>44092</v>
      </c>
      <c r="O18" s="296">
        <f t="shared" si="5"/>
        <v>104</v>
      </c>
      <c r="P18" s="293">
        <f t="shared" si="6"/>
        <v>0</v>
      </c>
      <c r="Q18" s="289">
        <f t="shared" si="7"/>
        <v>1</v>
      </c>
      <c r="R18" s="34" t="e">
        <f t="shared" si="8"/>
        <v>#DIV/0!</v>
      </c>
    </row>
    <row r="19" spans="2:18" ht="30.75" thickBot="1" x14ac:dyDescent="0.3">
      <c r="B19" s="421" t="str">
        <f>+'PRIORIZACIÓN (2)'!B18</f>
        <v xml:space="preserve">Auditoria Voto Nacional - Contratos Asociados (Auditoria de Gestión Contractual)  </v>
      </c>
      <c r="C19" s="5">
        <f>+'PRIORIZACIÓN (2)'!C18</f>
        <v>0</v>
      </c>
      <c r="D19" s="1">
        <f>+'PRIORIZACIÓN (2)'!D18</f>
        <v>1</v>
      </c>
      <c r="E19" s="1">
        <f>+'PRIORIZACIÓN (2)'!E18</f>
        <v>1</v>
      </c>
      <c r="F19" s="1">
        <f>+'PRIORIZACIÓN (2)'!F18</f>
        <v>2</v>
      </c>
      <c r="G19" s="283">
        <f t="shared" si="0"/>
        <v>4</v>
      </c>
      <c r="H19" s="286" t="str">
        <f t="shared" si="1"/>
        <v>Moderado</v>
      </c>
      <c r="I19" s="6">
        <f t="shared" si="2"/>
        <v>0.15</v>
      </c>
      <c r="J19" s="11" t="s">
        <v>379</v>
      </c>
      <c r="K19" s="274">
        <f t="shared" si="3"/>
        <v>1</v>
      </c>
      <c r="L19" s="5" t="s">
        <v>12</v>
      </c>
      <c r="M19" s="6">
        <f t="shared" si="4"/>
        <v>0</v>
      </c>
      <c r="N19" s="299">
        <f>+'PRIORIZACIÓN (2)'!Q18</f>
        <v>44158</v>
      </c>
      <c r="O19" s="296">
        <f t="shared" si="5"/>
        <v>38</v>
      </c>
      <c r="P19" s="293">
        <f t="shared" si="6"/>
        <v>0</v>
      </c>
      <c r="Q19" s="289">
        <f t="shared" si="7"/>
        <v>1</v>
      </c>
      <c r="R19" s="34" t="e">
        <f t="shared" si="8"/>
        <v>#DIV/0!</v>
      </c>
    </row>
    <row r="20" spans="2:18" ht="15.75" thickBot="1" x14ac:dyDescent="0.3">
      <c r="B20" s="421" t="str">
        <f>+'PRIORIZACIÓN (2)'!B19</f>
        <v>Auditoria Procesos Ejecución Proyectos de Obras</v>
      </c>
      <c r="C20" s="5">
        <f>+'PRIORIZACIÓN (2)'!C19</f>
        <v>0</v>
      </c>
      <c r="D20" s="1">
        <f>+'PRIORIZACIÓN (2)'!D19</f>
        <v>1</v>
      </c>
      <c r="E20" s="1">
        <f>+'PRIORIZACIÓN (2)'!E19</f>
        <v>1</v>
      </c>
      <c r="F20" s="1">
        <f>+'PRIORIZACIÓN (2)'!F19</f>
        <v>2</v>
      </c>
      <c r="G20" s="283">
        <f t="shared" si="0"/>
        <v>4</v>
      </c>
      <c r="H20" s="286" t="str">
        <f t="shared" si="1"/>
        <v>Moderado</v>
      </c>
      <c r="I20" s="6">
        <f t="shared" si="2"/>
        <v>0.15</v>
      </c>
      <c r="J20" s="11" t="s">
        <v>12</v>
      </c>
      <c r="K20" s="274">
        <f t="shared" si="3"/>
        <v>0</v>
      </c>
      <c r="L20" s="5" t="s">
        <v>12</v>
      </c>
      <c r="M20" s="6">
        <f t="shared" si="4"/>
        <v>0</v>
      </c>
      <c r="N20" s="299">
        <f>+'PRIORIZACIÓN (2)'!Q19</f>
        <v>44181</v>
      </c>
      <c r="O20" s="296">
        <f t="shared" si="5"/>
        <v>15</v>
      </c>
      <c r="P20" s="293">
        <f t="shared" si="6"/>
        <v>0</v>
      </c>
      <c r="Q20" s="289">
        <f t="shared" si="7"/>
        <v>0.15</v>
      </c>
      <c r="R20" s="34" t="e">
        <f t="shared" si="8"/>
        <v>#DIV/0!</v>
      </c>
    </row>
    <row r="21" spans="2:18" ht="30.75" thickBot="1" x14ac:dyDescent="0.3">
      <c r="B21" s="421" t="str">
        <f>+'PRIORIZACIÓN (2)'!B20</f>
        <v>Activos de Información y Funcionamiento Software que maneja la Empresa</v>
      </c>
      <c r="C21" s="5">
        <f>+'PRIORIZACIÓN (2)'!C20</f>
        <v>0</v>
      </c>
      <c r="D21" s="1">
        <f>+'PRIORIZACIÓN (2)'!D20</f>
        <v>1</v>
      </c>
      <c r="E21" s="1">
        <f>+'PRIORIZACIÓN (2)'!E20</f>
        <v>1</v>
      </c>
      <c r="F21" s="1">
        <f>+'PRIORIZACIÓN (2)'!F20</f>
        <v>4</v>
      </c>
      <c r="G21" s="283">
        <f t="shared" si="0"/>
        <v>6</v>
      </c>
      <c r="H21" s="286" t="str">
        <f t="shared" si="1"/>
        <v>Bajo</v>
      </c>
      <c r="I21" s="6">
        <f t="shared" si="2"/>
        <v>0.1</v>
      </c>
      <c r="J21" s="11" t="s">
        <v>12</v>
      </c>
      <c r="K21" s="274">
        <f t="shared" si="3"/>
        <v>0</v>
      </c>
      <c r="L21" s="5" t="s">
        <v>12</v>
      </c>
      <c r="M21" s="6">
        <f t="shared" si="4"/>
        <v>0</v>
      </c>
      <c r="N21" s="299">
        <f>+'PRIORIZACIÓN (2)'!Q20</f>
        <v>43977</v>
      </c>
      <c r="O21" s="296">
        <f t="shared" si="5"/>
        <v>219</v>
      </c>
      <c r="P21" s="293">
        <f t="shared" si="6"/>
        <v>0</v>
      </c>
      <c r="Q21" s="289">
        <f t="shared" si="7"/>
        <v>0.1</v>
      </c>
      <c r="R21" s="34" t="e">
        <f t="shared" si="8"/>
        <v>#DIV/0!</v>
      </c>
    </row>
    <row r="22" spans="2:18" ht="15.75" thickBot="1" x14ac:dyDescent="0.3">
      <c r="B22" s="421" t="str">
        <f>+'PRIORIZACIÓN (2)'!B21</f>
        <v>Auditoria Proceso Gestión Financiera y Contable</v>
      </c>
      <c r="C22" s="5">
        <f>+'PRIORIZACIÓN (2)'!C21</f>
        <v>0</v>
      </c>
      <c r="D22" s="1">
        <f>+'PRIORIZACIÓN (2)'!D21</f>
        <v>1</v>
      </c>
      <c r="E22" s="1">
        <f>+'PRIORIZACIÓN (2)'!E21</f>
        <v>2</v>
      </c>
      <c r="F22" s="1">
        <f>+'PRIORIZACIÓN (2)'!F21</f>
        <v>2</v>
      </c>
      <c r="G22" s="283">
        <f>SUM(C22:F22)</f>
        <v>5</v>
      </c>
      <c r="H22" s="286" t="str">
        <f>+IF(($C22/$G22)&gt;=0.2,"Extremo",+IF((($C22/G22)+($D22/$G22))&gt;=0.3,"Alto",+IF((($C22/$G22)+($D22/$G22)+($E22/$G22))&gt;=0.4,"Moderado",+IF(($C22/$G22)+($D22/$G22)+($E22/$G22)+($F22/$G22)&gt;=0.5,"Bajo",""))))</f>
        <v>Moderado</v>
      </c>
      <c r="I22" s="6">
        <f>(IF(H22="Extremo",50%,(IF(H22="Alto",40%,IF(H22="Moderado",15%,IF(H22="Bajo",10%,0))))))</f>
        <v>0.15</v>
      </c>
      <c r="J22" s="11" t="s">
        <v>12</v>
      </c>
      <c r="K22" s="274">
        <f>IF(J22="Si",100%,IF(J22="No",0,0))</f>
        <v>0</v>
      </c>
      <c r="L22" s="5" t="s">
        <v>12</v>
      </c>
      <c r="M22" s="6">
        <f>IF(L22="Si",20%,IF(L22="No",0,0))</f>
        <v>0</v>
      </c>
      <c r="N22" s="299">
        <f>+'PRIORIZACIÓN (2)'!Q21</f>
        <v>44196</v>
      </c>
      <c r="O22" s="296">
        <f>+$C$6-N22</f>
        <v>0</v>
      </c>
      <c r="P22" s="293">
        <f>IF(O22&gt;=1080,30%,IF(O22&gt;=720,20%,IF(O22&gt;=360,10%,IF(O22&lt;=359,0%,0))))</f>
        <v>0</v>
      </c>
      <c r="Q22" s="289">
        <f t="shared" si="7"/>
        <v>0.15</v>
      </c>
      <c r="R22" s="34" t="e">
        <f t="shared" si="8"/>
        <v>#DIV/0!</v>
      </c>
    </row>
    <row r="23" spans="2:18" ht="45.75" thickBot="1" x14ac:dyDescent="0.3">
      <c r="B23" s="281" t="str">
        <f>+'PRIORIZACIÓN (2)'!B22</f>
        <v>Proyecto San Victorino  (Alto volumen de información - terminación Contrato de dos auditores - aun en proceso de contratación)</v>
      </c>
      <c r="C23" s="5">
        <f>+'PRIORIZACIÓN (2)'!C22</f>
        <v>0</v>
      </c>
      <c r="D23" s="1">
        <f>+'PRIORIZACIÓN (2)'!D22</f>
        <v>0</v>
      </c>
      <c r="E23" s="1">
        <f>+'PRIORIZACIÓN (2)'!E22</f>
        <v>2</v>
      </c>
      <c r="F23" s="1">
        <f>+'PRIORIZACIÓN (2)'!F22</f>
        <v>2</v>
      </c>
      <c r="G23" s="283">
        <f>SUM(C23:F23)</f>
        <v>4</v>
      </c>
      <c r="H23" s="286" t="str">
        <f>+IF(($C23/$G23)&gt;=0.2,"Extremo",+IF((($C23/G23)+($D23/$G23))&gt;=0.3,"Alto",+IF((($C23/$G23)+($D23/$G23)+($E23/$G23))&gt;=0.4,"Moderado",+IF(($C23/$G23)+($D23/$G23)+($E23/$G23)+($F23/$G23)&gt;=0.5,"Bajo",""))))</f>
        <v>Moderado</v>
      </c>
      <c r="I23" s="6">
        <f>(IF(H23="Extremo",50%,(IF(H23="Alto",40%,IF(H23="Moderado",15%,IF(H23="Bajo",10%,0))))))</f>
        <v>0.15</v>
      </c>
      <c r="J23" s="11" t="s">
        <v>12</v>
      </c>
      <c r="K23" s="274">
        <f>IF(J23="Si",100%,IF(J23="No",0,0))</f>
        <v>0</v>
      </c>
      <c r="L23" s="5" t="s">
        <v>12</v>
      </c>
      <c r="M23" s="6">
        <f>IF(L23="Si",20%,IF(L23="No",0,0))</f>
        <v>0</v>
      </c>
      <c r="N23" s="299">
        <f>+'PRIORIZACIÓN (2)'!Q22</f>
        <v>44179</v>
      </c>
      <c r="O23" s="296">
        <f>+$C$6-N23</f>
        <v>17</v>
      </c>
      <c r="P23" s="293">
        <f>IF(O23&gt;=1080,30%,IF(O23&gt;=720,20%,IF(O23&gt;=360,10%,IF(O23&lt;=359,0%,0))))</f>
        <v>0</v>
      </c>
      <c r="Q23" s="289">
        <f>IF(K23=100%,100%,(I23+M23+P23))</f>
        <v>0.15</v>
      </c>
      <c r="R23" s="34" t="e">
        <f t="shared" si="8"/>
        <v>#DIV/0!</v>
      </c>
    </row>
    <row r="24" spans="2:18" ht="30.75" thickBot="1" x14ac:dyDescent="0.3">
      <c r="B24" s="281" t="str">
        <f>+'PRIORIZACIÓN (2)'!B23</f>
        <v>Auditoria a la Implementación del Modelo Integrado de Planeación y Gestión MIPG</v>
      </c>
      <c r="C24" s="5">
        <f>+'PRIORIZACIÓN (2)'!C23</f>
        <v>0</v>
      </c>
      <c r="D24" s="1">
        <f>+'PRIORIZACIÓN (2)'!D23</f>
        <v>1</v>
      </c>
      <c r="E24" s="1">
        <f>+'PRIORIZACIÓN (2)'!E23</f>
        <v>1</v>
      </c>
      <c r="F24" s="1">
        <f>+'PRIORIZACIÓN (2)'!F23</f>
        <v>2</v>
      </c>
      <c r="G24" s="283">
        <f t="shared" si="0"/>
        <v>4</v>
      </c>
      <c r="H24" s="286" t="str">
        <f t="shared" si="1"/>
        <v>Moderado</v>
      </c>
      <c r="I24" s="6">
        <f t="shared" si="2"/>
        <v>0.15</v>
      </c>
      <c r="J24" s="11" t="s">
        <v>12</v>
      </c>
      <c r="K24" s="274">
        <f t="shared" si="3"/>
        <v>0</v>
      </c>
      <c r="L24" s="5" t="s">
        <v>12</v>
      </c>
      <c r="M24" s="6">
        <f t="shared" si="4"/>
        <v>0</v>
      </c>
      <c r="N24" s="299">
        <f>+'PRIORIZACIÓN (2)'!Q23</f>
        <v>0</v>
      </c>
      <c r="O24" s="296">
        <f t="shared" si="5"/>
        <v>44196</v>
      </c>
      <c r="P24" s="293">
        <f t="shared" si="6"/>
        <v>0.3</v>
      </c>
      <c r="Q24" s="289">
        <f t="shared" si="7"/>
        <v>0.44999999999999996</v>
      </c>
      <c r="R24" s="34" t="e">
        <f t="shared" si="8"/>
        <v>#DIV/0!</v>
      </c>
    </row>
    <row r="25" spans="2:18" ht="30.75" thickBot="1" x14ac:dyDescent="0.3">
      <c r="B25" s="281" t="str">
        <f>+'PRIORIZACIÓN (2)'!B24</f>
        <v>Seguimiento implementación acciones de mejora a raíz de auditorias externas e internas</v>
      </c>
      <c r="C25" s="5">
        <f>+'PRIORIZACIÓN (2)'!C24</f>
        <v>0</v>
      </c>
      <c r="D25" s="1">
        <f>+'PRIORIZACIÓN (2)'!D24</f>
        <v>0</v>
      </c>
      <c r="E25" s="1">
        <f>+'PRIORIZACIÓN (2)'!E24</f>
        <v>1</v>
      </c>
      <c r="F25" s="1">
        <f>+'PRIORIZACIÓN (2)'!F24</f>
        <v>5</v>
      </c>
      <c r="G25" s="283">
        <f t="shared" si="0"/>
        <v>6</v>
      </c>
      <c r="H25" s="286" t="str">
        <f t="shared" si="1"/>
        <v>Bajo</v>
      </c>
      <c r="I25" s="6">
        <f t="shared" si="2"/>
        <v>0.1</v>
      </c>
      <c r="J25" s="11" t="s">
        <v>12</v>
      </c>
      <c r="K25" s="274">
        <f t="shared" si="3"/>
        <v>0</v>
      </c>
      <c r="L25" s="5" t="s">
        <v>12</v>
      </c>
      <c r="M25" s="6">
        <f t="shared" si="4"/>
        <v>0</v>
      </c>
      <c r="N25" s="299">
        <f>+'PRIORIZACIÓN (2)'!Q24</f>
        <v>0</v>
      </c>
      <c r="O25" s="296">
        <f t="shared" si="5"/>
        <v>44196</v>
      </c>
      <c r="P25" s="293">
        <f t="shared" si="6"/>
        <v>0.3</v>
      </c>
      <c r="Q25" s="289">
        <f t="shared" si="7"/>
        <v>0.4</v>
      </c>
      <c r="R25" s="34" t="e">
        <f t="shared" si="8"/>
        <v>#DIV/0!</v>
      </c>
    </row>
    <row r="26" spans="2:18" ht="15.75" thickBot="1" x14ac:dyDescent="0.3">
      <c r="B26" s="281" t="str">
        <f>+'PRIORIZACIÓN (2)'!B25</f>
        <v>Unidad Auditable 13</v>
      </c>
      <c r="C26" s="5">
        <f>+'PRIORIZACIÓN (2)'!C25</f>
        <v>0</v>
      </c>
      <c r="D26" s="1">
        <f>+'PRIORIZACIÓN (2)'!D25</f>
        <v>0</v>
      </c>
      <c r="E26" s="1">
        <f>+'PRIORIZACIÓN (2)'!E25</f>
        <v>0</v>
      </c>
      <c r="F26" s="1">
        <f>+'PRIORIZACIÓN (2)'!F25</f>
        <v>0</v>
      </c>
      <c r="G26" s="283">
        <f t="shared" ref="G26:G35" si="9">SUM(C26:F26)</f>
        <v>0</v>
      </c>
      <c r="H26" s="286" t="e">
        <f t="shared" ref="H26:H35" si="10">+IF(($C26/$G26)&gt;=0.2,"Extremo",+IF((($C26/G26)+($D26/$G26))&gt;=0.3,"Alto",+IF((($C26/$G26)+($D26/$G26)+($E26/$G26))&gt;=0.4,"Moderado",+IF(($C26/$G26)+($D26/$G26)+($E26/$G26)+($F26/$G26)&gt;=0.5,"Bajo",""))))</f>
        <v>#DIV/0!</v>
      </c>
      <c r="I26" s="6" t="e">
        <f t="shared" ref="I26:I35" si="11">(IF(H26="Extremo",50%,(IF(H26="Alto",40%,IF(H26="Moderado",15%,IF(H26="Bajo",10%,0))))))</f>
        <v>#DIV/0!</v>
      </c>
      <c r="J26" s="11" t="s">
        <v>12</v>
      </c>
      <c r="K26" s="274">
        <f t="shared" ref="K26:K35" si="12">IF(J26="Si",100%,IF(J26="No",0,0))</f>
        <v>0</v>
      </c>
      <c r="L26" s="5" t="s">
        <v>12</v>
      </c>
      <c r="M26" s="6">
        <f t="shared" ref="M26:M35" si="13">IF(L26="Si",20%,IF(L26="No",0,0))</f>
        <v>0</v>
      </c>
      <c r="N26" s="299">
        <f>+'PRIORIZACIÓN (2)'!Q25</f>
        <v>0</v>
      </c>
      <c r="O26" s="296">
        <f t="shared" ref="O26:O35" si="14">+$C$6-N26</f>
        <v>44196</v>
      </c>
      <c r="P26" s="293">
        <f t="shared" ref="P26:P35" si="15">IF(O26&gt;=1080,30%,IF(O26&gt;=720,20%,IF(O26&gt;=360,10%,IF(O26&lt;=359,0%,0))))</f>
        <v>0.3</v>
      </c>
      <c r="Q26" s="289" t="e">
        <f t="shared" ref="Q26:Q35" si="16">IF(K26=100%,100%,(I26+M26+P26))</f>
        <v>#DIV/0!</v>
      </c>
      <c r="R26" s="34" t="e">
        <f t="shared" si="8"/>
        <v>#DIV/0!</v>
      </c>
    </row>
    <row r="27" spans="2:18" ht="15.75" thickBot="1" x14ac:dyDescent="0.3">
      <c r="B27" s="281" t="str">
        <f>+'PRIORIZACIÓN (2)'!B26</f>
        <v>Unidad Auditable 14</v>
      </c>
      <c r="C27" s="5">
        <f>+'PRIORIZACIÓN (2)'!C26</f>
        <v>0</v>
      </c>
      <c r="D27" s="1">
        <f>+'PRIORIZACIÓN (2)'!D26</f>
        <v>0</v>
      </c>
      <c r="E27" s="1">
        <f>+'PRIORIZACIÓN (2)'!E26</f>
        <v>0</v>
      </c>
      <c r="F27" s="1">
        <f>+'PRIORIZACIÓN (2)'!F26</f>
        <v>0</v>
      </c>
      <c r="G27" s="283">
        <f t="shared" si="9"/>
        <v>0</v>
      </c>
      <c r="H27" s="286" t="e">
        <f t="shared" si="10"/>
        <v>#DIV/0!</v>
      </c>
      <c r="I27" s="6" t="e">
        <f t="shared" si="11"/>
        <v>#DIV/0!</v>
      </c>
      <c r="J27" s="11" t="s">
        <v>12</v>
      </c>
      <c r="K27" s="274">
        <f t="shared" si="12"/>
        <v>0</v>
      </c>
      <c r="L27" s="5" t="s">
        <v>12</v>
      </c>
      <c r="M27" s="6">
        <f t="shared" si="13"/>
        <v>0</v>
      </c>
      <c r="N27" s="299">
        <f>+'PRIORIZACIÓN (2)'!Q26</f>
        <v>0</v>
      </c>
      <c r="O27" s="296">
        <f t="shared" si="14"/>
        <v>44196</v>
      </c>
      <c r="P27" s="293">
        <f t="shared" si="15"/>
        <v>0.3</v>
      </c>
      <c r="Q27" s="289" t="e">
        <f t="shared" si="16"/>
        <v>#DIV/0!</v>
      </c>
      <c r="R27" s="34" t="e">
        <f t="shared" si="8"/>
        <v>#DIV/0!</v>
      </c>
    </row>
    <row r="28" spans="2:18" ht="15.75" thickBot="1" x14ac:dyDescent="0.3">
      <c r="B28" s="281" t="str">
        <f>+'PRIORIZACIÓN (2)'!B27</f>
        <v>Unidad Auditable 15</v>
      </c>
      <c r="C28" s="5">
        <f>+'PRIORIZACIÓN (2)'!C27</f>
        <v>0</v>
      </c>
      <c r="D28" s="1">
        <f>+'PRIORIZACIÓN (2)'!D27</f>
        <v>0</v>
      </c>
      <c r="E28" s="1">
        <f>+'PRIORIZACIÓN (2)'!E27</f>
        <v>0</v>
      </c>
      <c r="F28" s="1">
        <f>+'PRIORIZACIÓN (2)'!F27</f>
        <v>0</v>
      </c>
      <c r="G28" s="283">
        <f t="shared" si="9"/>
        <v>0</v>
      </c>
      <c r="H28" s="286" t="e">
        <f t="shared" si="10"/>
        <v>#DIV/0!</v>
      </c>
      <c r="I28" s="6" t="e">
        <f t="shared" si="11"/>
        <v>#DIV/0!</v>
      </c>
      <c r="J28" s="11" t="s">
        <v>12</v>
      </c>
      <c r="K28" s="274">
        <f t="shared" si="12"/>
        <v>0</v>
      </c>
      <c r="L28" s="5" t="s">
        <v>12</v>
      </c>
      <c r="M28" s="6">
        <f t="shared" si="13"/>
        <v>0</v>
      </c>
      <c r="N28" s="299">
        <f>+'PRIORIZACIÓN (2)'!Q27</f>
        <v>0</v>
      </c>
      <c r="O28" s="296">
        <f t="shared" si="14"/>
        <v>44196</v>
      </c>
      <c r="P28" s="293">
        <f t="shared" si="15"/>
        <v>0.3</v>
      </c>
      <c r="Q28" s="289" t="e">
        <f t="shared" si="16"/>
        <v>#DIV/0!</v>
      </c>
      <c r="R28" s="34" t="e">
        <f t="shared" si="8"/>
        <v>#DIV/0!</v>
      </c>
    </row>
    <row r="29" spans="2:18" ht="15.75" thickBot="1" x14ac:dyDescent="0.3">
      <c r="B29" s="281" t="str">
        <f>+'PRIORIZACIÓN (2)'!B28</f>
        <v>Unidad Auditable 16</v>
      </c>
      <c r="C29" s="5">
        <f>+'PRIORIZACIÓN (2)'!C28</f>
        <v>0</v>
      </c>
      <c r="D29" s="1">
        <f>+'PRIORIZACIÓN (2)'!D28</f>
        <v>0</v>
      </c>
      <c r="E29" s="1">
        <f>+'PRIORIZACIÓN (2)'!E28</f>
        <v>0</v>
      </c>
      <c r="F29" s="1">
        <f>+'PRIORIZACIÓN (2)'!F28</f>
        <v>0</v>
      </c>
      <c r="G29" s="283">
        <f t="shared" si="9"/>
        <v>0</v>
      </c>
      <c r="H29" s="286" t="e">
        <f t="shared" si="10"/>
        <v>#DIV/0!</v>
      </c>
      <c r="I29" s="6" t="e">
        <f t="shared" si="11"/>
        <v>#DIV/0!</v>
      </c>
      <c r="J29" s="11" t="s">
        <v>12</v>
      </c>
      <c r="K29" s="274">
        <f t="shared" si="12"/>
        <v>0</v>
      </c>
      <c r="L29" s="5" t="s">
        <v>12</v>
      </c>
      <c r="M29" s="6">
        <f t="shared" si="13"/>
        <v>0</v>
      </c>
      <c r="N29" s="299">
        <f>+'PRIORIZACIÓN (2)'!Q28</f>
        <v>0</v>
      </c>
      <c r="O29" s="296">
        <f t="shared" si="14"/>
        <v>44196</v>
      </c>
      <c r="P29" s="293">
        <f t="shared" si="15"/>
        <v>0.3</v>
      </c>
      <c r="Q29" s="289" t="e">
        <f t="shared" si="16"/>
        <v>#DIV/0!</v>
      </c>
      <c r="R29" s="34" t="e">
        <f t="shared" si="8"/>
        <v>#DIV/0!</v>
      </c>
    </row>
    <row r="30" spans="2:18" ht="15.75" thickBot="1" x14ac:dyDescent="0.3">
      <c r="B30" s="281" t="str">
        <f>+'PRIORIZACIÓN (2)'!B29</f>
        <v>Unidad Auditable 17</v>
      </c>
      <c r="C30" s="5">
        <f>+'PRIORIZACIÓN (2)'!C29</f>
        <v>0</v>
      </c>
      <c r="D30" s="1">
        <f>+'PRIORIZACIÓN (2)'!D29</f>
        <v>0</v>
      </c>
      <c r="E30" s="1">
        <f>+'PRIORIZACIÓN (2)'!E29</f>
        <v>0</v>
      </c>
      <c r="F30" s="1">
        <f>+'PRIORIZACIÓN (2)'!F29</f>
        <v>0</v>
      </c>
      <c r="G30" s="283">
        <f t="shared" si="9"/>
        <v>0</v>
      </c>
      <c r="H30" s="286" t="e">
        <f t="shared" si="10"/>
        <v>#DIV/0!</v>
      </c>
      <c r="I30" s="6" t="e">
        <f t="shared" si="11"/>
        <v>#DIV/0!</v>
      </c>
      <c r="J30" s="11"/>
      <c r="K30" s="274">
        <f t="shared" si="12"/>
        <v>0</v>
      </c>
      <c r="L30" s="5"/>
      <c r="M30" s="6">
        <f t="shared" si="13"/>
        <v>0</v>
      </c>
      <c r="N30" s="299"/>
      <c r="O30" s="296">
        <f t="shared" si="14"/>
        <v>44196</v>
      </c>
      <c r="P30" s="293">
        <f t="shared" si="15"/>
        <v>0.3</v>
      </c>
      <c r="Q30" s="289" t="e">
        <f t="shared" si="16"/>
        <v>#DIV/0!</v>
      </c>
      <c r="R30" s="13"/>
    </row>
    <row r="31" spans="2:18" ht="15.75" thickBot="1" x14ac:dyDescent="0.3">
      <c r="B31" s="281" t="str">
        <f>+'PRIORIZACIÓN (2)'!B30</f>
        <v>Unidad Auditable 18</v>
      </c>
      <c r="C31" s="5">
        <f>+'PRIORIZACIÓN (2)'!C30</f>
        <v>0</v>
      </c>
      <c r="D31" s="1">
        <f>+'PRIORIZACIÓN (2)'!D30</f>
        <v>0</v>
      </c>
      <c r="E31" s="1">
        <f>+'PRIORIZACIÓN (2)'!E30</f>
        <v>0</v>
      </c>
      <c r="F31" s="1">
        <f>+'PRIORIZACIÓN (2)'!F30</f>
        <v>0</v>
      </c>
      <c r="G31" s="283">
        <f t="shared" si="9"/>
        <v>0</v>
      </c>
      <c r="H31" s="286" t="e">
        <f t="shared" si="10"/>
        <v>#DIV/0!</v>
      </c>
      <c r="I31" s="6" t="e">
        <f t="shared" si="11"/>
        <v>#DIV/0!</v>
      </c>
      <c r="J31" s="11"/>
      <c r="K31" s="274">
        <f t="shared" si="12"/>
        <v>0</v>
      </c>
      <c r="L31" s="5"/>
      <c r="M31" s="6">
        <f t="shared" si="13"/>
        <v>0</v>
      </c>
      <c r="N31" s="299"/>
      <c r="O31" s="296">
        <f t="shared" si="14"/>
        <v>44196</v>
      </c>
      <c r="P31" s="293">
        <f t="shared" si="15"/>
        <v>0.3</v>
      </c>
      <c r="Q31" s="289" t="e">
        <f t="shared" si="16"/>
        <v>#DIV/0!</v>
      </c>
      <c r="R31" s="13"/>
    </row>
    <row r="32" spans="2:18" ht="15.75" thickBot="1" x14ac:dyDescent="0.3">
      <c r="B32" s="281" t="str">
        <f>+'PRIORIZACIÓN (2)'!B31</f>
        <v>Unidad Auditable 19</v>
      </c>
      <c r="C32" s="5">
        <f>+'PRIORIZACIÓN (2)'!C31</f>
        <v>0</v>
      </c>
      <c r="D32" s="1">
        <f>+'PRIORIZACIÓN (2)'!D31</f>
        <v>0</v>
      </c>
      <c r="E32" s="1">
        <f>+'PRIORIZACIÓN (2)'!E31</f>
        <v>0</v>
      </c>
      <c r="F32" s="1">
        <f>+'PRIORIZACIÓN (2)'!F31</f>
        <v>0</v>
      </c>
      <c r="G32" s="283">
        <f t="shared" si="9"/>
        <v>0</v>
      </c>
      <c r="H32" s="286" t="e">
        <f t="shared" si="10"/>
        <v>#DIV/0!</v>
      </c>
      <c r="I32" s="6" t="e">
        <f t="shared" si="11"/>
        <v>#DIV/0!</v>
      </c>
      <c r="J32" s="11"/>
      <c r="K32" s="274">
        <f t="shared" si="12"/>
        <v>0</v>
      </c>
      <c r="L32" s="5"/>
      <c r="M32" s="6">
        <f t="shared" si="13"/>
        <v>0</v>
      </c>
      <c r="N32" s="299"/>
      <c r="O32" s="296">
        <f t="shared" si="14"/>
        <v>44196</v>
      </c>
      <c r="P32" s="293">
        <f t="shared" si="15"/>
        <v>0.3</v>
      </c>
      <c r="Q32" s="289" t="e">
        <f t="shared" si="16"/>
        <v>#DIV/0!</v>
      </c>
      <c r="R32" s="13"/>
    </row>
    <row r="33" spans="2:18" ht="15.75" thickBot="1" x14ac:dyDescent="0.3">
      <c r="B33" s="281" t="str">
        <f>+'PRIORIZACIÓN (2)'!B32</f>
        <v>Unidad Auditable 20</v>
      </c>
      <c r="C33" s="5">
        <f>+'PRIORIZACIÓN (2)'!C32</f>
        <v>0</v>
      </c>
      <c r="D33" s="1">
        <f>+'PRIORIZACIÓN (2)'!D32</f>
        <v>0</v>
      </c>
      <c r="E33" s="1">
        <f>+'PRIORIZACIÓN (2)'!E32</f>
        <v>0</v>
      </c>
      <c r="F33" s="1">
        <f>+'PRIORIZACIÓN (2)'!F32</f>
        <v>0</v>
      </c>
      <c r="G33" s="283">
        <f t="shared" si="9"/>
        <v>0</v>
      </c>
      <c r="H33" s="286" t="e">
        <f t="shared" si="10"/>
        <v>#DIV/0!</v>
      </c>
      <c r="I33" s="6" t="e">
        <f t="shared" si="11"/>
        <v>#DIV/0!</v>
      </c>
      <c r="J33" s="11"/>
      <c r="K33" s="274">
        <f t="shared" si="12"/>
        <v>0</v>
      </c>
      <c r="L33" s="5"/>
      <c r="M33" s="6">
        <f t="shared" si="13"/>
        <v>0</v>
      </c>
      <c r="N33" s="299"/>
      <c r="O33" s="296">
        <f t="shared" si="14"/>
        <v>44196</v>
      </c>
      <c r="P33" s="293">
        <f t="shared" si="15"/>
        <v>0.3</v>
      </c>
      <c r="Q33" s="289" t="e">
        <f t="shared" si="16"/>
        <v>#DIV/0!</v>
      </c>
      <c r="R33" s="13"/>
    </row>
    <row r="34" spans="2:18" ht="15.75" thickBot="1" x14ac:dyDescent="0.3">
      <c r="B34" s="281" t="str">
        <f>+'PRIORIZACIÓN (2)'!B33</f>
        <v>Unidad Auditable 21</v>
      </c>
      <c r="C34" s="5">
        <f>+'PRIORIZACIÓN (2)'!C33</f>
        <v>0</v>
      </c>
      <c r="D34" s="1">
        <f>+'PRIORIZACIÓN (2)'!D33</f>
        <v>0</v>
      </c>
      <c r="E34" s="1">
        <f>+'PRIORIZACIÓN (2)'!E33</f>
        <v>0</v>
      </c>
      <c r="F34" s="1">
        <f>+'PRIORIZACIÓN (2)'!F33</f>
        <v>0</v>
      </c>
      <c r="G34" s="283">
        <f t="shared" si="9"/>
        <v>0</v>
      </c>
      <c r="H34" s="286" t="e">
        <f t="shared" si="10"/>
        <v>#DIV/0!</v>
      </c>
      <c r="I34" s="6" t="e">
        <f t="shared" si="11"/>
        <v>#DIV/0!</v>
      </c>
      <c r="J34" s="11"/>
      <c r="K34" s="274">
        <f t="shared" si="12"/>
        <v>0</v>
      </c>
      <c r="L34" s="5"/>
      <c r="M34" s="6">
        <f t="shared" si="13"/>
        <v>0</v>
      </c>
      <c r="N34" s="299"/>
      <c r="O34" s="296">
        <f t="shared" si="14"/>
        <v>44196</v>
      </c>
      <c r="P34" s="293">
        <f t="shared" si="15"/>
        <v>0.3</v>
      </c>
      <c r="Q34" s="289" t="e">
        <f t="shared" si="16"/>
        <v>#DIV/0!</v>
      </c>
      <c r="R34" s="13"/>
    </row>
    <row r="35" spans="2:18" ht="15.75" thickBot="1" x14ac:dyDescent="0.3">
      <c r="B35" s="281" t="str">
        <f>+'PRIORIZACIÓN (2)'!B34</f>
        <v>Unidad Auditable 22</v>
      </c>
      <c r="C35" s="7">
        <f>+'PRIORIZACIÓN (2)'!C34</f>
        <v>0</v>
      </c>
      <c r="D35" s="8">
        <f>+'PRIORIZACIÓN (2)'!D34</f>
        <v>0</v>
      </c>
      <c r="E35" s="8">
        <f>+'PRIORIZACIÓN (2)'!E34</f>
        <v>0</v>
      </c>
      <c r="F35" s="8">
        <f>+'PRIORIZACIÓN (2)'!F34</f>
        <v>0</v>
      </c>
      <c r="G35" s="284">
        <f t="shared" si="9"/>
        <v>0</v>
      </c>
      <c r="H35" s="287" t="e">
        <f t="shared" si="10"/>
        <v>#DIV/0!</v>
      </c>
      <c r="I35" s="9" t="e">
        <f t="shared" si="11"/>
        <v>#DIV/0!</v>
      </c>
      <c r="J35" s="12"/>
      <c r="K35" s="275">
        <f t="shared" si="12"/>
        <v>0</v>
      </c>
      <c r="L35" s="7"/>
      <c r="M35" s="9">
        <f t="shared" si="13"/>
        <v>0</v>
      </c>
      <c r="N35" s="300"/>
      <c r="O35" s="297">
        <f t="shared" si="14"/>
        <v>44196</v>
      </c>
      <c r="P35" s="294">
        <f t="shared" si="15"/>
        <v>0.3</v>
      </c>
      <c r="Q35" s="290" t="e">
        <f t="shared" si="16"/>
        <v>#DIV/0!</v>
      </c>
      <c r="R35" s="14"/>
    </row>
    <row r="37" spans="2:18" ht="15.75" thickBot="1" x14ac:dyDescent="0.3"/>
    <row r="38" spans="2:18" x14ac:dyDescent="0.25">
      <c r="B38" s="17"/>
      <c r="C38" s="35"/>
      <c r="D38" s="18"/>
      <c r="E38" s="18"/>
      <c r="F38" s="18"/>
      <c r="G38" s="18"/>
      <c r="H38" s="18"/>
      <c r="I38" s="18"/>
      <c r="J38" s="18"/>
      <c r="K38" s="18"/>
      <c r="L38" s="18"/>
      <c r="M38" s="18"/>
      <c r="N38" s="18"/>
      <c r="O38" s="18"/>
      <c r="P38" s="19"/>
    </row>
    <row r="39" spans="2:18" x14ac:dyDescent="0.25">
      <c r="B39" s="20"/>
      <c r="C39" s="36"/>
      <c r="D39" s="21"/>
      <c r="E39" s="21"/>
      <c r="F39" s="21"/>
      <c r="G39" s="21"/>
      <c r="H39" s="21"/>
      <c r="I39" s="21"/>
      <c r="J39" s="21"/>
      <c r="K39" s="21"/>
      <c r="L39" s="21"/>
      <c r="M39" s="21"/>
      <c r="N39" s="21"/>
      <c r="O39" s="21"/>
      <c r="P39" s="22"/>
    </row>
    <row r="40" spans="2:18" x14ac:dyDescent="0.25">
      <c r="B40" s="20"/>
      <c r="C40" s="36"/>
      <c r="D40" s="21"/>
      <c r="E40" s="21"/>
      <c r="F40" s="21"/>
      <c r="G40" s="21"/>
      <c r="H40" s="21"/>
      <c r="I40" s="21"/>
      <c r="J40" s="21"/>
      <c r="K40" s="21"/>
      <c r="L40" s="21"/>
      <c r="M40" s="21"/>
      <c r="N40" s="21"/>
      <c r="O40" s="21"/>
      <c r="P40" s="22"/>
    </row>
    <row r="41" spans="2:18" x14ac:dyDescent="0.25">
      <c r="B41" s="20"/>
      <c r="C41" s="36"/>
      <c r="D41" s="21"/>
      <c r="E41" s="21"/>
      <c r="F41" s="21"/>
      <c r="G41" s="21"/>
      <c r="H41" s="21"/>
      <c r="I41" s="21"/>
      <c r="J41" s="21"/>
      <c r="K41" s="21"/>
      <c r="L41" s="21"/>
      <c r="M41" s="21"/>
      <c r="N41" s="21"/>
      <c r="O41" s="21"/>
      <c r="P41" s="22"/>
    </row>
    <row r="42" spans="2:18" x14ac:dyDescent="0.25">
      <c r="B42" s="20"/>
      <c r="C42" s="36"/>
      <c r="D42" s="21"/>
      <c r="E42" s="21"/>
      <c r="F42" s="21"/>
      <c r="G42" s="21"/>
      <c r="H42" s="21"/>
      <c r="I42" s="21"/>
      <c r="J42" s="21"/>
      <c r="K42" s="21"/>
      <c r="L42" s="21"/>
      <c r="M42" s="21"/>
      <c r="N42" s="21"/>
      <c r="O42" s="21"/>
      <c r="P42" s="22"/>
    </row>
    <row r="43" spans="2:18" x14ac:dyDescent="0.25">
      <c r="B43" s="20"/>
      <c r="C43" s="36"/>
      <c r="D43" s="21"/>
      <c r="E43" s="21"/>
      <c r="F43" s="21"/>
      <c r="G43" s="21"/>
      <c r="H43" s="21"/>
      <c r="I43" s="21"/>
      <c r="J43" s="21"/>
      <c r="K43" s="21"/>
      <c r="L43" s="21"/>
      <c r="M43" s="21"/>
      <c r="N43" s="21"/>
      <c r="O43" s="21"/>
      <c r="P43" s="22"/>
    </row>
    <row r="44" spans="2:18" x14ac:dyDescent="0.25">
      <c r="B44" s="20"/>
      <c r="C44" s="36"/>
      <c r="D44" s="21"/>
      <c r="E44" s="21"/>
      <c r="F44" s="21"/>
      <c r="G44" s="21"/>
      <c r="H44" s="21"/>
      <c r="I44" s="21"/>
      <c r="J44" s="21"/>
      <c r="K44" s="21"/>
      <c r="L44" s="21"/>
      <c r="M44" s="21"/>
      <c r="N44" s="21"/>
      <c r="O44" s="21"/>
      <c r="P44" s="22"/>
    </row>
    <row r="45" spans="2:18" x14ac:dyDescent="0.25">
      <c r="B45" s="630" t="s">
        <v>31</v>
      </c>
      <c r="C45" s="631"/>
      <c r="D45" s="631"/>
      <c r="E45" s="631"/>
      <c r="F45" s="631"/>
      <c r="G45" s="631"/>
      <c r="H45" s="631"/>
      <c r="I45" s="631"/>
      <c r="J45" s="631"/>
      <c r="K45" s="631"/>
      <c r="L45" s="631"/>
      <c r="M45" s="631"/>
      <c r="N45" s="631"/>
      <c r="O45" s="631"/>
      <c r="P45" s="632"/>
    </row>
    <row r="46" spans="2:18" x14ac:dyDescent="0.25">
      <c r="B46" s="20"/>
      <c r="C46" s="36"/>
      <c r="D46" s="21"/>
      <c r="E46" s="21"/>
      <c r="F46" s="21"/>
      <c r="G46" s="21"/>
      <c r="H46" s="21"/>
      <c r="I46" s="21"/>
      <c r="J46" s="21"/>
      <c r="K46" s="21"/>
      <c r="L46" s="21"/>
      <c r="M46" s="21"/>
      <c r="N46" s="21"/>
      <c r="O46" s="21"/>
      <c r="P46" s="22"/>
    </row>
    <row r="47" spans="2:18" x14ac:dyDescent="0.25">
      <c r="B47" s="20"/>
      <c r="C47" s="36"/>
      <c r="D47" s="21"/>
      <c r="E47" s="21"/>
      <c r="F47" s="21"/>
      <c r="G47" s="21"/>
      <c r="H47" s="21"/>
      <c r="I47" s="21"/>
      <c r="J47" s="21"/>
      <c r="K47" s="21"/>
      <c r="L47" s="21"/>
      <c r="M47" s="21"/>
      <c r="N47" s="21"/>
      <c r="O47" s="21"/>
      <c r="P47" s="22"/>
    </row>
    <row r="48" spans="2:18" x14ac:dyDescent="0.25">
      <c r="B48" s="20"/>
      <c r="C48" s="36"/>
      <c r="D48" s="21"/>
      <c r="E48" s="21"/>
      <c r="F48" s="21"/>
      <c r="G48" s="21"/>
      <c r="H48" s="21"/>
      <c r="I48" s="21"/>
      <c r="J48" s="21"/>
      <c r="K48" s="21"/>
      <c r="L48" s="21"/>
      <c r="M48" s="21"/>
      <c r="N48" s="21"/>
      <c r="O48" s="21"/>
      <c r="P48" s="22"/>
    </row>
    <row r="49" spans="2:16" x14ac:dyDescent="0.25">
      <c r="B49" s="20"/>
      <c r="C49" s="36"/>
      <c r="D49" s="21"/>
      <c r="E49" s="21"/>
      <c r="F49" s="21"/>
      <c r="G49" s="21"/>
      <c r="H49" s="21"/>
      <c r="I49" s="21"/>
      <c r="J49" s="21"/>
      <c r="K49" s="21"/>
      <c r="L49" s="21"/>
      <c r="M49" s="21"/>
      <c r="N49" s="21"/>
      <c r="O49" s="21"/>
      <c r="P49" s="22"/>
    </row>
    <row r="50" spans="2:16" x14ac:dyDescent="0.25">
      <c r="B50" s="20"/>
      <c r="C50" s="36"/>
      <c r="D50" s="21"/>
      <c r="E50" s="21"/>
      <c r="F50" s="21"/>
      <c r="G50" s="21"/>
      <c r="H50" s="21"/>
      <c r="I50" s="21"/>
      <c r="J50" s="21"/>
      <c r="K50" s="21"/>
      <c r="L50" s="21"/>
      <c r="M50" s="21"/>
      <c r="N50" s="21"/>
      <c r="O50" s="21"/>
      <c r="P50" s="22"/>
    </row>
    <row r="51" spans="2:16" x14ac:dyDescent="0.25">
      <c r="B51" s="20"/>
      <c r="C51" s="36"/>
      <c r="D51" s="21"/>
      <c r="E51" s="21"/>
      <c r="F51" s="21"/>
      <c r="G51" s="21"/>
      <c r="H51" s="21"/>
      <c r="I51" s="21"/>
      <c r="J51" s="21"/>
      <c r="K51" s="21"/>
      <c r="L51" s="21"/>
      <c r="M51" s="21"/>
      <c r="N51" s="21"/>
      <c r="O51" s="21"/>
      <c r="P51" s="22"/>
    </row>
    <row r="52" spans="2:16" x14ac:dyDescent="0.25">
      <c r="B52" s="20"/>
      <c r="C52" s="36"/>
      <c r="D52" s="21"/>
      <c r="E52" s="21"/>
      <c r="F52" s="21"/>
      <c r="G52" s="21"/>
      <c r="H52" s="21"/>
      <c r="I52" s="21"/>
      <c r="J52" s="21"/>
      <c r="K52" s="21"/>
      <c r="L52" s="21"/>
      <c r="M52" s="21"/>
      <c r="N52" s="21"/>
      <c r="O52" s="21"/>
      <c r="P52" s="22"/>
    </row>
    <row r="53" spans="2:16" x14ac:dyDescent="0.25">
      <c r="B53" s="20"/>
      <c r="C53" s="36"/>
      <c r="D53" s="21"/>
      <c r="E53" s="21"/>
      <c r="F53" s="21"/>
      <c r="G53" s="21"/>
      <c r="H53" s="21"/>
      <c r="I53" s="21"/>
      <c r="J53" s="21"/>
      <c r="K53" s="21"/>
      <c r="L53" s="21"/>
      <c r="M53" s="21"/>
      <c r="N53" s="21"/>
      <c r="O53" s="21"/>
      <c r="P53" s="22"/>
    </row>
    <row r="54" spans="2:16" x14ac:dyDescent="0.25">
      <c r="B54" s="20"/>
      <c r="C54" s="36"/>
      <c r="D54" s="21"/>
      <c r="E54" s="21"/>
      <c r="F54" s="21"/>
      <c r="G54" s="21"/>
      <c r="H54" s="21"/>
      <c r="I54" s="21"/>
      <c r="J54" s="21"/>
      <c r="K54" s="21"/>
      <c r="L54" s="21"/>
      <c r="M54" s="21"/>
      <c r="N54" s="21"/>
      <c r="O54" s="21"/>
      <c r="P54" s="22"/>
    </row>
    <row r="55" spans="2:16" x14ac:dyDescent="0.25">
      <c r="B55" s="20"/>
      <c r="C55" s="36"/>
      <c r="D55" s="21"/>
      <c r="E55" s="21"/>
      <c r="F55" s="21"/>
      <c r="G55" s="21"/>
      <c r="H55" s="21"/>
      <c r="I55" s="21"/>
      <c r="J55" s="21"/>
      <c r="K55" s="21"/>
      <c r="L55" s="21"/>
      <c r="M55" s="21"/>
      <c r="N55" s="21"/>
      <c r="O55" s="21"/>
      <c r="P55" s="22"/>
    </row>
    <row r="56" spans="2:16" ht="15.75" thickBot="1" x14ac:dyDescent="0.3">
      <c r="B56" s="23"/>
      <c r="C56" s="24"/>
      <c r="D56" s="24"/>
      <c r="E56" s="24"/>
      <c r="F56" s="24"/>
      <c r="G56" s="24"/>
      <c r="H56" s="24"/>
      <c r="I56" s="24"/>
      <c r="J56" s="24"/>
      <c r="K56" s="24"/>
      <c r="L56" s="24"/>
      <c r="M56" s="24"/>
      <c r="N56" s="24"/>
      <c r="O56" s="24"/>
      <c r="P56" s="25"/>
    </row>
  </sheetData>
  <mergeCells count="23">
    <mergeCell ref="B2:B5"/>
    <mergeCell ref="C2:N5"/>
    <mergeCell ref="Q2:Q5"/>
    <mergeCell ref="O2:P2"/>
    <mergeCell ref="O3:P3"/>
    <mergeCell ref="O4:P4"/>
    <mergeCell ref="O5:P5"/>
    <mergeCell ref="R10:R11"/>
    <mergeCell ref="Q9:R9"/>
    <mergeCell ref="B45:P45"/>
    <mergeCell ref="J10:K11"/>
    <mergeCell ref="J9:K9"/>
    <mergeCell ref="L10:M11"/>
    <mergeCell ref="N10:N11"/>
    <mergeCell ref="B10:B11"/>
    <mergeCell ref="C10:G10"/>
    <mergeCell ref="H10:I11"/>
    <mergeCell ref="C9:I9"/>
    <mergeCell ref="O10:O11"/>
    <mergeCell ref="P10:P11"/>
    <mergeCell ref="L9:M9"/>
    <mergeCell ref="N9:P9"/>
    <mergeCell ref="Q10:Q11"/>
  </mergeCells>
  <conditionalFormatting sqref="H12">
    <cfRule type="containsText" dxfId="23" priority="42" operator="containsText" text="Moderado">
      <formula>NOT(ISERROR(SEARCH("Moderado",H12)))</formula>
    </cfRule>
    <cfRule type="containsText" dxfId="22" priority="43" operator="containsText" text="Alto">
      <formula>NOT(ISERROR(SEARCH("Alto",H12)))</formula>
    </cfRule>
    <cfRule type="containsText" dxfId="21" priority="44" operator="containsText" text="Muy Alto">
      <formula>NOT(ISERROR(SEARCH("Muy Alto",H12)))</formula>
    </cfRule>
  </conditionalFormatting>
  <conditionalFormatting sqref="H12">
    <cfRule type="containsText" dxfId="20" priority="40" operator="containsText" text="Muy Bajo">
      <formula>NOT(ISERROR(SEARCH("Muy Bajo",H12)))</formula>
    </cfRule>
    <cfRule type="containsText" dxfId="19" priority="41" operator="containsText" text="Bajo">
      <formula>NOT(ISERROR(SEARCH("Bajo",H12)))</formula>
    </cfRule>
  </conditionalFormatting>
  <conditionalFormatting sqref="H12">
    <cfRule type="containsText" dxfId="18" priority="39" operator="containsText" text="Extremo">
      <formula>NOT(ISERROR(SEARCH("Extremo",H12)))</formula>
    </cfRule>
  </conditionalFormatting>
  <conditionalFormatting sqref="H13:H21 H24:H35">
    <cfRule type="containsText" dxfId="17" priority="36" operator="containsText" text="Moderado">
      <formula>NOT(ISERROR(SEARCH("Moderado",H13)))</formula>
    </cfRule>
    <cfRule type="containsText" dxfId="16" priority="37" operator="containsText" text="Alto">
      <formula>NOT(ISERROR(SEARCH("Alto",H13)))</formula>
    </cfRule>
    <cfRule type="containsText" dxfId="15" priority="38" operator="containsText" text="Muy Alto">
      <formula>NOT(ISERROR(SEARCH("Muy Alto",H13)))</formula>
    </cfRule>
  </conditionalFormatting>
  <conditionalFormatting sqref="H13:H21 H24:H35">
    <cfRule type="containsText" dxfId="14" priority="34" operator="containsText" text="Muy Bajo">
      <formula>NOT(ISERROR(SEARCH("Muy Bajo",H13)))</formula>
    </cfRule>
    <cfRule type="containsText" dxfId="13" priority="35" operator="containsText" text="Bajo">
      <formula>NOT(ISERROR(SEARCH("Bajo",H13)))</formula>
    </cfRule>
  </conditionalFormatting>
  <conditionalFormatting sqref="H13:H21 H24:H35">
    <cfRule type="containsText" dxfId="12" priority="33" operator="containsText" text="Extremo">
      <formula>NOT(ISERROR(SEARCH("Extremo",H13)))</formula>
    </cfRule>
  </conditionalFormatting>
  <conditionalFormatting sqref="Q12:Q21 Q24:Q35">
    <cfRule type="colorScale" priority="31">
      <colorScale>
        <cfvo type="min"/>
        <cfvo type="percentile" val="50"/>
        <cfvo type="max"/>
        <color rgb="FF63BE7B"/>
        <color rgb="FFFFEB84"/>
        <color rgb="FFF8696B"/>
      </colorScale>
    </cfRule>
  </conditionalFormatting>
  <conditionalFormatting sqref="T12">
    <cfRule type="colorScale" priority="30">
      <colorScale>
        <cfvo type="min"/>
        <cfvo type="percentile" val="50"/>
        <cfvo type="max"/>
        <color rgb="FF63BE7B"/>
        <color rgb="FFFFEB84"/>
        <color rgb="FFF8696B"/>
      </colorScale>
    </cfRule>
  </conditionalFormatting>
  <conditionalFormatting sqref="H22">
    <cfRule type="containsText" dxfId="11" priority="13" operator="containsText" text="Moderado">
      <formula>NOT(ISERROR(SEARCH("Moderado",H22)))</formula>
    </cfRule>
    <cfRule type="containsText" dxfId="10" priority="14" operator="containsText" text="Alto">
      <formula>NOT(ISERROR(SEARCH("Alto",H22)))</formula>
    </cfRule>
    <cfRule type="containsText" dxfId="9" priority="15" operator="containsText" text="Muy Alto">
      <formula>NOT(ISERROR(SEARCH("Muy Alto",H22)))</formula>
    </cfRule>
  </conditionalFormatting>
  <conditionalFormatting sqref="H22">
    <cfRule type="containsText" dxfId="8" priority="11" operator="containsText" text="Muy Bajo">
      <formula>NOT(ISERROR(SEARCH("Muy Bajo",H22)))</formula>
    </cfRule>
    <cfRule type="containsText" dxfId="7" priority="12" operator="containsText" text="Bajo">
      <formula>NOT(ISERROR(SEARCH("Bajo",H22)))</formula>
    </cfRule>
  </conditionalFormatting>
  <conditionalFormatting sqref="H22">
    <cfRule type="containsText" dxfId="6" priority="10" operator="containsText" text="Extremo">
      <formula>NOT(ISERROR(SEARCH("Extremo",H22)))</formula>
    </cfRule>
  </conditionalFormatting>
  <conditionalFormatting sqref="H23">
    <cfRule type="containsText" dxfId="5" priority="6" operator="containsText" text="Moderado">
      <formula>NOT(ISERROR(SEARCH("Moderado",H23)))</formula>
    </cfRule>
    <cfRule type="containsText" dxfId="4" priority="7" operator="containsText" text="Alto">
      <formula>NOT(ISERROR(SEARCH("Alto",H23)))</formula>
    </cfRule>
    <cfRule type="containsText" dxfId="3" priority="8" operator="containsText" text="Muy Alto">
      <formula>NOT(ISERROR(SEARCH("Muy Alto",H23)))</formula>
    </cfRule>
  </conditionalFormatting>
  <conditionalFormatting sqref="H23">
    <cfRule type="containsText" dxfId="2" priority="4" operator="containsText" text="Muy Bajo">
      <formula>NOT(ISERROR(SEARCH("Muy Bajo",H23)))</formula>
    </cfRule>
    <cfRule type="containsText" dxfId="1" priority="5" operator="containsText" text="Bajo">
      <formula>NOT(ISERROR(SEARCH("Bajo",H23)))</formula>
    </cfRule>
  </conditionalFormatting>
  <conditionalFormatting sqref="H23">
    <cfRule type="containsText" dxfId="0" priority="3" operator="containsText" text="Extremo">
      <formula>NOT(ISERROR(SEARCH("Extremo",H23)))</formula>
    </cfRule>
  </conditionalFormatting>
  <conditionalFormatting sqref="Q23">
    <cfRule type="colorScale" priority="2">
      <colorScale>
        <cfvo type="min"/>
        <cfvo type="percentile" val="50"/>
        <cfvo type="max"/>
        <color rgb="FF63BE7B"/>
        <color rgb="FFFFEB84"/>
        <color rgb="FFF8696B"/>
      </colorScale>
    </cfRule>
  </conditionalFormatting>
  <conditionalFormatting sqref="Q22">
    <cfRule type="colorScale" priority="1">
      <colorScale>
        <cfvo type="min"/>
        <cfvo type="percentile" val="50"/>
        <cfvo type="max"/>
        <color rgb="FF63BE7B"/>
        <color rgb="FFFFEB84"/>
        <color rgb="FFF8696B"/>
      </colorScale>
    </cfRule>
  </conditionalFormatting>
  <dataValidations count="1">
    <dataValidation type="list" allowBlank="1" showInputMessage="1" showErrorMessage="1" sqref="J12:J35 L12:L35">
      <formula1>"Si,No"</formula1>
    </dataValidation>
  </dataValidations>
  <pageMargins left="0.7" right="0.7" top="0.75" bottom="0.75" header="0.3" footer="0.3"/>
  <pageSetup orientation="portrait" horizontalDpi="4294967293"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DA87"/>
  <sheetViews>
    <sheetView tabSelected="1" view="pageBreakPreview" topLeftCell="A14" zoomScale="40" zoomScaleNormal="91" zoomScaleSheetLayoutView="40" workbookViewId="0">
      <pane ySplit="4" topLeftCell="A18" activePane="bottomLeft" state="frozen"/>
      <selection activeCell="A14" sqref="A14"/>
      <selection pane="bottomLeft" activeCell="A55" sqref="A55"/>
    </sheetView>
  </sheetViews>
  <sheetFormatPr baseColWidth="10" defaultColWidth="11.42578125" defaultRowHeight="28.5" x14ac:dyDescent="0.45"/>
  <cols>
    <col min="1" max="1" width="11.42578125" style="39"/>
    <col min="2" max="2" width="80" style="42" customWidth="1"/>
    <col min="3" max="3" width="116.7109375" style="43" hidden="1" customWidth="1"/>
    <col min="4" max="4" width="80" style="44" hidden="1" customWidth="1"/>
    <col min="5" max="5" width="65.140625" style="44" customWidth="1"/>
    <col min="6" max="8" width="13.140625" style="43" customWidth="1"/>
    <col min="9" max="10" width="12.28515625" style="43" customWidth="1"/>
    <col min="11" max="12" width="11.85546875" style="43" customWidth="1"/>
    <col min="13" max="22" width="11.85546875" style="42" customWidth="1"/>
    <col min="23" max="23" width="171.28515625" style="42" customWidth="1"/>
    <col min="24" max="24" width="202.85546875" style="42" customWidth="1"/>
    <col min="25" max="25" width="8.7109375" style="42" hidden="1" customWidth="1"/>
    <col min="26" max="86" width="11.42578125" style="42"/>
    <col min="87" max="87" width="10.85546875" style="42" customWidth="1"/>
    <col min="88" max="90" width="11.42578125" style="42"/>
    <col min="91" max="16384" width="11.42578125" style="43"/>
  </cols>
  <sheetData>
    <row r="1" spans="1:105" s="37" customFormat="1" x14ac:dyDescent="0.25">
      <c r="A1" s="647" t="s">
        <v>18</v>
      </c>
      <c r="B1" s="648"/>
      <c r="C1" s="669" t="s">
        <v>655</v>
      </c>
      <c r="D1" s="670"/>
      <c r="E1" s="670"/>
      <c r="F1" s="670"/>
      <c r="G1" s="670"/>
      <c r="H1" s="670"/>
      <c r="I1" s="670"/>
      <c r="J1" s="670"/>
      <c r="K1" s="670"/>
      <c r="L1" s="670"/>
      <c r="M1" s="673">
        <v>263</v>
      </c>
      <c r="N1" s="673"/>
      <c r="O1" s="673"/>
      <c r="P1" s="673"/>
      <c r="Q1" s="673"/>
      <c r="R1" s="673"/>
      <c r="S1" s="673"/>
      <c r="T1" s="673"/>
      <c r="U1" s="673"/>
      <c r="V1" s="674"/>
    </row>
    <row r="2" spans="1:105" s="37" customFormat="1" x14ac:dyDescent="0.25">
      <c r="A2" s="647"/>
      <c r="B2" s="648"/>
      <c r="C2" s="671"/>
      <c r="D2" s="672"/>
      <c r="E2" s="672"/>
      <c r="F2" s="672"/>
      <c r="G2" s="672"/>
      <c r="H2" s="672"/>
      <c r="I2" s="672"/>
      <c r="J2" s="672"/>
      <c r="K2" s="672"/>
      <c r="L2" s="672"/>
      <c r="M2" s="675"/>
      <c r="N2" s="675"/>
      <c r="O2" s="675"/>
      <c r="P2" s="675"/>
      <c r="Q2" s="675"/>
      <c r="R2" s="675"/>
      <c r="S2" s="675"/>
      <c r="T2" s="675"/>
      <c r="U2" s="675"/>
      <c r="V2" s="676"/>
    </row>
    <row r="3" spans="1:105" s="37" customFormat="1" x14ac:dyDescent="0.25">
      <c r="A3" s="647"/>
      <c r="B3" s="648"/>
      <c r="C3" s="671"/>
      <c r="D3" s="672"/>
      <c r="E3" s="672"/>
      <c r="F3" s="672"/>
      <c r="G3" s="672"/>
      <c r="H3" s="672"/>
      <c r="I3" s="672"/>
      <c r="J3" s="672"/>
      <c r="K3" s="672"/>
      <c r="L3" s="672"/>
      <c r="M3" s="675"/>
      <c r="N3" s="675"/>
      <c r="O3" s="675"/>
      <c r="P3" s="675"/>
      <c r="Q3" s="675"/>
      <c r="R3" s="675"/>
      <c r="S3" s="675"/>
      <c r="T3" s="675"/>
      <c r="U3" s="675"/>
      <c r="V3" s="676"/>
    </row>
    <row r="4" spans="1:105" s="37" customFormat="1" ht="57" customHeight="1" x14ac:dyDescent="0.25">
      <c r="A4" s="647"/>
      <c r="B4" s="648"/>
      <c r="C4" s="687" t="s">
        <v>387</v>
      </c>
      <c r="D4" s="687"/>
      <c r="E4" s="687"/>
      <c r="F4" s="687"/>
      <c r="G4" s="687"/>
      <c r="H4" s="687"/>
      <c r="I4" s="687"/>
      <c r="J4" s="687"/>
      <c r="K4" s="687"/>
      <c r="L4" s="687"/>
      <c r="M4" s="687"/>
      <c r="N4" s="687"/>
      <c r="O4" s="687"/>
      <c r="P4" s="687"/>
      <c r="Q4" s="687"/>
      <c r="R4" s="687"/>
      <c r="S4" s="687"/>
      <c r="T4" s="687"/>
      <c r="U4" s="687"/>
      <c r="V4" s="688"/>
    </row>
    <row r="5" spans="1:105" s="37" customFormat="1" ht="28.5" customHeight="1" x14ac:dyDescent="0.25">
      <c r="A5" s="647"/>
      <c r="B5" s="648"/>
      <c r="C5" s="687" t="s">
        <v>388</v>
      </c>
      <c r="D5" s="687"/>
      <c r="E5" s="687"/>
      <c r="F5" s="687"/>
      <c r="G5" s="687"/>
      <c r="H5" s="687"/>
      <c r="I5" s="687"/>
      <c r="J5" s="687"/>
      <c r="K5" s="687"/>
      <c r="L5" s="687"/>
      <c r="M5" s="687"/>
      <c r="N5" s="687"/>
      <c r="O5" s="687"/>
      <c r="P5" s="687"/>
      <c r="Q5" s="687"/>
      <c r="R5" s="687"/>
      <c r="S5" s="687"/>
      <c r="T5" s="687"/>
      <c r="U5" s="687"/>
      <c r="V5" s="688"/>
    </row>
    <row r="6" spans="1:105" s="37" customFormat="1" ht="28.5" customHeight="1" x14ac:dyDescent="0.25">
      <c r="A6" s="649"/>
      <c r="B6" s="650"/>
      <c r="C6" s="687" t="s">
        <v>399</v>
      </c>
      <c r="D6" s="687"/>
      <c r="E6" s="687"/>
      <c r="F6" s="687"/>
      <c r="G6" s="687"/>
      <c r="H6" s="687"/>
      <c r="I6" s="687"/>
      <c r="J6" s="687"/>
      <c r="K6" s="687"/>
      <c r="L6" s="687"/>
      <c r="M6" s="687"/>
      <c r="N6" s="687"/>
      <c r="O6" s="687"/>
      <c r="P6" s="687"/>
      <c r="Q6" s="687"/>
      <c r="R6" s="687"/>
      <c r="S6" s="687"/>
      <c r="T6" s="687"/>
      <c r="U6" s="687"/>
      <c r="V6" s="688"/>
    </row>
    <row r="7" spans="1:105" s="37" customFormat="1" x14ac:dyDescent="0.25">
      <c r="A7" s="646" t="s">
        <v>220</v>
      </c>
      <c r="B7" s="646"/>
      <c r="C7" s="689" t="s">
        <v>690</v>
      </c>
      <c r="D7" s="687"/>
      <c r="E7" s="687"/>
      <c r="F7" s="687"/>
      <c r="G7" s="687"/>
      <c r="H7" s="687"/>
      <c r="I7" s="687"/>
      <c r="J7" s="687"/>
      <c r="K7" s="687"/>
      <c r="L7" s="687"/>
      <c r="M7" s="687"/>
      <c r="N7" s="687"/>
      <c r="O7" s="687"/>
      <c r="P7" s="687"/>
      <c r="Q7" s="687"/>
      <c r="R7" s="687"/>
      <c r="S7" s="687"/>
      <c r="T7" s="687"/>
      <c r="U7" s="687"/>
      <c r="V7" s="688"/>
    </row>
    <row r="8" spans="1:105" s="37" customFormat="1" ht="60.75" customHeight="1" thickBot="1" x14ac:dyDescent="0.3">
      <c r="A8" s="657" t="s">
        <v>221</v>
      </c>
      <c r="B8" s="658"/>
      <c r="C8" s="695" t="s">
        <v>691</v>
      </c>
      <c r="D8" s="695"/>
      <c r="E8" s="695"/>
      <c r="F8" s="695"/>
      <c r="G8" s="695"/>
      <c r="H8" s="695"/>
      <c r="I8" s="695"/>
      <c r="J8" s="695"/>
      <c r="K8" s="695"/>
      <c r="L8" s="695"/>
      <c r="M8" s="695"/>
      <c r="N8" s="695"/>
      <c r="O8" s="695"/>
      <c r="P8" s="695"/>
      <c r="Q8" s="695"/>
      <c r="R8" s="695"/>
      <c r="S8" s="695"/>
      <c r="T8" s="695"/>
      <c r="U8" s="695"/>
      <c r="V8" s="696"/>
    </row>
    <row r="9" spans="1:105" s="437" customFormat="1" ht="15" customHeight="1" x14ac:dyDescent="0.25">
      <c r="A9" s="435"/>
    </row>
    <row r="10" spans="1:105" s="437" customFormat="1" ht="15" customHeight="1" x14ac:dyDescent="0.25">
      <c r="A10" s="435"/>
    </row>
    <row r="11" spans="1:105" s="437" customFormat="1" ht="15" customHeight="1" x14ac:dyDescent="0.25">
      <c r="A11" s="435"/>
    </row>
    <row r="12" spans="1:105" s="437" customFormat="1" ht="15.75" customHeight="1" thickBot="1" x14ac:dyDescent="0.3">
      <c r="A12" s="435"/>
    </row>
    <row r="13" spans="1:105" s="39" customFormat="1" ht="28.5" customHeight="1" x14ac:dyDescent="0.25">
      <c r="A13" s="659" t="s">
        <v>689</v>
      </c>
      <c r="B13" s="698" t="s">
        <v>223</v>
      </c>
      <c r="C13" s="701" t="s">
        <v>214</v>
      </c>
      <c r="D13" s="701" t="s">
        <v>32</v>
      </c>
      <c r="E13" s="710" t="s">
        <v>222</v>
      </c>
      <c r="F13" s="713" t="s">
        <v>33</v>
      </c>
      <c r="G13" s="714"/>
      <c r="H13" s="714"/>
      <c r="I13" s="714"/>
      <c r="J13" s="715"/>
      <c r="K13" s="707" t="s">
        <v>493</v>
      </c>
      <c r="L13" s="708"/>
      <c r="M13" s="708"/>
      <c r="N13" s="708"/>
      <c r="O13" s="708"/>
      <c r="P13" s="708"/>
      <c r="Q13" s="708"/>
      <c r="R13" s="708"/>
      <c r="S13" s="708"/>
      <c r="T13" s="708"/>
      <c r="U13" s="708"/>
      <c r="V13" s="709"/>
      <c r="W13" s="677" t="s">
        <v>463</v>
      </c>
      <c r="X13" s="680" t="s">
        <v>464</v>
      </c>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row>
    <row r="14" spans="1:105" s="39" customFormat="1" x14ac:dyDescent="0.25">
      <c r="A14" s="660"/>
      <c r="B14" s="699"/>
      <c r="C14" s="702"/>
      <c r="D14" s="702"/>
      <c r="E14" s="711"/>
      <c r="F14" s="666" t="s">
        <v>215</v>
      </c>
      <c r="G14" s="682" t="s">
        <v>495</v>
      </c>
      <c r="H14" s="682" t="s">
        <v>217</v>
      </c>
      <c r="I14" s="682" t="s">
        <v>218</v>
      </c>
      <c r="J14" s="692" t="s">
        <v>219</v>
      </c>
      <c r="K14" s="704" t="s">
        <v>216</v>
      </c>
      <c r="L14" s="705"/>
      <c r="M14" s="705"/>
      <c r="N14" s="705"/>
      <c r="O14" s="705"/>
      <c r="P14" s="705"/>
      <c r="Q14" s="705"/>
      <c r="R14" s="705"/>
      <c r="S14" s="705"/>
      <c r="T14" s="705"/>
      <c r="U14" s="705"/>
      <c r="V14" s="706"/>
      <c r="W14" s="678"/>
      <c r="X14" s="681"/>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row>
    <row r="15" spans="1:105" s="39" customFormat="1" x14ac:dyDescent="0.25">
      <c r="A15" s="660"/>
      <c r="B15" s="699"/>
      <c r="C15" s="702"/>
      <c r="D15" s="702"/>
      <c r="E15" s="711"/>
      <c r="F15" s="667"/>
      <c r="G15" s="683"/>
      <c r="H15" s="683"/>
      <c r="I15" s="683"/>
      <c r="J15" s="693"/>
      <c r="K15" s="704"/>
      <c r="L15" s="705"/>
      <c r="M15" s="705"/>
      <c r="N15" s="705"/>
      <c r="O15" s="705"/>
      <c r="P15" s="705"/>
      <c r="Q15" s="705"/>
      <c r="R15" s="705"/>
      <c r="S15" s="705"/>
      <c r="T15" s="705"/>
      <c r="U15" s="705"/>
      <c r="V15" s="706"/>
      <c r="W15" s="678"/>
      <c r="X15" s="681"/>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row>
    <row r="16" spans="1:105" s="39" customFormat="1" x14ac:dyDescent="0.25">
      <c r="A16" s="661"/>
      <c r="B16" s="700"/>
      <c r="C16" s="703"/>
      <c r="D16" s="703"/>
      <c r="E16" s="712"/>
      <c r="F16" s="667"/>
      <c r="G16" s="683"/>
      <c r="H16" s="683"/>
      <c r="I16" s="683"/>
      <c r="J16" s="693"/>
      <c r="K16" s="716" t="s">
        <v>178</v>
      </c>
      <c r="L16" s="664" t="s">
        <v>179</v>
      </c>
      <c r="M16" s="664" t="s">
        <v>180</v>
      </c>
      <c r="N16" s="664" t="s">
        <v>181</v>
      </c>
      <c r="O16" s="664" t="s">
        <v>182</v>
      </c>
      <c r="P16" s="664" t="s">
        <v>183</v>
      </c>
      <c r="Q16" s="664" t="s">
        <v>184</v>
      </c>
      <c r="R16" s="664" t="s">
        <v>185</v>
      </c>
      <c r="S16" s="664" t="s">
        <v>186</v>
      </c>
      <c r="T16" s="664" t="s">
        <v>187</v>
      </c>
      <c r="U16" s="664" t="s">
        <v>188</v>
      </c>
      <c r="V16" s="690" t="s">
        <v>189</v>
      </c>
      <c r="W16" s="678"/>
      <c r="X16" s="681"/>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row>
    <row r="17" spans="1:25" s="45" customFormat="1" x14ac:dyDescent="0.25">
      <c r="A17" s="662" t="s">
        <v>224</v>
      </c>
      <c r="B17" s="662"/>
      <c r="C17" s="662"/>
      <c r="D17" s="662"/>
      <c r="E17" s="662"/>
      <c r="F17" s="668"/>
      <c r="G17" s="684"/>
      <c r="H17" s="684"/>
      <c r="I17" s="684"/>
      <c r="J17" s="694"/>
      <c r="K17" s="717"/>
      <c r="L17" s="665"/>
      <c r="M17" s="665"/>
      <c r="N17" s="665"/>
      <c r="O17" s="665"/>
      <c r="P17" s="665"/>
      <c r="Q17" s="665"/>
      <c r="R17" s="665"/>
      <c r="S17" s="665"/>
      <c r="T17" s="665"/>
      <c r="U17" s="665"/>
      <c r="V17" s="691"/>
      <c r="W17" s="679"/>
      <c r="X17" s="681"/>
    </row>
    <row r="18" spans="1:25" s="45" customFormat="1" ht="93" x14ac:dyDescent="0.25">
      <c r="A18" s="441">
        <v>1</v>
      </c>
      <c r="B18" s="439" t="s">
        <v>400</v>
      </c>
      <c r="C18" s="355" t="s">
        <v>629</v>
      </c>
      <c r="D18" s="355" t="s">
        <v>429</v>
      </c>
      <c r="E18" s="356" t="s">
        <v>402</v>
      </c>
      <c r="F18" s="357" t="s">
        <v>406</v>
      </c>
      <c r="G18" s="358"/>
      <c r="H18" s="358"/>
      <c r="I18" s="358"/>
      <c r="J18" s="359"/>
      <c r="K18" s="424"/>
      <c r="L18" s="360"/>
      <c r="M18" s="406"/>
      <c r="N18" s="455"/>
      <c r="O18" s="360"/>
      <c r="P18" s="360"/>
      <c r="Q18" s="360"/>
      <c r="R18" s="360"/>
      <c r="S18" s="360"/>
      <c r="T18" s="360"/>
      <c r="U18" s="360"/>
      <c r="V18" s="361"/>
      <c r="W18" s="463" t="s">
        <v>705</v>
      </c>
      <c r="X18" s="462"/>
    </row>
    <row r="19" spans="1:25" s="45" customFormat="1" ht="121.5" customHeight="1" x14ac:dyDescent="0.25">
      <c r="A19" s="441">
        <v>2</v>
      </c>
      <c r="B19" s="439" t="s">
        <v>401</v>
      </c>
      <c r="C19" s="355" t="s">
        <v>447</v>
      </c>
      <c r="D19" s="355" t="s">
        <v>429</v>
      </c>
      <c r="E19" s="356" t="s">
        <v>670</v>
      </c>
      <c r="F19" s="357" t="s">
        <v>406</v>
      </c>
      <c r="G19" s="358"/>
      <c r="H19" s="358"/>
      <c r="I19" s="358"/>
      <c r="J19" s="359"/>
      <c r="K19" s="425"/>
      <c r="L19" s="360"/>
      <c r="M19" s="360"/>
      <c r="N19" s="455"/>
      <c r="O19" s="360"/>
      <c r="P19" s="360"/>
      <c r="Q19" s="455"/>
      <c r="R19" s="360"/>
      <c r="S19" s="360"/>
      <c r="T19" s="455"/>
      <c r="U19" s="360"/>
      <c r="V19" s="360"/>
      <c r="W19" s="463" t="s">
        <v>746</v>
      </c>
      <c r="X19" s="462"/>
    </row>
    <row r="20" spans="1:25" s="45" customFormat="1" ht="268.5" customHeight="1" x14ac:dyDescent="0.25">
      <c r="A20" s="441">
        <v>3</v>
      </c>
      <c r="B20" s="439" t="s">
        <v>593</v>
      </c>
      <c r="C20" s="365" t="s">
        <v>630</v>
      </c>
      <c r="D20" s="366" t="s">
        <v>631</v>
      </c>
      <c r="E20" s="367" t="s">
        <v>671</v>
      </c>
      <c r="F20" s="357" t="s">
        <v>406</v>
      </c>
      <c r="G20" s="358"/>
      <c r="H20" s="358"/>
      <c r="I20" s="358"/>
      <c r="J20" s="359"/>
      <c r="K20" s="364"/>
      <c r="L20" s="360"/>
      <c r="M20" s="455"/>
      <c r="N20" s="455"/>
      <c r="O20" s="455"/>
      <c r="P20" s="455"/>
      <c r="Q20" s="455"/>
      <c r="R20" s="455"/>
      <c r="S20" s="360"/>
      <c r="T20" s="360"/>
      <c r="U20" s="360"/>
      <c r="V20" s="361"/>
      <c r="W20" s="463" t="s">
        <v>706</v>
      </c>
      <c r="X20" s="464"/>
    </row>
    <row r="21" spans="1:25" s="45" customFormat="1" ht="139.5" x14ac:dyDescent="0.25">
      <c r="A21" s="441">
        <v>4</v>
      </c>
      <c r="B21" s="439" t="s">
        <v>658</v>
      </c>
      <c r="C21" s="363" t="s">
        <v>632</v>
      </c>
      <c r="D21" s="363" t="s">
        <v>591</v>
      </c>
      <c r="E21" s="356" t="s">
        <v>633</v>
      </c>
      <c r="F21" s="357" t="s">
        <v>406</v>
      </c>
      <c r="G21" s="358"/>
      <c r="H21" s="358"/>
      <c r="I21" s="358"/>
      <c r="J21" s="359"/>
      <c r="K21" s="364"/>
      <c r="L21" s="360"/>
      <c r="M21" s="360"/>
      <c r="N21" s="360"/>
      <c r="O21" s="455"/>
      <c r="P21" s="455"/>
      <c r="Q21" s="455"/>
      <c r="R21" s="455"/>
      <c r="S21" s="455"/>
      <c r="T21" s="455"/>
      <c r="U21" s="455"/>
      <c r="V21" s="361"/>
      <c r="W21" s="463" t="s">
        <v>732</v>
      </c>
      <c r="X21" s="464" t="s">
        <v>768</v>
      </c>
    </row>
    <row r="22" spans="1:25" s="45" customFormat="1" ht="116.25" x14ac:dyDescent="0.25">
      <c r="A22" s="441">
        <v>5</v>
      </c>
      <c r="B22" s="439" t="s">
        <v>634</v>
      </c>
      <c r="C22" s="368" t="s">
        <v>616</v>
      </c>
      <c r="D22" s="355" t="s">
        <v>429</v>
      </c>
      <c r="E22" s="356" t="s">
        <v>635</v>
      </c>
      <c r="F22" s="357" t="s">
        <v>406</v>
      </c>
      <c r="G22" s="358"/>
      <c r="H22" s="358"/>
      <c r="I22" s="358"/>
      <c r="J22" s="359"/>
      <c r="K22" s="364"/>
      <c r="L22" s="360"/>
      <c r="M22" s="360"/>
      <c r="N22" s="360"/>
      <c r="O22" s="360"/>
      <c r="P22" s="360"/>
      <c r="Q22" s="360"/>
      <c r="R22" s="455"/>
      <c r="S22" s="455"/>
      <c r="T22" s="455"/>
      <c r="U22" s="455"/>
      <c r="V22" s="361"/>
      <c r="W22" s="463" t="s">
        <v>697</v>
      </c>
      <c r="X22" s="460" t="s">
        <v>756</v>
      </c>
    </row>
    <row r="23" spans="1:25" s="45" customFormat="1" ht="372" x14ac:dyDescent="0.25">
      <c r="A23" s="441">
        <v>6</v>
      </c>
      <c r="B23" s="440" t="s">
        <v>657</v>
      </c>
      <c r="C23" s="363" t="s">
        <v>636</v>
      </c>
      <c r="D23" s="363" t="s">
        <v>631</v>
      </c>
      <c r="E23" s="378" t="s">
        <v>694</v>
      </c>
      <c r="F23" s="379" t="s">
        <v>406</v>
      </c>
      <c r="G23" s="380"/>
      <c r="H23" s="380"/>
      <c r="I23" s="380"/>
      <c r="J23" s="381"/>
      <c r="K23" s="382"/>
      <c r="L23" s="383"/>
      <c r="M23" s="383"/>
      <c r="N23" s="383"/>
      <c r="O23" s="383"/>
      <c r="P23" s="383"/>
      <c r="Q23" s="360"/>
      <c r="R23" s="455"/>
      <c r="S23" s="455"/>
      <c r="T23" s="455"/>
      <c r="U23" s="455"/>
      <c r="V23" s="455"/>
      <c r="W23" s="460" t="s">
        <v>769</v>
      </c>
      <c r="X23" s="460" t="s">
        <v>770</v>
      </c>
    </row>
    <row r="24" spans="1:25" s="45" customFormat="1" ht="255.75" x14ac:dyDescent="0.25">
      <c r="A24" s="441">
        <v>7</v>
      </c>
      <c r="B24" s="439" t="s">
        <v>637</v>
      </c>
      <c r="C24" s="370" t="s">
        <v>618</v>
      </c>
      <c r="D24" s="366" t="s">
        <v>429</v>
      </c>
      <c r="E24" s="356" t="s">
        <v>672</v>
      </c>
      <c r="F24" s="357" t="s">
        <v>406</v>
      </c>
      <c r="G24" s="358"/>
      <c r="H24" s="358"/>
      <c r="I24" s="358"/>
      <c r="J24" s="359"/>
      <c r="K24" s="364"/>
      <c r="L24" s="360"/>
      <c r="M24" s="360"/>
      <c r="N24" s="360"/>
      <c r="O24" s="360"/>
      <c r="P24" s="360"/>
      <c r="Q24" s="360"/>
      <c r="R24" s="455"/>
      <c r="S24" s="455"/>
      <c r="T24" s="455"/>
      <c r="U24" s="455"/>
      <c r="V24" s="455"/>
      <c r="W24" s="460" t="s">
        <v>766</v>
      </c>
      <c r="X24" s="460" t="s">
        <v>767</v>
      </c>
    </row>
    <row r="25" spans="1:25" s="45" customFormat="1" ht="327" customHeight="1" x14ac:dyDescent="0.25">
      <c r="A25" s="441">
        <v>8</v>
      </c>
      <c r="B25" s="440" t="s">
        <v>673</v>
      </c>
      <c r="C25" s="370" t="s">
        <v>617</v>
      </c>
      <c r="D25" s="377" t="s">
        <v>501</v>
      </c>
      <c r="E25" s="371" t="s">
        <v>674</v>
      </c>
      <c r="F25" s="372" t="s">
        <v>406</v>
      </c>
      <c r="G25" s="373"/>
      <c r="H25" s="373"/>
      <c r="I25" s="373"/>
      <c r="J25" s="374"/>
      <c r="K25" s="375"/>
      <c r="L25" s="376"/>
      <c r="M25" s="376"/>
      <c r="N25" s="376"/>
      <c r="O25" s="360"/>
      <c r="P25" s="455"/>
      <c r="Q25" s="455"/>
      <c r="R25" s="455"/>
      <c r="S25" s="455"/>
      <c r="T25" s="455"/>
      <c r="U25" s="455"/>
      <c r="V25" s="361"/>
      <c r="W25" s="461" t="s">
        <v>736</v>
      </c>
      <c r="X25" s="461" t="s">
        <v>737</v>
      </c>
    </row>
    <row r="26" spans="1:25" s="45" customFormat="1" x14ac:dyDescent="0.25">
      <c r="A26" s="663" t="s">
        <v>455</v>
      </c>
      <c r="B26" s="663"/>
      <c r="C26" s="663"/>
      <c r="D26" s="663"/>
      <c r="E26" s="663"/>
      <c r="F26" s="663"/>
      <c r="G26" s="663"/>
      <c r="H26" s="663"/>
      <c r="I26" s="663"/>
      <c r="J26" s="663"/>
      <c r="K26" s="663"/>
      <c r="L26" s="663"/>
      <c r="M26" s="663"/>
      <c r="N26" s="663"/>
      <c r="O26" s="663"/>
      <c r="P26" s="663"/>
      <c r="Q26" s="385"/>
      <c r="R26" s="385"/>
      <c r="S26" s="385"/>
      <c r="T26" s="385"/>
      <c r="U26" s="385"/>
      <c r="V26" s="386"/>
      <c r="W26" s="466"/>
      <c r="X26" s="466"/>
    </row>
    <row r="27" spans="1:25" s="235" customFormat="1" ht="357" x14ac:dyDescent="0.25">
      <c r="A27" s="457">
        <v>9</v>
      </c>
      <c r="B27" s="458" t="s">
        <v>664</v>
      </c>
      <c r="C27" s="458" t="s">
        <v>665</v>
      </c>
      <c r="D27" s="458" t="s">
        <v>666</v>
      </c>
      <c r="E27" s="458" t="s">
        <v>592</v>
      </c>
      <c r="F27" s="387"/>
      <c r="G27" s="388"/>
      <c r="H27" s="388"/>
      <c r="I27" s="388" t="s">
        <v>406</v>
      </c>
      <c r="J27" s="389"/>
      <c r="K27" s="390"/>
      <c r="L27" s="426"/>
      <c r="M27" s="426"/>
      <c r="N27" s="426"/>
      <c r="O27" s="426"/>
      <c r="P27" s="426"/>
      <c r="Q27" s="426"/>
      <c r="R27" s="426"/>
      <c r="S27" s="426"/>
      <c r="T27" s="426"/>
      <c r="U27" s="426"/>
      <c r="V27" s="485"/>
      <c r="W27" s="461" t="s">
        <v>707</v>
      </c>
      <c r="X27" s="461" t="s">
        <v>758</v>
      </c>
    </row>
    <row r="28" spans="1:25" s="235" customFormat="1" ht="409.5" x14ac:dyDescent="0.25">
      <c r="A28" s="442">
        <v>10</v>
      </c>
      <c r="B28" s="365" t="s">
        <v>677</v>
      </c>
      <c r="C28" s="365" t="s">
        <v>665</v>
      </c>
      <c r="D28" s="365" t="s">
        <v>667</v>
      </c>
      <c r="E28" s="365" t="s">
        <v>676</v>
      </c>
      <c r="F28" s="387"/>
      <c r="G28" s="380"/>
      <c r="H28" s="380"/>
      <c r="I28" s="380" t="s">
        <v>406</v>
      </c>
      <c r="J28" s="381"/>
      <c r="K28" s="391"/>
      <c r="L28" s="383"/>
      <c r="M28" s="383"/>
      <c r="N28" s="383"/>
      <c r="O28" s="383"/>
      <c r="P28" s="426"/>
      <c r="Q28" s="426"/>
      <c r="R28" s="426"/>
      <c r="S28" s="426"/>
      <c r="T28" s="426"/>
      <c r="U28" s="426"/>
      <c r="V28" s="486"/>
      <c r="W28" s="461" t="s">
        <v>759</v>
      </c>
      <c r="X28" s="461" t="s">
        <v>760</v>
      </c>
    </row>
    <row r="29" spans="1:25" s="45" customFormat="1" x14ac:dyDescent="0.25">
      <c r="A29" s="651" t="s">
        <v>225</v>
      </c>
      <c r="B29" s="651"/>
      <c r="C29" s="651"/>
      <c r="D29" s="651"/>
      <c r="E29" s="651"/>
      <c r="F29" s="651"/>
      <c r="G29" s="651"/>
      <c r="H29" s="651"/>
      <c r="I29" s="651"/>
      <c r="J29" s="651"/>
      <c r="K29" s="651"/>
      <c r="L29" s="651"/>
      <c r="M29" s="651"/>
      <c r="N29" s="651"/>
      <c r="O29" s="651"/>
      <c r="P29" s="651"/>
      <c r="Q29" s="651"/>
      <c r="R29" s="651"/>
      <c r="S29" s="651"/>
      <c r="T29" s="651"/>
      <c r="U29" s="651"/>
      <c r="V29" s="652"/>
      <c r="W29" s="466"/>
      <c r="X29" s="466"/>
    </row>
    <row r="30" spans="1:25" s="45" customFormat="1" ht="337.5" customHeight="1" x14ac:dyDescent="0.25">
      <c r="A30" s="441">
        <v>11</v>
      </c>
      <c r="B30" s="439" t="s">
        <v>692</v>
      </c>
      <c r="C30" s="355" t="s">
        <v>397</v>
      </c>
      <c r="D30" s="392" t="s">
        <v>419</v>
      </c>
      <c r="E30" s="356" t="s">
        <v>418</v>
      </c>
      <c r="F30" s="357"/>
      <c r="G30" s="358" t="s">
        <v>406</v>
      </c>
      <c r="H30" s="358"/>
      <c r="I30" s="358"/>
      <c r="J30" s="359" t="s">
        <v>406</v>
      </c>
      <c r="K30" s="427"/>
      <c r="L30" s="383"/>
      <c r="M30" s="383"/>
      <c r="N30" s="383"/>
      <c r="O30" s="428"/>
      <c r="P30" s="383"/>
      <c r="Q30" s="383"/>
      <c r="R30" s="383"/>
      <c r="S30" s="428"/>
      <c r="T30" s="360"/>
      <c r="U30" s="360"/>
      <c r="V30" s="361"/>
      <c r="W30" s="461" t="s">
        <v>753</v>
      </c>
      <c r="X30" s="464"/>
      <c r="Y30" s="45">
        <v>1</v>
      </c>
    </row>
    <row r="31" spans="1:25" s="45" customFormat="1" ht="93" x14ac:dyDescent="0.25">
      <c r="A31" s="441">
        <v>12</v>
      </c>
      <c r="B31" s="439" t="s">
        <v>451</v>
      </c>
      <c r="C31" s="355" t="s">
        <v>500</v>
      </c>
      <c r="D31" s="392" t="s">
        <v>419</v>
      </c>
      <c r="E31" s="356" t="s">
        <v>638</v>
      </c>
      <c r="F31" s="357"/>
      <c r="G31" s="358"/>
      <c r="H31" s="358"/>
      <c r="I31" s="358"/>
      <c r="J31" s="359" t="s">
        <v>406</v>
      </c>
      <c r="K31" s="393"/>
      <c r="L31" s="428"/>
      <c r="M31" s="383"/>
      <c r="N31" s="383"/>
      <c r="O31" s="383"/>
      <c r="P31" s="383"/>
      <c r="Q31" s="383"/>
      <c r="R31" s="383"/>
      <c r="S31" s="383"/>
      <c r="T31" s="383"/>
      <c r="U31" s="383"/>
      <c r="V31" s="384"/>
      <c r="W31" s="461" t="s">
        <v>698</v>
      </c>
      <c r="X31" s="460" t="s">
        <v>699</v>
      </c>
      <c r="Y31" s="45">
        <v>1</v>
      </c>
    </row>
    <row r="32" spans="1:25" s="45" customFormat="1" ht="384" customHeight="1" x14ac:dyDescent="0.25">
      <c r="A32" s="441">
        <v>13</v>
      </c>
      <c r="B32" s="439" t="s">
        <v>407</v>
      </c>
      <c r="C32" s="355" t="s">
        <v>620</v>
      </c>
      <c r="D32" s="392" t="s">
        <v>420</v>
      </c>
      <c r="E32" s="356" t="s">
        <v>678</v>
      </c>
      <c r="F32" s="357"/>
      <c r="G32" s="358"/>
      <c r="H32" s="358" t="s">
        <v>406</v>
      </c>
      <c r="I32" s="358"/>
      <c r="J32" s="359" t="s">
        <v>406</v>
      </c>
      <c r="K32" s="393"/>
      <c r="L32" s="428"/>
      <c r="M32" s="394"/>
      <c r="N32" s="428"/>
      <c r="O32" s="394"/>
      <c r="P32" s="394"/>
      <c r="Q32" s="428"/>
      <c r="R32" s="394"/>
      <c r="S32" s="394"/>
      <c r="T32" s="428"/>
      <c r="U32" s="394"/>
      <c r="V32" s="428"/>
      <c r="W32" s="461" t="s">
        <v>708</v>
      </c>
      <c r="X32" s="460"/>
      <c r="Y32" s="45">
        <v>1.8</v>
      </c>
    </row>
    <row r="33" spans="1:26" s="45" customFormat="1" ht="255.75" x14ac:dyDescent="0.25">
      <c r="A33" s="441">
        <v>14</v>
      </c>
      <c r="B33" s="439" t="s">
        <v>597</v>
      </c>
      <c r="C33" s="355" t="s">
        <v>598</v>
      </c>
      <c r="D33" s="392" t="s">
        <v>421</v>
      </c>
      <c r="E33" s="356" t="s">
        <v>441</v>
      </c>
      <c r="F33" s="357"/>
      <c r="G33" s="358"/>
      <c r="H33" s="358"/>
      <c r="I33" s="358"/>
      <c r="J33" s="359" t="s">
        <v>406</v>
      </c>
      <c r="K33" s="393"/>
      <c r="L33" s="428"/>
      <c r="M33" s="360"/>
      <c r="N33" s="360"/>
      <c r="O33" s="360"/>
      <c r="P33" s="360"/>
      <c r="Q33" s="360"/>
      <c r="R33" s="360"/>
      <c r="S33" s="360"/>
      <c r="T33" s="360"/>
      <c r="U33" s="360"/>
      <c r="V33" s="361"/>
      <c r="W33" s="461" t="s">
        <v>709</v>
      </c>
      <c r="X33" s="464"/>
      <c r="Y33" s="45">
        <v>1</v>
      </c>
    </row>
    <row r="34" spans="1:26" s="45" customFormat="1" ht="255.75" x14ac:dyDescent="0.25">
      <c r="A34" s="441">
        <v>15</v>
      </c>
      <c r="B34" s="439" t="s">
        <v>599</v>
      </c>
      <c r="C34" s="355" t="s">
        <v>619</v>
      </c>
      <c r="D34" s="370" t="s">
        <v>604</v>
      </c>
      <c r="E34" s="356" t="s">
        <v>679</v>
      </c>
      <c r="F34" s="357"/>
      <c r="G34" s="358"/>
      <c r="H34" s="358"/>
      <c r="I34" s="358"/>
      <c r="J34" s="359" t="s">
        <v>406</v>
      </c>
      <c r="K34" s="427"/>
      <c r="L34" s="394"/>
      <c r="M34" s="360"/>
      <c r="N34" s="360"/>
      <c r="O34" s="360"/>
      <c r="P34" s="360"/>
      <c r="Q34" s="360"/>
      <c r="R34" s="428"/>
      <c r="S34" s="360"/>
      <c r="T34" s="360"/>
      <c r="U34" s="360"/>
      <c r="V34" s="361"/>
      <c r="W34" s="467" t="s">
        <v>710</v>
      </c>
      <c r="X34" s="464"/>
      <c r="Y34" s="45">
        <v>1</v>
      </c>
    </row>
    <row r="35" spans="1:26" s="45" customFormat="1" ht="69.75" x14ac:dyDescent="0.25">
      <c r="A35" s="441">
        <v>16</v>
      </c>
      <c r="B35" s="439" t="s">
        <v>408</v>
      </c>
      <c r="C35" s="355" t="s">
        <v>639</v>
      </c>
      <c r="D35" s="355" t="s">
        <v>422</v>
      </c>
      <c r="E35" s="356" t="s">
        <v>668</v>
      </c>
      <c r="F35" s="357"/>
      <c r="G35" s="358"/>
      <c r="H35" s="358"/>
      <c r="I35" s="358"/>
      <c r="J35" s="359" t="s">
        <v>406</v>
      </c>
      <c r="K35" s="382"/>
      <c r="L35" s="456"/>
      <c r="M35" s="360"/>
      <c r="N35" s="360"/>
      <c r="O35" s="383"/>
      <c r="P35" s="383"/>
      <c r="Q35" s="383"/>
      <c r="R35" s="383"/>
      <c r="S35" s="383"/>
      <c r="T35" s="428"/>
      <c r="U35" s="383"/>
      <c r="V35" s="384"/>
      <c r="W35" s="467" t="s">
        <v>711</v>
      </c>
      <c r="X35" s="464"/>
    </row>
    <row r="36" spans="1:26" s="45" customFormat="1" ht="116.25" x14ac:dyDescent="0.25">
      <c r="A36" s="441">
        <v>17</v>
      </c>
      <c r="B36" s="439" t="s">
        <v>409</v>
      </c>
      <c r="C36" s="355" t="s">
        <v>621</v>
      </c>
      <c r="D36" s="355" t="s">
        <v>425</v>
      </c>
      <c r="E36" s="356" t="s">
        <v>442</v>
      </c>
      <c r="F36" s="357"/>
      <c r="G36" s="358"/>
      <c r="H36" s="358"/>
      <c r="I36" s="358"/>
      <c r="J36" s="359" t="s">
        <v>406</v>
      </c>
      <c r="K36" s="364"/>
      <c r="L36" s="360"/>
      <c r="M36" s="360"/>
      <c r="N36" s="360"/>
      <c r="O36" s="428"/>
      <c r="P36" s="383"/>
      <c r="Q36" s="383"/>
      <c r="R36" s="383"/>
      <c r="S36" s="383"/>
      <c r="T36" s="383"/>
      <c r="U36" s="428"/>
      <c r="V36" s="361"/>
      <c r="W36" s="467" t="s">
        <v>727</v>
      </c>
      <c r="X36" s="464"/>
    </row>
    <row r="37" spans="1:26" s="45" customFormat="1" ht="93" x14ac:dyDescent="0.25">
      <c r="A37" s="441">
        <v>18</v>
      </c>
      <c r="B37" s="439" t="s">
        <v>426</v>
      </c>
      <c r="C37" s="355" t="s">
        <v>622</v>
      </c>
      <c r="D37" s="392" t="s">
        <v>419</v>
      </c>
      <c r="E37" s="356" t="s">
        <v>640</v>
      </c>
      <c r="F37" s="357"/>
      <c r="G37" s="358"/>
      <c r="H37" s="358"/>
      <c r="I37" s="358"/>
      <c r="J37" s="359" t="s">
        <v>406</v>
      </c>
      <c r="K37" s="382"/>
      <c r="L37" s="428"/>
      <c r="M37" s="428"/>
      <c r="N37" s="383"/>
      <c r="O37" s="383"/>
      <c r="P37" s="383"/>
      <c r="Q37" s="428"/>
      <c r="R37" s="428"/>
      <c r="S37" s="383"/>
      <c r="T37" s="383"/>
      <c r="U37" s="383"/>
      <c r="V37" s="384"/>
      <c r="W37" s="467" t="s">
        <v>712</v>
      </c>
      <c r="X37" s="464"/>
      <c r="Y37" s="45">
        <v>1</v>
      </c>
    </row>
    <row r="38" spans="1:26" s="45" customFormat="1" ht="93.75" customHeight="1" x14ac:dyDescent="0.25">
      <c r="A38" s="441">
        <v>19</v>
      </c>
      <c r="B38" s="444" t="s">
        <v>389</v>
      </c>
      <c r="C38" s="355" t="s">
        <v>623</v>
      </c>
      <c r="D38" s="355" t="s">
        <v>430</v>
      </c>
      <c r="E38" s="356" t="s">
        <v>680</v>
      </c>
      <c r="F38" s="357"/>
      <c r="G38" s="358"/>
      <c r="H38" s="358"/>
      <c r="I38" s="358"/>
      <c r="J38" s="359" t="s">
        <v>406</v>
      </c>
      <c r="K38" s="382"/>
      <c r="L38" s="383"/>
      <c r="M38" s="383"/>
      <c r="N38" s="383"/>
      <c r="O38" s="383"/>
      <c r="P38" s="383"/>
      <c r="Q38" s="383"/>
      <c r="R38" s="383"/>
      <c r="S38" s="383"/>
      <c r="T38" s="474"/>
      <c r="U38" s="474"/>
      <c r="V38" s="384"/>
      <c r="W38" s="475" t="s">
        <v>747</v>
      </c>
      <c r="X38" s="475" t="s">
        <v>776</v>
      </c>
    </row>
    <row r="39" spans="1:26" s="45" customFormat="1" ht="302.25" x14ac:dyDescent="0.25">
      <c r="A39" s="441">
        <v>20</v>
      </c>
      <c r="B39" s="439" t="s">
        <v>416</v>
      </c>
      <c r="C39" s="355" t="s">
        <v>641</v>
      </c>
      <c r="D39" s="355" t="s">
        <v>431</v>
      </c>
      <c r="E39" s="356" t="s">
        <v>443</v>
      </c>
      <c r="F39" s="357"/>
      <c r="G39" s="358"/>
      <c r="H39" s="358"/>
      <c r="I39" s="358"/>
      <c r="J39" s="359" t="s">
        <v>406</v>
      </c>
      <c r="K39" s="382"/>
      <c r="L39" s="428"/>
      <c r="M39" s="383"/>
      <c r="N39" s="383"/>
      <c r="O39" s="383"/>
      <c r="P39" s="383"/>
      <c r="Q39" s="428"/>
      <c r="R39" s="428"/>
      <c r="S39" s="383"/>
      <c r="T39" s="474"/>
      <c r="U39" s="474"/>
      <c r="V39" s="384"/>
      <c r="W39" s="459" t="s">
        <v>739</v>
      </c>
      <c r="X39" s="475" t="s">
        <v>777</v>
      </c>
      <c r="Y39" s="45">
        <v>1</v>
      </c>
    </row>
    <row r="40" spans="1:26" s="45" customFormat="1" ht="69.75" x14ac:dyDescent="0.25">
      <c r="A40" s="441">
        <v>21</v>
      </c>
      <c r="B40" s="439" t="s">
        <v>390</v>
      </c>
      <c r="C40" s="355" t="s">
        <v>624</v>
      </c>
      <c r="D40" s="355" t="s">
        <v>432</v>
      </c>
      <c r="E40" s="436" t="s">
        <v>675</v>
      </c>
      <c r="F40" s="357"/>
      <c r="G40" s="358"/>
      <c r="H40" s="358"/>
      <c r="I40" s="358"/>
      <c r="J40" s="359" t="s">
        <v>406</v>
      </c>
      <c r="K40" s="382"/>
      <c r="L40" s="383"/>
      <c r="M40" s="383"/>
      <c r="N40" s="383"/>
      <c r="O40" s="383"/>
      <c r="P40" s="383"/>
      <c r="Q40" s="383"/>
      <c r="R40" s="383"/>
      <c r="S40" s="383"/>
      <c r="T40" s="428"/>
      <c r="U40" s="383"/>
      <c r="V40" s="384"/>
      <c r="W40" s="467" t="s">
        <v>778</v>
      </c>
      <c r="X40" s="467" t="s">
        <v>738</v>
      </c>
      <c r="Z40" s="45">
        <f>0.5+0.8+0.6</f>
        <v>1.9</v>
      </c>
    </row>
    <row r="41" spans="1:26" s="45" customFormat="1" ht="202.5" customHeight="1" x14ac:dyDescent="0.25">
      <c r="A41" s="441">
        <v>22</v>
      </c>
      <c r="B41" s="439" t="s">
        <v>410</v>
      </c>
      <c r="C41" s="368" t="s">
        <v>609</v>
      </c>
      <c r="D41" s="368" t="s">
        <v>610</v>
      </c>
      <c r="E41" s="356" t="s">
        <v>458</v>
      </c>
      <c r="F41" s="357"/>
      <c r="G41" s="358"/>
      <c r="H41" s="358"/>
      <c r="I41" s="358"/>
      <c r="J41" s="359" t="s">
        <v>406</v>
      </c>
      <c r="K41" s="382"/>
      <c r="L41" s="428"/>
      <c r="M41" s="428"/>
      <c r="N41" s="383"/>
      <c r="O41" s="383"/>
      <c r="P41" s="383"/>
      <c r="Q41" s="383"/>
      <c r="R41" s="383"/>
      <c r="S41" s="383"/>
      <c r="T41" s="383"/>
      <c r="U41" s="383"/>
      <c r="V41" s="384"/>
      <c r="W41" s="461" t="s">
        <v>740</v>
      </c>
      <c r="X41" s="467" t="s">
        <v>757</v>
      </c>
      <c r="Y41" s="45">
        <v>1</v>
      </c>
    </row>
    <row r="42" spans="1:26" s="45" customFormat="1" ht="203.25" customHeight="1" x14ac:dyDescent="0.25">
      <c r="A42" s="441">
        <v>23</v>
      </c>
      <c r="B42" s="439" t="s">
        <v>456</v>
      </c>
      <c r="C42" s="355" t="s">
        <v>625</v>
      </c>
      <c r="D42" s="355" t="s">
        <v>433</v>
      </c>
      <c r="E42" s="356" t="s">
        <v>681</v>
      </c>
      <c r="F42" s="357"/>
      <c r="G42" s="358"/>
      <c r="H42" s="358"/>
      <c r="I42" s="358"/>
      <c r="J42" s="359" t="s">
        <v>406</v>
      </c>
      <c r="K42" s="427"/>
      <c r="L42" s="383"/>
      <c r="M42" s="383"/>
      <c r="N42" s="428"/>
      <c r="O42" s="383"/>
      <c r="P42" s="383"/>
      <c r="Q42" s="428"/>
      <c r="R42" s="383"/>
      <c r="S42" s="383"/>
      <c r="T42" s="428"/>
      <c r="U42" s="383"/>
      <c r="V42" s="428"/>
      <c r="W42" s="461" t="s">
        <v>773</v>
      </c>
      <c r="X42" s="467" t="s">
        <v>774</v>
      </c>
      <c r="Y42" s="45">
        <v>1</v>
      </c>
    </row>
    <row r="43" spans="1:26" s="45" customFormat="1" ht="264.75" customHeight="1" x14ac:dyDescent="0.25">
      <c r="A43" s="441">
        <v>24</v>
      </c>
      <c r="B43" s="439" t="s">
        <v>411</v>
      </c>
      <c r="C43" s="355" t="s">
        <v>626</v>
      </c>
      <c r="D43" s="355" t="s">
        <v>434</v>
      </c>
      <c r="E43" s="356" t="s">
        <v>444</v>
      </c>
      <c r="F43" s="357"/>
      <c r="G43" s="358"/>
      <c r="H43" s="358"/>
      <c r="I43" s="358"/>
      <c r="J43" s="359" t="s">
        <v>406</v>
      </c>
      <c r="K43" s="427"/>
      <c r="L43" s="383"/>
      <c r="M43" s="383"/>
      <c r="N43" s="428"/>
      <c r="O43" s="383"/>
      <c r="P43" s="383"/>
      <c r="Q43" s="383"/>
      <c r="R43" s="428"/>
      <c r="S43" s="383"/>
      <c r="T43" s="428"/>
      <c r="U43" s="383"/>
      <c r="V43" s="384"/>
      <c r="W43" s="461" t="s">
        <v>713</v>
      </c>
      <c r="X43" s="464"/>
      <c r="Y43" s="45">
        <v>1</v>
      </c>
    </row>
    <row r="44" spans="1:26" s="45" customFormat="1" ht="362.25" customHeight="1" x14ac:dyDescent="0.25">
      <c r="A44" s="441">
        <v>25</v>
      </c>
      <c r="B44" s="439" t="s">
        <v>412</v>
      </c>
      <c r="C44" s="355" t="s">
        <v>397</v>
      </c>
      <c r="D44" s="392" t="s">
        <v>419</v>
      </c>
      <c r="E44" s="356" t="s">
        <v>452</v>
      </c>
      <c r="F44" s="357"/>
      <c r="G44" s="358"/>
      <c r="H44" s="358"/>
      <c r="I44" s="358"/>
      <c r="J44" s="359" t="s">
        <v>406</v>
      </c>
      <c r="K44" s="427"/>
      <c r="L44" s="383"/>
      <c r="M44" s="383"/>
      <c r="N44" s="383"/>
      <c r="O44" s="428"/>
      <c r="P44" s="383"/>
      <c r="Q44" s="383"/>
      <c r="R44" s="383"/>
      <c r="S44" s="428"/>
      <c r="T44" s="428"/>
      <c r="U44" s="383"/>
      <c r="V44" s="384"/>
      <c r="W44" s="460" t="s">
        <v>733</v>
      </c>
      <c r="X44" s="460" t="s">
        <v>714</v>
      </c>
      <c r="Y44" s="45">
        <v>1</v>
      </c>
    </row>
    <row r="45" spans="1:26" s="45" customFormat="1" ht="305.25" customHeight="1" x14ac:dyDescent="0.25">
      <c r="A45" s="441">
        <v>26</v>
      </c>
      <c r="B45" s="439" t="s">
        <v>413</v>
      </c>
      <c r="C45" s="355" t="s">
        <v>427</v>
      </c>
      <c r="D45" s="355" t="s">
        <v>429</v>
      </c>
      <c r="E45" s="356" t="s">
        <v>452</v>
      </c>
      <c r="F45" s="357"/>
      <c r="G45" s="358"/>
      <c r="H45" s="358"/>
      <c r="I45" s="358"/>
      <c r="J45" s="359" t="s">
        <v>406</v>
      </c>
      <c r="K45" s="427"/>
      <c r="L45" s="428"/>
      <c r="M45" s="383"/>
      <c r="N45" s="383"/>
      <c r="O45" s="428"/>
      <c r="P45" s="383"/>
      <c r="Q45" s="383"/>
      <c r="R45" s="383"/>
      <c r="S45" s="428"/>
      <c r="T45" s="428"/>
      <c r="U45" s="383"/>
      <c r="V45" s="384"/>
      <c r="W45" s="460" t="s">
        <v>754</v>
      </c>
      <c r="X45" s="460" t="s">
        <v>715</v>
      </c>
      <c r="Y45" s="45">
        <v>1</v>
      </c>
    </row>
    <row r="46" spans="1:26" s="45" customFormat="1" ht="209.25" x14ac:dyDescent="0.25">
      <c r="A46" s="441">
        <v>27</v>
      </c>
      <c r="B46" s="439" t="s">
        <v>669</v>
      </c>
      <c r="C46" s="355" t="s">
        <v>627</v>
      </c>
      <c r="D46" s="355" t="s">
        <v>461</v>
      </c>
      <c r="E46" s="356" t="s">
        <v>688</v>
      </c>
      <c r="F46" s="357"/>
      <c r="G46" s="358"/>
      <c r="H46" s="358"/>
      <c r="I46" s="358"/>
      <c r="J46" s="359" t="s">
        <v>406</v>
      </c>
      <c r="K46" s="382"/>
      <c r="L46" s="383"/>
      <c r="M46" s="428"/>
      <c r="N46" s="428"/>
      <c r="O46" s="383"/>
      <c r="P46" s="383"/>
      <c r="Q46" s="383"/>
      <c r="R46" s="383"/>
      <c r="S46" s="383"/>
      <c r="T46" s="383"/>
      <c r="U46" s="428"/>
      <c r="V46" s="384"/>
      <c r="W46" s="460" t="s">
        <v>734</v>
      </c>
      <c r="X46" s="460" t="s">
        <v>716</v>
      </c>
      <c r="Y46" s="45">
        <v>1</v>
      </c>
    </row>
    <row r="47" spans="1:26" s="45" customFormat="1" ht="69.75" x14ac:dyDescent="0.25">
      <c r="A47" s="441">
        <v>28</v>
      </c>
      <c r="B47" s="439" t="s">
        <v>391</v>
      </c>
      <c r="C47" s="355" t="s">
        <v>628</v>
      </c>
      <c r="D47" s="355" t="s">
        <v>435</v>
      </c>
      <c r="E47" s="356" t="s">
        <v>458</v>
      </c>
      <c r="F47" s="357"/>
      <c r="G47" s="358"/>
      <c r="H47" s="358"/>
      <c r="I47" s="358"/>
      <c r="J47" s="359" t="s">
        <v>406</v>
      </c>
      <c r="K47" s="382"/>
      <c r="L47" s="383"/>
      <c r="M47" s="383"/>
      <c r="N47" s="383"/>
      <c r="O47" s="383"/>
      <c r="P47" s="383"/>
      <c r="Q47" s="383"/>
      <c r="R47" s="383"/>
      <c r="S47" s="383"/>
      <c r="T47" s="383"/>
      <c r="U47" s="428"/>
      <c r="V47" s="384"/>
      <c r="W47" s="461" t="s">
        <v>700</v>
      </c>
      <c r="X47" s="460" t="s">
        <v>701</v>
      </c>
    </row>
    <row r="48" spans="1:26" s="45" customFormat="1" ht="69.75" x14ac:dyDescent="0.25">
      <c r="A48" s="441">
        <v>29</v>
      </c>
      <c r="B48" s="439" t="s">
        <v>392</v>
      </c>
      <c r="C48" s="355" t="s">
        <v>436</v>
      </c>
      <c r="D48" s="355" t="s">
        <v>437</v>
      </c>
      <c r="E48" s="356" t="s">
        <v>393</v>
      </c>
      <c r="F48" s="357"/>
      <c r="G48" s="358"/>
      <c r="H48" s="358"/>
      <c r="I48" s="358"/>
      <c r="J48" s="359" t="s">
        <v>406</v>
      </c>
      <c r="K48" s="382"/>
      <c r="L48" s="383"/>
      <c r="M48" s="383"/>
      <c r="N48" s="383"/>
      <c r="O48" s="383"/>
      <c r="P48" s="383"/>
      <c r="Q48" s="383"/>
      <c r="R48" s="383"/>
      <c r="S48" s="428"/>
      <c r="T48" s="383"/>
      <c r="U48" s="383"/>
      <c r="V48" s="384"/>
      <c r="W48" s="460" t="s">
        <v>717</v>
      </c>
      <c r="X48" s="460" t="s">
        <v>741</v>
      </c>
    </row>
    <row r="49" spans="1:25" s="45" customFormat="1" ht="69.75" x14ac:dyDescent="0.25">
      <c r="A49" s="441">
        <v>30</v>
      </c>
      <c r="B49" s="439" t="s">
        <v>642</v>
      </c>
      <c r="C49" s="355" t="s">
        <v>643</v>
      </c>
      <c r="D49" s="355" t="s">
        <v>644</v>
      </c>
      <c r="E49" s="356" t="s">
        <v>645</v>
      </c>
      <c r="F49" s="357"/>
      <c r="G49" s="358"/>
      <c r="H49" s="358"/>
      <c r="I49" s="358"/>
      <c r="J49" s="359" t="s">
        <v>406</v>
      </c>
      <c r="K49" s="395"/>
      <c r="L49" s="428"/>
      <c r="M49" s="383"/>
      <c r="N49" s="383"/>
      <c r="O49" s="383"/>
      <c r="P49" s="383"/>
      <c r="Q49" s="383"/>
      <c r="R49" s="383"/>
      <c r="S49" s="383"/>
      <c r="T49" s="383"/>
      <c r="U49" s="383"/>
      <c r="V49" s="384"/>
      <c r="W49" s="460" t="s">
        <v>718</v>
      </c>
      <c r="X49" s="460" t="s">
        <v>719</v>
      </c>
      <c r="Y49" s="45">
        <v>1</v>
      </c>
    </row>
    <row r="50" spans="1:25" s="45" customFormat="1" ht="93" x14ac:dyDescent="0.25">
      <c r="A50" s="441">
        <v>31</v>
      </c>
      <c r="B50" s="439" t="s">
        <v>646</v>
      </c>
      <c r="C50" s="370" t="s">
        <v>643</v>
      </c>
      <c r="D50" s="370" t="s">
        <v>647</v>
      </c>
      <c r="E50" s="356" t="s">
        <v>645</v>
      </c>
      <c r="F50" s="357"/>
      <c r="G50" s="358"/>
      <c r="H50" s="358"/>
      <c r="I50" s="358"/>
      <c r="J50" s="359"/>
      <c r="K50" s="395"/>
      <c r="L50" s="394"/>
      <c r="M50" s="383"/>
      <c r="N50" s="383"/>
      <c r="O50" s="383"/>
      <c r="P50" s="383"/>
      <c r="Q50" s="383"/>
      <c r="R50" s="383"/>
      <c r="S50" s="383"/>
      <c r="T50" s="383"/>
      <c r="U50" s="428"/>
      <c r="V50" s="384"/>
      <c r="W50" s="460" t="s">
        <v>720</v>
      </c>
      <c r="X50" s="460" t="s">
        <v>721</v>
      </c>
    </row>
    <row r="51" spans="1:25" s="45" customFormat="1" ht="116.25" x14ac:dyDescent="0.25">
      <c r="A51" s="441">
        <v>32</v>
      </c>
      <c r="B51" s="439" t="s">
        <v>648</v>
      </c>
      <c r="C51" s="368" t="s">
        <v>611</v>
      </c>
      <c r="D51" s="368" t="s">
        <v>612</v>
      </c>
      <c r="E51" s="356" t="s">
        <v>458</v>
      </c>
      <c r="F51" s="357"/>
      <c r="G51" s="358"/>
      <c r="H51" s="358"/>
      <c r="I51" s="358"/>
      <c r="J51" s="359" t="s">
        <v>406</v>
      </c>
      <c r="K51" s="427"/>
      <c r="L51" s="383"/>
      <c r="M51" s="383"/>
      <c r="N51" s="383"/>
      <c r="O51" s="383"/>
      <c r="P51" s="383"/>
      <c r="Q51" s="383"/>
      <c r="R51" s="383"/>
      <c r="S51" s="383"/>
      <c r="T51" s="383"/>
      <c r="U51" s="383"/>
      <c r="V51" s="384"/>
      <c r="W51" s="461" t="s">
        <v>745</v>
      </c>
      <c r="X51" s="460" t="s">
        <v>702</v>
      </c>
      <c r="Y51" s="45">
        <v>1</v>
      </c>
    </row>
    <row r="52" spans="1:25" s="45" customFormat="1" ht="209.25" x14ac:dyDescent="0.25">
      <c r="A52" s="441">
        <v>33</v>
      </c>
      <c r="B52" s="439" t="s">
        <v>394</v>
      </c>
      <c r="C52" s="355" t="s">
        <v>438</v>
      </c>
      <c r="D52" s="355" t="s">
        <v>649</v>
      </c>
      <c r="E52" s="356" t="s">
        <v>682</v>
      </c>
      <c r="F52" s="396"/>
      <c r="G52" s="362"/>
      <c r="H52" s="362"/>
      <c r="I52" s="362"/>
      <c r="J52" s="359" t="s">
        <v>406</v>
      </c>
      <c r="K52" s="382"/>
      <c r="L52" s="383"/>
      <c r="M52" s="383"/>
      <c r="N52" s="428"/>
      <c r="O52" s="428"/>
      <c r="P52" s="383"/>
      <c r="Q52" s="383"/>
      <c r="R52" s="383"/>
      <c r="S52" s="383"/>
      <c r="T52" s="383"/>
      <c r="U52" s="428"/>
      <c r="V52" s="428"/>
      <c r="W52" s="461" t="s">
        <v>730</v>
      </c>
      <c r="X52" s="460"/>
    </row>
    <row r="53" spans="1:25" s="45" customFormat="1" ht="69.75" x14ac:dyDescent="0.25">
      <c r="A53" s="441">
        <v>34</v>
      </c>
      <c r="B53" s="439" t="s">
        <v>415</v>
      </c>
      <c r="C53" s="355" t="s">
        <v>427</v>
      </c>
      <c r="D53" s="355" t="s">
        <v>429</v>
      </c>
      <c r="E53" s="356" t="s">
        <v>445</v>
      </c>
      <c r="F53" s="396"/>
      <c r="G53" s="362"/>
      <c r="H53" s="362" t="s">
        <v>406</v>
      </c>
      <c r="I53" s="362"/>
      <c r="J53" s="398"/>
      <c r="K53" s="427"/>
      <c r="L53" s="428"/>
      <c r="M53" s="428"/>
      <c r="N53" s="428"/>
      <c r="O53" s="428"/>
      <c r="P53" s="428"/>
      <c r="Q53" s="428"/>
      <c r="R53" s="428"/>
      <c r="S53" s="428"/>
      <c r="T53" s="428"/>
      <c r="U53" s="428"/>
      <c r="V53" s="383"/>
      <c r="W53" s="461" t="s">
        <v>722</v>
      </c>
      <c r="X53" s="460" t="s">
        <v>723</v>
      </c>
    </row>
    <row r="54" spans="1:25" s="45" customFormat="1" ht="46.5" x14ac:dyDescent="0.25">
      <c r="A54" s="441">
        <v>35</v>
      </c>
      <c r="B54" s="473" t="s">
        <v>650</v>
      </c>
      <c r="C54" s="355" t="s">
        <v>614</v>
      </c>
      <c r="D54" s="355" t="s">
        <v>429</v>
      </c>
      <c r="E54" s="356" t="s">
        <v>445</v>
      </c>
      <c r="F54" s="396"/>
      <c r="G54" s="362"/>
      <c r="H54" s="362" t="s">
        <v>406</v>
      </c>
      <c r="I54" s="362"/>
      <c r="J54" s="398"/>
      <c r="K54" s="399"/>
      <c r="L54" s="360"/>
      <c r="M54" s="360"/>
      <c r="N54" s="360"/>
      <c r="O54" s="360"/>
      <c r="P54" s="360"/>
      <c r="Q54" s="360"/>
      <c r="R54" s="360"/>
      <c r="S54" s="360"/>
      <c r="T54" s="360"/>
      <c r="U54" s="360"/>
      <c r="V54" s="384"/>
      <c r="W54" s="483" t="s">
        <v>779</v>
      </c>
      <c r="X54" s="484" t="s">
        <v>785</v>
      </c>
    </row>
    <row r="55" spans="1:25" s="45" customFormat="1" ht="409.5" x14ac:dyDescent="0.25">
      <c r="A55" s="441">
        <v>36</v>
      </c>
      <c r="B55" s="439" t="s">
        <v>600</v>
      </c>
      <c r="C55" s="368" t="s">
        <v>601</v>
      </c>
      <c r="D55" s="368" t="s">
        <v>502</v>
      </c>
      <c r="E55" s="368" t="s">
        <v>602</v>
      </c>
      <c r="F55" s="396" t="s">
        <v>406</v>
      </c>
      <c r="G55" s="362"/>
      <c r="H55" s="362"/>
      <c r="I55" s="362"/>
      <c r="J55" s="398"/>
      <c r="K55" s="399"/>
      <c r="L55" s="428"/>
      <c r="M55" s="360"/>
      <c r="N55" s="428"/>
      <c r="O55" s="360"/>
      <c r="P55" s="360"/>
      <c r="Q55" s="360"/>
      <c r="R55" s="360"/>
      <c r="S55" s="455"/>
      <c r="T55" s="360"/>
      <c r="U55" s="360"/>
      <c r="V55" s="486"/>
      <c r="W55" s="461" t="s">
        <v>771</v>
      </c>
      <c r="X55" s="461" t="s">
        <v>772</v>
      </c>
      <c r="Y55" s="45">
        <v>1</v>
      </c>
    </row>
    <row r="56" spans="1:25" s="45" customFormat="1" ht="46.5" x14ac:dyDescent="0.25">
      <c r="A56" s="441">
        <v>37</v>
      </c>
      <c r="B56" s="422" t="s">
        <v>466</v>
      </c>
      <c r="C56" s="370" t="s">
        <v>428</v>
      </c>
      <c r="D56" s="370" t="s">
        <v>505</v>
      </c>
      <c r="E56" s="400" t="s">
        <v>506</v>
      </c>
      <c r="F56" s="379" t="s">
        <v>406</v>
      </c>
      <c r="G56" s="380"/>
      <c r="H56" s="380"/>
      <c r="I56" s="380"/>
      <c r="J56" s="381"/>
      <c r="K56" s="382"/>
      <c r="L56" s="383"/>
      <c r="M56" s="383"/>
      <c r="N56" s="383"/>
      <c r="O56" s="383"/>
      <c r="P56" s="383"/>
      <c r="Q56" s="383"/>
      <c r="R56" s="383"/>
      <c r="S56" s="383"/>
      <c r="T56" s="383"/>
      <c r="U56" s="428"/>
      <c r="V56" s="384"/>
      <c r="W56" s="461" t="s">
        <v>703</v>
      </c>
      <c r="X56" s="460" t="s">
        <v>704</v>
      </c>
    </row>
    <row r="57" spans="1:25" s="45" customFormat="1" ht="93" x14ac:dyDescent="0.25">
      <c r="A57" s="441">
        <v>38</v>
      </c>
      <c r="B57" s="443" t="s">
        <v>651</v>
      </c>
      <c r="C57" s="370" t="s">
        <v>507</v>
      </c>
      <c r="D57" s="370" t="s">
        <v>652</v>
      </c>
      <c r="E57" s="400" t="s">
        <v>458</v>
      </c>
      <c r="F57" s="379"/>
      <c r="G57" s="380"/>
      <c r="H57" s="380"/>
      <c r="I57" s="380"/>
      <c r="J57" s="381" t="s">
        <v>406</v>
      </c>
      <c r="K57" s="401"/>
      <c r="L57" s="370"/>
      <c r="M57" s="428"/>
      <c r="N57" s="428"/>
      <c r="O57" s="383"/>
      <c r="P57" s="383"/>
      <c r="Q57" s="383"/>
      <c r="R57" s="370"/>
      <c r="S57" s="370"/>
      <c r="T57" s="383"/>
      <c r="U57" s="383"/>
      <c r="V57" s="384"/>
      <c r="W57" s="461" t="s">
        <v>696</v>
      </c>
      <c r="X57" s="460" t="s">
        <v>695</v>
      </c>
      <c r="Y57" s="45">
        <v>1</v>
      </c>
    </row>
    <row r="58" spans="1:25" s="45" customFormat="1" x14ac:dyDescent="0.25">
      <c r="A58" s="651" t="s">
        <v>226</v>
      </c>
      <c r="B58" s="651"/>
      <c r="C58" s="651"/>
      <c r="D58" s="651"/>
      <c r="E58" s="651"/>
      <c r="F58" s="651"/>
      <c r="G58" s="651"/>
      <c r="H58" s="651"/>
      <c r="I58" s="651"/>
      <c r="J58" s="651"/>
      <c r="K58" s="651"/>
      <c r="L58" s="651"/>
      <c r="M58" s="651"/>
      <c r="N58" s="651"/>
      <c r="O58" s="651"/>
      <c r="P58" s="651"/>
      <c r="Q58" s="651"/>
      <c r="R58" s="651"/>
      <c r="S58" s="651"/>
      <c r="T58" s="651"/>
      <c r="U58" s="651"/>
      <c r="V58" s="652"/>
      <c r="W58" s="468"/>
      <c r="X58" s="469"/>
    </row>
    <row r="59" spans="1:25" s="45" customFormat="1" ht="116.25" x14ac:dyDescent="0.25">
      <c r="A59" s="441">
        <v>39</v>
      </c>
      <c r="B59" s="439" t="s">
        <v>403</v>
      </c>
      <c r="C59" s="355" t="s">
        <v>427</v>
      </c>
      <c r="D59" s="355" t="s">
        <v>429</v>
      </c>
      <c r="E59" s="356" t="s">
        <v>402</v>
      </c>
      <c r="F59" s="402"/>
      <c r="G59" s="403"/>
      <c r="H59" s="403"/>
      <c r="I59" s="403" t="s">
        <v>406</v>
      </c>
      <c r="J59" s="398"/>
      <c r="K59" s="427"/>
      <c r="L59" s="428"/>
      <c r="M59" s="428"/>
      <c r="N59" s="428"/>
      <c r="O59" s="428"/>
      <c r="P59" s="428"/>
      <c r="Q59" s="428"/>
      <c r="R59" s="428"/>
      <c r="S59" s="428"/>
      <c r="T59" s="428"/>
      <c r="U59" s="428"/>
      <c r="V59" s="486"/>
      <c r="W59" s="461" t="s">
        <v>724</v>
      </c>
      <c r="X59" s="460" t="s">
        <v>725</v>
      </c>
    </row>
    <row r="60" spans="1:25" s="45" customFormat="1" ht="409.5" x14ac:dyDescent="0.25">
      <c r="A60" s="441">
        <v>40</v>
      </c>
      <c r="B60" s="444" t="s">
        <v>508</v>
      </c>
      <c r="C60" s="355" t="s">
        <v>427</v>
      </c>
      <c r="D60" s="355" t="s">
        <v>429</v>
      </c>
      <c r="E60" s="356" t="s">
        <v>402</v>
      </c>
      <c r="F60" s="404"/>
      <c r="G60" s="405"/>
      <c r="H60" s="405"/>
      <c r="I60" s="405" t="s">
        <v>406</v>
      </c>
      <c r="J60" s="398"/>
      <c r="K60" s="427"/>
      <c r="L60" s="428"/>
      <c r="M60" s="428"/>
      <c r="N60" s="428"/>
      <c r="O60" s="428"/>
      <c r="P60" s="428"/>
      <c r="Q60" s="428"/>
      <c r="R60" s="428"/>
      <c r="S60" s="428"/>
      <c r="T60" s="428"/>
      <c r="U60" s="428"/>
      <c r="V60" s="486"/>
      <c r="W60" s="461" t="s">
        <v>761</v>
      </c>
      <c r="X60" s="461" t="s">
        <v>762</v>
      </c>
    </row>
    <row r="61" spans="1:25" s="45" customFormat="1" ht="409.5" x14ac:dyDescent="0.25">
      <c r="A61" s="441">
        <v>41</v>
      </c>
      <c r="B61" s="439" t="s">
        <v>509</v>
      </c>
      <c r="C61" s="355" t="s">
        <v>428</v>
      </c>
      <c r="D61" s="355" t="s">
        <v>429</v>
      </c>
      <c r="E61" s="356" t="s">
        <v>462</v>
      </c>
      <c r="F61" s="357"/>
      <c r="G61" s="358"/>
      <c r="H61" s="358" t="s">
        <v>406</v>
      </c>
      <c r="I61" s="358"/>
      <c r="J61" s="359"/>
      <c r="K61" s="382"/>
      <c r="L61" s="383"/>
      <c r="M61" s="428"/>
      <c r="N61" s="383"/>
      <c r="O61" s="383"/>
      <c r="P61" s="383"/>
      <c r="Q61" s="383"/>
      <c r="R61" s="383"/>
      <c r="S61" s="383"/>
      <c r="T61" s="428"/>
      <c r="U61" s="428"/>
      <c r="V61" s="486"/>
      <c r="W61" s="461" t="s">
        <v>763</v>
      </c>
      <c r="X61" s="461" t="s">
        <v>764</v>
      </c>
    </row>
    <row r="62" spans="1:25" s="45" customFormat="1" ht="255.75" x14ac:dyDescent="0.25">
      <c r="A62" s="441">
        <v>42</v>
      </c>
      <c r="B62" s="439" t="s">
        <v>460</v>
      </c>
      <c r="C62" s="355" t="s">
        <v>423</v>
      </c>
      <c r="D62" s="355" t="s">
        <v>424</v>
      </c>
      <c r="E62" s="356" t="s">
        <v>683</v>
      </c>
      <c r="F62" s="357" t="s">
        <v>406</v>
      </c>
      <c r="G62" s="358"/>
      <c r="H62" s="358"/>
      <c r="I62" s="358"/>
      <c r="J62" s="359" t="s">
        <v>406</v>
      </c>
      <c r="K62" s="427"/>
      <c r="L62" s="383"/>
      <c r="M62" s="428"/>
      <c r="N62" s="383"/>
      <c r="O62" s="383"/>
      <c r="P62" s="383"/>
      <c r="Q62" s="428"/>
      <c r="R62" s="383"/>
      <c r="S62" s="383"/>
      <c r="T62" s="383"/>
      <c r="U62" s="383"/>
      <c r="V62" s="428"/>
      <c r="W62" s="463" t="s">
        <v>735</v>
      </c>
      <c r="X62" s="464"/>
    </row>
    <row r="63" spans="1:25" s="45" customFormat="1" ht="29.25" thickBot="1" x14ac:dyDescent="0.3">
      <c r="A63" s="653" t="s">
        <v>227</v>
      </c>
      <c r="B63" s="653"/>
      <c r="C63" s="653"/>
      <c r="D63" s="653"/>
      <c r="E63" s="653"/>
      <c r="F63" s="653"/>
      <c r="G63" s="653"/>
      <c r="H63" s="653"/>
      <c r="I63" s="653"/>
      <c r="J63" s="653"/>
      <c r="K63" s="653"/>
      <c r="L63" s="653"/>
      <c r="M63" s="653"/>
      <c r="N63" s="653"/>
      <c r="O63" s="653"/>
      <c r="P63" s="653"/>
      <c r="Q63" s="653"/>
      <c r="R63" s="653"/>
      <c r="S63" s="653"/>
      <c r="T63" s="653"/>
      <c r="U63" s="653"/>
      <c r="V63" s="654"/>
      <c r="W63" s="470"/>
      <c r="X63" s="470"/>
    </row>
    <row r="64" spans="1:25" s="45" customFormat="1" ht="69.75" x14ac:dyDescent="0.25">
      <c r="A64" s="441">
        <v>43</v>
      </c>
      <c r="B64" s="397" t="s">
        <v>585</v>
      </c>
      <c r="C64" s="407" t="s">
        <v>586</v>
      </c>
      <c r="D64" s="407" t="s">
        <v>587</v>
      </c>
      <c r="E64" s="408" t="s">
        <v>684</v>
      </c>
      <c r="F64" s="409"/>
      <c r="G64" s="410"/>
      <c r="H64" s="410"/>
      <c r="I64" s="410"/>
      <c r="J64" s="411" t="s">
        <v>406</v>
      </c>
      <c r="K64" s="423"/>
      <c r="L64" s="412"/>
      <c r="M64" s="412"/>
      <c r="N64" s="428"/>
      <c r="O64" s="428"/>
      <c r="P64" s="428"/>
      <c r="Q64" s="428"/>
      <c r="R64" s="428"/>
      <c r="S64" s="428"/>
      <c r="T64" s="428"/>
      <c r="U64" s="412"/>
      <c r="V64" s="413"/>
      <c r="W64" s="463" t="s">
        <v>781</v>
      </c>
      <c r="X64" s="464"/>
    </row>
    <row r="65" spans="1:24" s="45" customFormat="1" ht="69.75" x14ac:dyDescent="0.25">
      <c r="A65" s="441">
        <v>44</v>
      </c>
      <c r="B65" s="397" t="s">
        <v>589</v>
      </c>
      <c r="C65" s="407" t="s">
        <v>586</v>
      </c>
      <c r="D65" s="407" t="s">
        <v>587</v>
      </c>
      <c r="E65" s="408" t="s">
        <v>684</v>
      </c>
      <c r="F65" s="409"/>
      <c r="G65" s="410"/>
      <c r="H65" s="410"/>
      <c r="I65" s="410"/>
      <c r="J65" s="411" t="s">
        <v>406</v>
      </c>
      <c r="K65" s="393"/>
      <c r="L65" s="394"/>
      <c r="M65" s="394"/>
      <c r="N65" s="394"/>
      <c r="O65" s="394"/>
      <c r="P65" s="394"/>
      <c r="Q65" s="394"/>
      <c r="R65" s="394"/>
      <c r="S65" s="394"/>
      <c r="T65" s="394"/>
      <c r="U65" s="487"/>
      <c r="V65" s="486"/>
      <c r="W65" s="463" t="s">
        <v>748</v>
      </c>
      <c r="X65" s="464"/>
    </row>
    <row r="66" spans="1:24" s="45" customFormat="1" ht="69.75" x14ac:dyDescent="0.25">
      <c r="A66" s="441">
        <v>45</v>
      </c>
      <c r="B66" s="397" t="s">
        <v>653</v>
      </c>
      <c r="C66" s="453" t="s">
        <v>586</v>
      </c>
      <c r="D66" s="453" t="s">
        <v>587</v>
      </c>
      <c r="E66" s="454" t="s">
        <v>588</v>
      </c>
      <c r="F66" s="372"/>
      <c r="G66" s="373"/>
      <c r="H66" s="373"/>
      <c r="I66" s="373"/>
      <c r="J66" s="374" t="s">
        <v>406</v>
      </c>
      <c r="K66" s="393"/>
      <c r="L66" s="369"/>
      <c r="M66" s="394"/>
      <c r="N66" s="394"/>
      <c r="O66" s="394"/>
      <c r="P66" s="394"/>
      <c r="Q66" s="394"/>
      <c r="R66" s="394"/>
      <c r="S66" s="394"/>
      <c r="T66" s="360"/>
      <c r="U66" s="360"/>
      <c r="V66" s="361"/>
      <c r="W66" s="463" t="s">
        <v>748</v>
      </c>
      <c r="X66" s="464"/>
    </row>
    <row r="67" spans="1:24" s="45" customFormat="1" ht="69.75" x14ac:dyDescent="0.25">
      <c r="A67" s="441">
        <v>46</v>
      </c>
      <c r="B67" s="397" t="s">
        <v>590</v>
      </c>
      <c r="C67" s="407" t="s">
        <v>586</v>
      </c>
      <c r="D67" s="407" t="s">
        <v>587</v>
      </c>
      <c r="E67" s="408" t="s">
        <v>684</v>
      </c>
      <c r="F67" s="409"/>
      <c r="G67" s="410"/>
      <c r="H67" s="410"/>
      <c r="I67" s="410"/>
      <c r="J67" s="411" t="s">
        <v>406</v>
      </c>
      <c r="K67" s="429"/>
      <c r="L67" s="430"/>
      <c r="M67" s="430"/>
      <c r="N67" s="430"/>
      <c r="O67" s="430"/>
      <c r="P67" s="430"/>
      <c r="Q67" s="430"/>
      <c r="R67" s="430"/>
      <c r="S67" s="430"/>
      <c r="T67" s="430"/>
      <c r="U67" s="430"/>
      <c r="V67" s="486"/>
      <c r="W67" s="471" t="s">
        <v>780</v>
      </c>
      <c r="X67" s="464"/>
    </row>
    <row r="68" spans="1:24" s="45" customFormat="1" ht="266.25" customHeight="1" x14ac:dyDescent="0.25">
      <c r="A68" s="441">
        <v>47</v>
      </c>
      <c r="B68" s="422" t="s">
        <v>606</v>
      </c>
      <c r="C68" s="370" t="s">
        <v>607</v>
      </c>
      <c r="D68" s="370" t="s">
        <v>608</v>
      </c>
      <c r="E68" s="400" t="s">
        <v>656</v>
      </c>
      <c r="F68" s="379" t="s">
        <v>406</v>
      </c>
      <c r="G68" s="380" t="s">
        <v>406</v>
      </c>
      <c r="H68" s="380" t="s">
        <v>406</v>
      </c>
      <c r="I68" s="380"/>
      <c r="J68" s="414"/>
      <c r="K68" s="429"/>
      <c r="L68" s="383"/>
      <c r="M68" s="383"/>
      <c r="N68" s="428"/>
      <c r="O68" s="383"/>
      <c r="P68" s="383"/>
      <c r="Q68" s="428"/>
      <c r="R68" s="383"/>
      <c r="S68" s="383"/>
      <c r="T68" s="428"/>
      <c r="U68" s="383"/>
      <c r="V68" s="384"/>
      <c r="W68" s="471" t="s">
        <v>731</v>
      </c>
      <c r="X68" s="464"/>
    </row>
    <row r="69" spans="1:24" s="45" customFormat="1" ht="188.25" customHeight="1" x14ac:dyDescent="0.25">
      <c r="A69" s="441">
        <v>48</v>
      </c>
      <c r="B69" s="422" t="s">
        <v>414</v>
      </c>
      <c r="C69" s="370" t="s">
        <v>503</v>
      </c>
      <c r="D69" s="370" t="s">
        <v>504</v>
      </c>
      <c r="E69" s="400" t="s">
        <v>458</v>
      </c>
      <c r="F69" s="379"/>
      <c r="G69" s="380"/>
      <c r="H69" s="380" t="s">
        <v>406</v>
      </c>
      <c r="I69" s="380"/>
      <c r="J69" s="381" t="s">
        <v>406</v>
      </c>
      <c r="K69" s="429"/>
      <c r="L69" s="383"/>
      <c r="M69" s="383"/>
      <c r="N69" s="428"/>
      <c r="O69" s="383"/>
      <c r="P69" s="383"/>
      <c r="Q69" s="428"/>
      <c r="R69" s="383"/>
      <c r="S69" s="383"/>
      <c r="T69" s="428"/>
      <c r="U69" s="383"/>
      <c r="V69" s="384"/>
      <c r="W69" s="461" t="s">
        <v>728</v>
      </c>
      <c r="X69" s="460" t="s">
        <v>729</v>
      </c>
    </row>
    <row r="70" spans="1:24" s="45" customFormat="1" ht="69.75" x14ac:dyDescent="0.25">
      <c r="A70" s="441">
        <v>49</v>
      </c>
      <c r="B70" s="444" t="s">
        <v>453</v>
      </c>
      <c r="C70" s="355" t="s">
        <v>427</v>
      </c>
      <c r="D70" s="355" t="s">
        <v>429</v>
      </c>
      <c r="E70" s="356" t="s">
        <v>396</v>
      </c>
      <c r="F70" s="404"/>
      <c r="G70" s="405"/>
      <c r="H70" s="405"/>
      <c r="I70" s="405"/>
      <c r="J70" s="398" t="s">
        <v>406</v>
      </c>
      <c r="K70" s="399"/>
      <c r="L70" s="406"/>
      <c r="M70" s="430"/>
      <c r="N70" s="430"/>
      <c r="O70" s="430"/>
      <c r="P70" s="430"/>
      <c r="Q70" s="430"/>
      <c r="R70" s="430"/>
      <c r="S70" s="430"/>
      <c r="T70" s="430"/>
      <c r="U70" s="430"/>
      <c r="V70" s="488"/>
      <c r="W70" s="461" t="s">
        <v>755</v>
      </c>
      <c r="X70" s="464"/>
    </row>
    <row r="71" spans="1:24" s="45" customFormat="1" ht="325.5" x14ac:dyDescent="0.25">
      <c r="A71" s="441">
        <v>50</v>
      </c>
      <c r="B71" s="444" t="s">
        <v>395</v>
      </c>
      <c r="C71" s="355" t="s">
        <v>439</v>
      </c>
      <c r="D71" s="355" t="s">
        <v>440</v>
      </c>
      <c r="E71" s="356" t="s">
        <v>393</v>
      </c>
      <c r="F71" s="404"/>
      <c r="G71" s="405"/>
      <c r="H71" s="405"/>
      <c r="I71" s="405"/>
      <c r="J71" s="398" t="s">
        <v>406</v>
      </c>
      <c r="K71" s="429"/>
      <c r="L71" s="430"/>
      <c r="M71" s="430"/>
      <c r="N71" s="430"/>
      <c r="O71" s="430"/>
      <c r="P71" s="430"/>
      <c r="Q71" s="430"/>
      <c r="R71" s="430"/>
      <c r="S71" s="430"/>
      <c r="T71" s="430"/>
      <c r="U71" s="430"/>
      <c r="V71" s="488"/>
      <c r="W71" s="461" t="s">
        <v>782</v>
      </c>
      <c r="X71" s="464"/>
    </row>
    <row r="72" spans="1:24" s="45" customFormat="1" ht="116.25" x14ac:dyDescent="0.25">
      <c r="A72" s="441">
        <v>51</v>
      </c>
      <c r="B72" s="444" t="s">
        <v>454</v>
      </c>
      <c r="C72" s="355" t="s">
        <v>439</v>
      </c>
      <c r="D72" s="355" t="s">
        <v>440</v>
      </c>
      <c r="E72" s="356" t="s">
        <v>393</v>
      </c>
      <c r="F72" s="404"/>
      <c r="G72" s="405"/>
      <c r="H72" s="405"/>
      <c r="I72" s="405"/>
      <c r="J72" s="398" t="s">
        <v>406</v>
      </c>
      <c r="K72" s="429"/>
      <c r="L72" s="430"/>
      <c r="M72" s="360"/>
      <c r="N72" s="360"/>
      <c r="O72" s="360"/>
      <c r="P72" s="360"/>
      <c r="Q72" s="360"/>
      <c r="R72" s="360"/>
      <c r="S72" s="360"/>
      <c r="T72" s="360"/>
      <c r="U72" s="360"/>
      <c r="V72" s="361"/>
      <c r="W72" s="461" t="s">
        <v>749</v>
      </c>
      <c r="X72" s="464"/>
    </row>
    <row r="73" spans="1:24" s="45" customFormat="1" ht="117" thickBot="1" x14ac:dyDescent="0.3">
      <c r="A73" s="441">
        <v>52</v>
      </c>
      <c r="B73" s="439" t="s">
        <v>417</v>
      </c>
      <c r="C73" s="355" t="s">
        <v>427</v>
      </c>
      <c r="D73" s="355" t="s">
        <v>429</v>
      </c>
      <c r="E73" s="415" t="s">
        <v>398</v>
      </c>
      <c r="F73" s="416" t="s">
        <v>406</v>
      </c>
      <c r="G73" s="417" t="s">
        <v>406</v>
      </c>
      <c r="H73" s="417"/>
      <c r="I73" s="417"/>
      <c r="J73" s="418" t="s">
        <v>406</v>
      </c>
      <c r="K73" s="431"/>
      <c r="L73" s="432"/>
      <c r="M73" s="432"/>
      <c r="N73" s="432"/>
      <c r="O73" s="432"/>
      <c r="P73" s="432"/>
      <c r="Q73" s="432"/>
      <c r="R73" s="432"/>
      <c r="S73" s="432"/>
      <c r="T73" s="432"/>
      <c r="U73" s="432"/>
      <c r="V73" s="489"/>
      <c r="W73" s="461" t="s">
        <v>765</v>
      </c>
      <c r="X73" s="461" t="s">
        <v>726</v>
      </c>
    </row>
    <row r="74" spans="1:24" s="45" customFormat="1" ht="29.25" thickBot="1" x14ac:dyDescent="0.3">
      <c r="A74" s="655" t="s">
        <v>497</v>
      </c>
      <c r="B74" s="653"/>
      <c r="C74" s="653"/>
      <c r="D74" s="653"/>
      <c r="E74" s="653"/>
      <c r="F74" s="653"/>
      <c r="G74" s="653"/>
      <c r="H74" s="653"/>
      <c r="I74" s="653"/>
      <c r="J74" s="653"/>
      <c r="K74" s="653"/>
      <c r="L74" s="653"/>
      <c r="M74" s="653"/>
      <c r="N74" s="653"/>
      <c r="O74" s="653"/>
      <c r="P74" s="653"/>
      <c r="Q74" s="653"/>
      <c r="R74" s="653"/>
      <c r="S74" s="653"/>
      <c r="T74" s="653"/>
      <c r="U74" s="653"/>
      <c r="V74" s="656"/>
      <c r="W74" s="472"/>
      <c r="X74" s="469"/>
    </row>
    <row r="75" spans="1:24" s="45" customFormat="1" ht="186.75" thickBot="1" x14ac:dyDescent="0.3">
      <c r="A75" s="446">
        <v>53</v>
      </c>
      <c r="B75" s="447" t="s">
        <v>510</v>
      </c>
      <c r="C75" s="366" t="s">
        <v>498</v>
      </c>
      <c r="D75" s="366" t="s">
        <v>654</v>
      </c>
      <c r="E75" s="371" t="s">
        <v>499</v>
      </c>
      <c r="F75" s="448" t="s">
        <v>406</v>
      </c>
      <c r="G75" s="449" t="s">
        <v>406</v>
      </c>
      <c r="H75" s="449" t="s">
        <v>406</v>
      </c>
      <c r="I75" s="449" t="s">
        <v>406</v>
      </c>
      <c r="J75" s="450"/>
      <c r="K75" s="451"/>
      <c r="L75" s="452"/>
      <c r="M75" s="452"/>
      <c r="N75" s="452"/>
      <c r="O75" s="452"/>
      <c r="P75" s="452"/>
      <c r="Q75" s="452"/>
      <c r="R75" s="452"/>
      <c r="S75" s="452"/>
      <c r="T75" s="452"/>
      <c r="U75" s="490"/>
      <c r="V75" s="491"/>
      <c r="W75" s="461" t="s">
        <v>775</v>
      </c>
      <c r="X75" s="464"/>
    </row>
    <row r="76" spans="1:24" s="45" customFormat="1" ht="29.25" thickBot="1" x14ac:dyDescent="0.3">
      <c r="A76" s="718" t="s">
        <v>742</v>
      </c>
      <c r="B76" s="719"/>
      <c r="C76" s="719"/>
      <c r="D76" s="719"/>
      <c r="E76" s="719"/>
      <c r="F76" s="719"/>
      <c r="G76" s="719"/>
      <c r="H76" s="719"/>
      <c r="I76" s="719"/>
      <c r="J76" s="719"/>
      <c r="K76" s="719"/>
      <c r="L76" s="719"/>
      <c r="M76" s="719"/>
      <c r="N76" s="719"/>
      <c r="O76" s="719"/>
      <c r="P76" s="719"/>
      <c r="Q76" s="719"/>
      <c r="R76" s="719"/>
      <c r="S76" s="719"/>
      <c r="T76" s="719"/>
      <c r="U76" s="719"/>
      <c r="V76" s="720"/>
      <c r="W76" s="465"/>
      <c r="X76" s="464"/>
    </row>
    <row r="77" spans="1:24" s="45" customFormat="1" ht="47.25" thickBot="1" x14ac:dyDescent="0.3">
      <c r="A77" s="476">
        <v>54</v>
      </c>
      <c r="B77" s="480" t="s">
        <v>743</v>
      </c>
      <c r="C77" s="477"/>
      <c r="D77" s="477"/>
      <c r="E77" s="477"/>
      <c r="F77" s="478"/>
      <c r="G77" s="478"/>
      <c r="H77" s="478"/>
      <c r="I77" s="478"/>
      <c r="J77" s="479"/>
      <c r="K77" s="481"/>
      <c r="L77" s="482"/>
      <c r="M77" s="482"/>
      <c r="N77" s="482"/>
      <c r="O77" s="482"/>
      <c r="P77" s="482"/>
      <c r="Q77" s="482"/>
      <c r="R77" s="482"/>
      <c r="S77" s="482"/>
      <c r="T77" s="482"/>
      <c r="U77" s="482"/>
      <c r="V77" s="492"/>
      <c r="W77" s="461" t="s">
        <v>783</v>
      </c>
      <c r="X77" s="460" t="s">
        <v>744</v>
      </c>
    </row>
    <row r="78" spans="1:24" s="45" customFormat="1" ht="29.25" thickBot="1" x14ac:dyDescent="0.3">
      <c r="A78" s="718"/>
      <c r="B78" s="719"/>
      <c r="C78" s="719"/>
      <c r="D78" s="719"/>
      <c r="E78" s="719"/>
      <c r="F78" s="719"/>
      <c r="G78" s="719"/>
      <c r="H78" s="719"/>
      <c r="I78" s="719"/>
      <c r="J78" s="719"/>
      <c r="K78" s="719"/>
      <c r="L78" s="719"/>
      <c r="M78" s="719"/>
      <c r="N78" s="719"/>
      <c r="O78" s="719"/>
      <c r="P78" s="719"/>
      <c r="Q78" s="719"/>
      <c r="R78" s="719"/>
      <c r="S78" s="719"/>
      <c r="T78" s="719"/>
      <c r="U78" s="719"/>
      <c r="V78" s="720"/>
      <c r="W78" s="472"/>
      <c r="X78" s="469"/>
    </row>
    <row r="79" spans="1:24" s="45" customFormat="1" ht="29.25" thickBot="1" x14ac:dyDescent="0.3">
      <c r="A79" s="438"/>
      <c r="B79" s="350" t="s">
        <v>605</v>
      </c>
      <c r="C79" s="345"/>
      <c r="D79" s="345"/>
      <c r="E79" s="345"/>
      <c r="F79" s="346"/>
      <c r="G79" s="346"/>
      <c r="H79" s="346"/>
      <c r="I79" s="346"/>
      <c r="J79" s="347"/>
      <c r="K79" s="347"/>
      <c r="L79" s="347"/>
      <c r="M79" s="347"/>
      <c r="N79" s="347"/>
      <c r="O79" s="347"/>
      <c r="P79" s="347"/>
      <c r="Q79" s="347"/>
      <c r="R79" s="347"/>
      <c r="S79" s="347"/>
      <c r="T79" s="347"/>
      <c r="U79" s="347"/>
      <c r="V79" s="347"/>
      <c r="W79" s="348"/>
      <c r="X79" s="349"/>
    </row>
    <row r="80" spans="1:24" s="45" customFormat="1" ht="29.25" thickBot="1" x14ac:dyDescent="0.3">
      <c r="A80" s="438"/>
      <c r="B80" s="451"/>
      <c r="C80" s="352" t="s">
        <v>693</v>
      </c>
      <c r="D80" s="345"/>
      <c r="E80" s="345"/>
      <c r="F80" s="346"/>
      <c r="G80" s="346"/>
      <c r="H80" s="346"/>
      <c r="I80" s="346"/>
      <c r="J80" s="347"/>
      <c r="K80" s="686" t="s">
        <v>693</v>
      </c>
      <c r="L80" s="686"/>
      <c r="M80" s="686"/>
      <c r="N80" s="686"/>
      <c r="O80" s="347"/>
      <c r="P80" s="347"/>
      <c r="Q80" s="347"/>
      <c r="R80" s="347"/>
      <c r="S80" s="347"/>
      <c r="T80" s="347"/>
      <c r="U80" s="347"/>
      <c r="V80" s="347"/>
      <c r="W80" s="348"/>
      <c r="X80" s="349"/>
    </row>
    <row r="81" spans="1:24" s="45" customFormat="1" ht="29.25" thickBot="1" x14ac:dyDescent="0.3">
      <c r="A81" s="438"/>
      <c r="B81" s="351"/>
      <c r="C81" s="352" t="s">
        <v>685</v>
      </c>
      <c r="D81" s="234"/>
      <c r="E81" s="234"/>
      <c r="F81" s="234"/>
      <c r="G81" s="234"/>
      <c r="H81" s="234"/>
      <c r="I81" s="234"/>
      <c r="J81" s="234"/>
      <c r="K81" s="685" t="s">
        <v>752</v>
      </c>
      <c r="L81" s="685"/>
      <c r="M81" s="685"/>
      <c r="N81" s="685"/>
      <c r="O81" s="234"/>
      <c r="P81" s="234"/>
      <c r="Q81" s="234"/>
      <c r="R81" s="234"/>
      <c r="S81" s="234"/>
      <c r="T81" s="234"/>
      <c r="U81" s="234"/>
      <c r="V81" s="234"/>
      <c r="W81" s="235"/>
      <c r="X81" s="235"/>
    </row>
    <row r="82" spans="1:24" s="45" customFormat="1" ht="29.25" thickBot="1" x14ac:dyDescent="0.3">
      <c r="A82" s="438"/>
      <c r="B82" s="433"/>
      <c r="C82" s="352" t="s">
        <v>686</v>
      </c>
      <c r="D82" s="234"/>
      <c r="E82" s="234"/>
      <c r="F82" s="234"/>
      <c r="G82" s="234"/>
      <c r="H82" s="234"/>
      <c r="I82" s="234"/>
      <c r="J82" s="234"/>
      <c r="K82" s="685" t="s">
        <v>750</v>
      </c>
      <c r="L82" s="685"/>
      <c r="M82" s="685"/>
      <c r="N82" s="685"/>
      <c r="O82" s="234"/>
      <c r="P82" s="234"/>
      <c r="Q82" s="234"/>
      <c r="R82" s="234"/>
      <c r="S82" s="234"/>
      <c r="T82" s="234"/>
      <c r="U82" s="234"/>
      <c r="V82" s="234"/>
      <c r="W82" s="235"/>
      <c r="X82" s="235"/>
    </row>
    <row r="83" spans="1:24" s="45" customFormat="1" ht="29.25" thickBot="1" x14ac:dyDescent="0.3">
      <c r="A83" s="438"/>
      <c r="B83" s="434"/>
      <c r="C83" s="352" t="s">
        <v>687</v>
      </c>
      <c r="D83" s="234"/>
      <c r="E83" s="234"/>
      <c r="F83" s="234"/>
      <c r="G83" s="234"/>
      <c r="H83" s="234"/>
      <c r="I83" s="234"/>
      <c r="J83" s="234"/>
      <c r="K83" s="685" t="s">
        <v>751</v>
      </c>
      <c r="L83" s="685"/>
      <c r="M83" s="685"/>
      <c r="N83" s="685"/>
      <c r="O83" s="234"/>
      <c r="P83" s="234"/>
      <c r="Q83" s="234"/>
      <c r="R83" s="234"/>
      <c r="S83" s="234"/>
      <c r="T83" s="234"/>
      <c r="U83" s="234"/>
      <c r="V83" s="234"/>
      <c r="W83" s="235"/>
      <c r="X83" s="235"/>
    </row>
    <row r="84" spans="1:24" s="45" customFormat="1" x14ac:dyDescent="0.25">
      <c r="A84" s="438"/>
      <c r="B84" s="445"/>
      <c r="C84" s="445"/>
      <c r="D84" s="234"/>
      <c r="E84" s="234"/>
      <c r="F84" s="234"/>
      <c r="G84" s="234"/>
      <c r="H84" s="234"/>
      <c r="I84" s="234"/>
      <c r="J84" s="234"/>
      <c r="K84" s="234"/>
      <c r="L84" s="234"/>
      <c r="M84" s="234"/>
      <c r="N84" s="234"/>
      <c r="O84" s="234"/>
      <c r="P84" s="234"/>
      <c r="Q84" s="234"/>
      <c r="R84" s="234"/>
      <c r="S84" s="234"/>
      <c r="T84" s="234"/>
      <c r="U84" s="234"/>
      <c r="V84" s="234"/>
      <c r="W84" s="235"/>
      <c r="X84" s="235"/>
    </row>
    <row r="85" spans="1:24" s="45" customFormat="1" ht="46.5" customHeight="1" x14ac:dyDescent="0.25">
      <c r="A85" s="438"/>
      <c r="B85" s="645" t="s">
        <v>784</v>
      </c>
      <c r="C85" s="645"/>
      <c r="D85" s="645"/>
      <c r="E85" s="645"/>
      <c r="F85" s="645"/>
      <c r="G85" s="645"/>
      <c r="H85" s="645"/>
      <c r="I85" s="645"/>
      <c r="J85" s="645"/>
      <c r="K85" s="645"/>
      <c r="L85" s="645"/>
      <c r="M85" s="645"/>
      <c r="N85" s="645"/>
      <c r="O85" s="234"/>
      <c r="P85" s="234"/>
      <c r="Q85" s="234"/>
      <c r="R85" s="234"/>
      <c r="S85" s="234"/>
      <c r="T85" s="234"/>
      <c r="U85" s="234"/>
      <c r="V85" s="234"/>
      <c r="W85" s="235"/>
      <c r="X85" s="235"/>
    </row>
    <row r="86" spans="1:24" s="40" customFormat="1" x14ac:dyDescent="0.25">
      <c r="A86" s="38"/>
      <c r="B86" s="697" t="s">
        <v>496</v>
      </c>
      <c r="C86" s="697"/>
      <c r="D86" s="697"/>
      <c r="E86" s="697"/>
      <c r="F86" s="697"/>
      <c r="G86" s="697"/>
      <c r="H86" s="697"/>
      <c r="I86" s="697"/>
      <c r="J86" s="697"/>
      <c r="K86" s="697"/>
      <c r="L86" s="697"/>
      <c r="M86" s="41"/>
      <c r="N86" s="41"/>
      <c r="O86" s="41"/>
      <c r="P86" s="41"/>
      <c r="Q86" s="41"/>
      <c r="R86" s="41"/>
      <c r="S86" s="41"/>
      <c r="T86" s="41"/>
    </row>
    <row r="87" spans="1:24" x14ac:dyDescent="0.45">
      <c r="B87" s="42" t="s">
        <v>450</v>
      </c>
    </row>
  </sheetData>
  <autoFilter ref="A16:DA77">
    <filterColumn colId="4">
      <filters>
        <filter val="Ernesto Quintana"/>
        <filter val="Ernesto Quintana - José R. Santis"/>
        <filter val="Ernesto Quintana_x000a_Miguel Pardo"/>
        <filter val="Janeth Villalba, Omar Urrea, Miguel Pardo, Ernesto Quintana, Edgar Mogollón, Jose Santis."/>
        <filter val="Líder: Ernesto Quintana._x000a_Acompañantes: José Santis, Miguel Pardo, Andrés Rodríguez."/>
        <filter val="Líder: Omar Urrea _x000a_Acompañantes: Miguel Ángel Pardo Mateus, Jose Edwin Lozano, Edgar Mogollon, Jose Santis, Ernesto Quintana."/>
      </filters>
    </filterColumn>
  </autoFilter>
  <mergeCells count="51">
    <mergeCell ref="B86:L86"/>
    <mergeCell ref="B13:B16"/>
    <mergeCell ref="C13:C16"/>
    <mergeCell ref="D13:D16"/>
    <mergeCell ref="K14:V15"/>
    <mergeCell ref="K13:V13"/>
    <mergeCell ref="E13:E16"/>
    <mergeCell ref="F13:J13"/>
    <mergeCell ref="K16:K17"/>
    <mergeCell ref="L16:L17"/>
    <mergeCell ref="M16:M17"/>
    <mergeCell ref="N16:N17"/>
    <mergeCell ref="A78:V78"/>
    <mergeCell ref="A76:V76"/>
    <mergeCell ref="K81:N81"/>
    <mergeCell ref="K82:N82"/>
    <mergeCell ref="C4:V4"/>
    <mergeCell ref="C5:V5"/>
    <mergeCell ref="C6:V6"/>
    <mergeCell ref="C7:V7"/>
    <mergeCell ref="O16:O17"/>
    <mergeCell ref="P16:P17"/>
    <mergeCell ref="T16:T17"/>
    <mergeCell ref="U16:U17"/>
    <mergeCell ref="V16:V17"/>
    <mergeCell ref="J14:J17"/>
    <mergeCell ref="G14:G17"/>
    <mergeCell ref="I14:I17"/>
    <mergeCell ref="C8:V8"/>
    <mergeCell ref="W13:W17"/>
    <mergeCell ref="X13:X17"/>
    <mergeCell ref="H14:H17"/>
    <mergeCell ref="Q16:Q17"/>
    <mergeCell ref="K83:N83"/>
    <mergeCell ref="K80:N80"/>
    <mergeCell ref="B85:N85"/>
    <mergeCell ref="A7:B7"/>
    <mergeCell ref="A1:B6"/>
    <mergeCell ref="A58:V58"/>
    <mergeCell ref="A63:V63"/>
    <mergeCell ref="A74:V74"/>
    <mergeCell ref="A8:B8"/>
    <mergeCell ref="A13:A16"/>
    <mergeCell ref="A17:E17"/>
    <mergeCell ref="A26:P26"/>
    <mergeCell ref="A29:V29"/>
    <mergeCell ref="R16:R17"/>
    <mergeCell ref="S16:S17"/>
    <mergeCell ref="F14:F17"/>
    <mergeCell ref="C1:L3"/>
    <mergeCell ref="M1:V3"/>
  </mergeCells>
  <phoneticPr fontId="59" type="noConversion"/>
  <hyperlinks>
    <hyperlink ref="W33" r:id="rId1"/>
  </hyperlinks>
  <pageMargins left="0.31496062992125984" right="0.08" top="0.41" bottom="7.874015748031496E-2" header="0.21" footer="0.31496062992125984"/>
  <pageSetup paperSize="14" scale="2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9"/>
  <sheetViews>
    <sheetView topLeftCell="A18" zoomScale="110" zoomScaleNormal="110" workbookViewId="0">
      <selection activeCell="B11" sqref="B11"/>
    </sheetView>
  </sheetViews>
  <sheetFormatPr baseColWidth="10" defaultColWidth="11.42578125" defaultRowHeight="15" x14ac:dyDescent="0.25"/>
  <cols>
    <col min="2" max="2" width="23.42578125" bestFit="1" customWidth="1"/>
    <col min="3" max="3" width="20" bestFit="1" customWidth="1"/>
    <col min="4" max="4" width="49.140625" customWidth="1"/>
  </cols>
  <sheetData>
    <row r="2" spans="2:6" ht="15" customHeight="1" x14ac:dyDescent="0.25">
      <c r="B2" s="499" t="s">
        <v>513</v>
      </c>
      <c r="C2" s="499"/>
      <c r="D2" s="499"/>
    </row>
    <row r="3" spans="2:6" ht="15" customHeight="1" x14ac:dyDescent="0.25">
      <c r="B3" s="499" t="s">
        <v>224</v>
      </c>
      <c r="C3" s="499"/>
      <c r="D3" s="499"/>
    </row>
    <row r="4" spans="2:6" x14ac:dyDescent="0.25">
      <c r="B4" s="310" t="s">
        <v>514</v>
      </c>
      <c r="C4" s="310" t="s">
        <v>515</v>
      </c>
      <c r="D4" s="310" t="s">
        <v>516</v>
      </c>
    </row>
    <row r="5" spans="2:6" ht="45" x14ac:dyDescent="0.25">
      <c r="B5" s="311">
        <v>12</v>
      </c>
      <c r="C5" s="312">
        <v>0.99</v>
      </c>
      <c r="D5" s="313" t="s">
        <v>517</v>
      </c>
    </row>
    <row r="6" spans="2:6" ht="15" customHeight="1" x14ac:dyDescent="0.25">
      <c r="B6" s="499" t="s">
        <v>518</v>
      </c>
      <c r="C6" s="499"/>
      <c r="D6" s="499"/>
    </row>
    <row r="7" spans="2:6" x14ac:dyDescent="0.25">
      <c r="B7" s="310" t="s">
        <v>514</v>
      </c>
      <c r="C7" s="310" t="s">
        <v>515</v>
      </c>
      <c r="D7" s="310" t="s">
        <v>516</v>
      </c>
    </row>
    <row r="8" spans="2:6" ht="30.75" x14ac:dyDescent="0.3">
      <c r="B8" s="311">
        <v>7</v>
      </c>
      <c r="C8" s="312">
        <v>1</v>
      </c>
      <c r="D8" s="313" t="s">
        <v>519</v>
      </c>
      <c r="F8" s="336" t="s">
        <v>565</v>
      </c>
    </row>
    <row r="9" spans="2:6" ht="15" customHeight="1" x14ac:dyDescent="0.3">
      <c r="B9" s="499" t="s">
        <v>225</v>
      </c>
      <c r="C9" s="499"/>
      <c r="D9" s="499"/>
      <c r="F9" s="337">
        <v>0.97</v>
      </c>
    </row>
    <row r="10" spans="2:6" x14ac:dyDescent="0.25">
      <c r="B10" s="310" t="s">
        <v>514</v>
      </c>
      <c r="C10" s="310" t="s">
        <v>515</v>
      </c>
      <c r="D10" s="310" t="s">
        <v>516</v>
      </c>
    </row>
    <row r="11" spans="2:6" ht="135.75" customHeight="1" x14ac:dyDescent="0.25">
      <c r="B11" s="311">
        <v>44</v>
      </c>
      <c r="C11" s="312">
        <v>0.97</v>
      </c>
      <c r="D11" s="313" t="s">
        <v>520</v>
      </c>
    </row>
    <row r="12" spans="2:6" ht="15" customHeight="1" x14ac:dyDescent="0.25">
      <c r="B12" s="499" t="s">
        <v>566</v>
      </c>
      <c r="C12" s="499"/>
      <c r="D12" s="499"/>
    </row>
    <row r="13" spans="2:6" x14ac:dyDescent="0.25">
      <c r="B13" s="310" t="s">
        <v>514</v>
      </c>
      <c r="C13" s="310" t="s">
        <v>515</v>
      </c>
      <c r="D13" s="310" t="s">
        <v>516</v>
      </c>
    </row>
    <row r="14" spans="2:6" ht="45" x14ac:dyDescent="0.25">
      <c r="B14" s="311">
        <v>6</v>
      </c>
      <c r="C14" s="312">
        <v>1</v>
      </c>
      <c r="D14" s="313" t="s">
        <v>521</v>
      </c>
    </row>
    <row r="15" spans="2:6" ht="15" customHeight="1" x14ac:dyDescent="0.25">
      <c r="B15" s="499" t="s">
        <v>227</v>
      </c>
      <c r="C15" s="499"/>
      <c r="D15" s="499"/>
    </row>
    <row r="16" spans="2:6" x14ac:dyDescent="0.25">
      <c r="B16" s="310" t="s">
        <v>514</v>
      </c>
      <c r="C16" s="310" t="s">
        <v>515</v>
      </c>
      <c r="D16" s="310" t="s">
        <v>516</v>
      </c>
    </row>
    <row r="17" spans="1:11" ht="45" x14ac:dyDescent="0.25">
      <c r="B17" s="311">
        <v>10</v>
      </c>
      <c r="C17" s="312">
        <v>1</v>
      </c>
      <c r="D17" s="313" t="s">
        <v>522</v>
      </c>
    </row>
    <row r="20" spans="1:11" x14ac:dyDescent="0.25">
      <c r="A20" s="26"/>
      <c r="B20" s="26"/>
      <c r="C20" s="26"/>
      <c r="D20" s="26"/>
      <c r="E20" s="26"/>
      <c r="F20" s="26"/>
      <c r="G20" s="26"/>
      <c r="H20" s="26"/>
      <c r="I20" s="26"/>
      <c r="J20" s="26"/>
      <c r="K20" s="26"/>
    </row>
    <row r="21" spans="1:11" x14ac:dyDescent="0.25">
      <c r="A21" s="26"/>
      <c r="B21" s="26"/>
      <c r="C21" s="26"/>
      <c r="D21" s="26"/>
      <c r="E21" s="26"/>
      <c r="F21" s="26"/>
      <c r="G21" s="26"/>
      <c r="H21" s="26"/>
      <c r="I21" s="26"/>
      <c r="J21" s="26"/>
      <c r="K21" s="26"/>
    </row>
    <row r="22" spans="1:11" x14ac:dyDescent="0.25">
      <c r="A22" s="26"/>
      <c r="B22" s="26"/>
      <c r="C22" s="26"/>
      <c r="D22" s="26"/>
      <c r="E22" s="26"/>
      <c r="F22" s="26"/>
      <c r="G22" s="26"/>
      <c r="H22" s="26"/>
      <c r="I22" s="26"/>
      <c r="J22" s="26"/>
      <c r="K22" s="26"/>
    </row>
    <row r="23" spans="1:11" x14ac:dyDescent="0.25">
      <c r="A23" s="26"/>
      <c r="B23" s="26"/>
      <c r="C23" s="26"/>
      <c r="D23" s="26"/>
      <c r="E23" s="26"/>
      <c r="F23" s="26"/>
      <c r="G23" s="26"/>
      <c r="H23" s="26"/>
      <c r="I23" s="26"/>
      <c r="J23" s="26"/>
      <c r="K23" s="26"/>
    </row>
    <row r="24" spans="1:11" x14ac:dyDescent="0.25">
      <c r="A24" s="26"/>
      <c r="B24" s="26"/>
      <c r="C24" s="26"/>
      <c r="D24" s="26"/>
      <c r="E24" s="26"/>
      <c r="F24" s="26"/>
      <c r="G24" s="26"/>
      <c r="H24" s="26"/>
      <c r="I24" s="26"/>
      <c r="J24" s="26"/>
      <c r="K24" s="26"/>
    </row>
    <row r="25" spans="1:11" x14ac:dyDescent="0.25">
      <c r="A25" s="26"/>
      <c r="B25" s="26"/>
      <c r="C25" s="26"/>
      <c r="D25" s="26"/>
      <c r="E25" s="26"/>
      <c r="F25" s="26"/>
      <c r="G25" s="26"/>
      <c r="H25" s="26"/>
      <c r="I25" s="26"/>
      <c r="J25" s="26"/>
      <c r="K25" s="26"/>
    </row>
    <row r="26" spans="1:11" x14ac:dyDescent="0.25">
      <c r="A26" s="26"/>
      <c r="B26" s="26"/>
      <c r="C26" s="26"/>
      <c r="D26" s="26"/>
      <c r="E26" s="26"/>
      <c r="F26" s="26"/>
      <c r="G26" s="26"/>
      <c r="H26" s="26"/>
      <c r="I26" s="26"/>
      <c r="J26" s="26"/>
      <c r="K26" s="26"/>
    </row>
    <row r="27" spans="1:11" x14ac:dyDescent="0.25">
      <c r="A27" s="26"/>
      <c r="B27" s="26"/>
      <c r="C27" s="26"/>
      <c r="D27" s="26"/>
      <c r="E27" s="26"/>
      <c r="F27" s="26"/>
      <c r="G27" s="26"/>
      <c r="H27" s="26"/>
      <c r="I27" s="26"/>
      <c r="J27" s="26"/>
      <c r="K27" s="26"/>
    </row>
    <row r="28" spans="1:11" x14ac:dyDescent="0.25">
      <c r="A28" s="26"/>
      <c r="B28" s="26"/>
      <c r="C28" s="26"/>
      <c r="D28" s="26"/>
      <c r="E28" s="26"/>
      <c r="F28" s="26"/>
      <c r="G28" s="26"/>
      <c r="H28" s="26"/>
      <c r="I28" s="26"/>
      <c r="J28" s="26"/>
      <c r="K28" s="26"/>
    </row>
    <row r="29" spans="1:11" x14ac:dyDescent="0.25">
      <c r="A29" s="26"/>
      <c r="B29" s="26"/>
      <c r="C29" s="26"/>
      <c r="D29" s="26"/>
      <c r="E29" s="26"/>
      <c r="F29" s="26"/>
      <c r="G29" s="26"/>
      <c r="H29" s="26"/>
      <c r="I29" s="26"/>
      <c r="J29" s="26"/>
      <c r="K29" s="26"/>
    </row>
    <row r="30" spans="1:11" x14ac:dyDescent="0.25">
      <c r="A30" s="26"/>
      <c r="B30" s="26"/>
      <c r="C30" s="26"/>
      <c r="D30" s="26"/>
      <c r="E30" s="26"/>
      <c r="F30" s="26"/>
      <c r="G30" s="26"/>
      <c r="H30" s="26"/>
      <c r="I30" s="26"/>
      <c r="J30" s="26"/>
      <c r="K30" s="26"/>
    </row>
    <row r="31" spans="1:11" x14ac:dyDescent="0.25">
      <c r="A31" s="26"/>
      <c r="B31" s="26"/>
      <c r="C31" s="26"/>
      <c r="D31" s="26"/>
      <c r="E31" s="26"/>
      <c r="F31" s="26"/>
      <c r="G31" s="26"/>
      <c r="H31" s="26"/>
      <c r="I31" s="26"/>
      <c r="J31" s="26"/>
      <c r="K31" s="26"/>
    </row>
    <row r="32" spans="1:11" x14ac:dyDescent="0.25">
      <c r="A32" s="26"/>
      <c r="B32" s="26"/>
      <c r="C32" s="26"/>
      <c r="D32" s="26"/>
      <c r="E32" s="26"/>
      <c r="F32" s="26"/>
      <c r="G32" s="26"/>
      <c r="H32" s="26"/>
      <c r="I32" s="26"/>
      <c r="J32" s="26"/>
      <c r="K32" s="26"/>
    </row>
    <row r="33" spans="1:11" x14ac:dyDescent="0.25">
      <c r="A33" s="26"/>
      <c r="B33" s="26"/>
      <c r="C33" s="26"/>
      <c r="D33" s="26"/>
      <c r="E33" s="26"/>
      <c r="F33" s="26"/>
      <c r="G33" s="26"/>
      <c r="H33" s="26"/>
      <c r="I33" s="26"/>
      <c r="J33" s="26"/>
      <c r="K33" s="26"/>
    </row>
    <row r="34" spans="1:11" x14ac:dyDescent="0.25">
      <c r="A34" s="26"/>
      <c r="B34" s="26"/>
      <c r="C34" s="26"/>
      <c r="D34" s="26"/>
      <c r="E34" s="26"/>
      <c r="F34" s="26"/>
      <c r="G34" s="26"/>
      <c r="H34" s="26"/>
      <c r="I34" s="26"/>
      <c r="J34" s="26"/>
      <c r="K34" s="26"/>
    </row>
    <row r="35" spans="1:11" x14ac:dyDescent="0.25">
      <c r="A35" s="26"/>
      <c r="B35" s="26"/>
      <c r="C35" s="26"/>
      <c r="D35" s="26"/>
      <c r="E35" s="26"/>
      <c r="F35" s="26"/>
      <c r="G35" s="26"/>
      <c r="H35" s="26"/>
      <c r="I35" s="26"/>
      <c r="J35" s="26"/>
      <c r="K35" s="26"/>
    </row>
    <row r="36" spans="1:11" x14ac:dyDescent="0.25">
      <c r="A36" s="26"/>
      <c r="B36" s="26"/>
      <c r="C36" s="26"/>
      <c r="D36" s="26"/>
      <c r="E36" s="26"/>
      <c r="F36" s="26"/>
      <c r="G36" s="26"/>
      <c r="H36" s="26"/>
      <c r="I36" s="26"/>
      <c r="J36" s="26"/>
      <c r="K36" s="26"/>
    </row>
    <row r="37" spans="1:11" x14ac:dyDescent="0.25">
      <c r="A37" s="26"/>
      <c r="B37" s="26"/>
      <c r="C37" s="26"/>
      <c r="D37" s="26"/>
      <c r="E37" s="26"/>
      <c r="F37" s="26"/>
      <c r="G37" s="26"/>
      <c r="H37" s="26"/>
      <c r="I37" s="26"/>
      <c r="J37" s="26"/>
      <c r="K37" s="26"/>
    </row>
    <row r="38" spans="1:11" x14ac:dyDescent="0.25">
      <c r="A38" s="26"/>
      <c r="B38" s="26"/>
      <c r="C38" s="26"/>
      <c r="D38" s="26"/>
      <c r="E38" s="26"/>
      <c r="F38" s="26"/>
      <c r="G38" s="26"/>
      <c r="H38" s="26"/>
      <c r="I38" s="26"/>
      <c r="J38" s="26"/>
      <c r="K38" s="26"/>
    </row>
    <row r="39" spans="1:11" x14ac:dyDescent="0.25">
      <c r="A39" s="26"/>
      <c r="B39" s="26"/>
      <c r="C39" s="26"/>
      <c r="D39" s="26"/>
      <c r="E39" s="26"/>
      <c r="F39" s="26"/>
      <c r="G39" s="26"/>
      <c r="H39" s="26"/>
      <c r="I39" s="26"/>
      <c r="J39" s="26"/>
      <c r="K39" s="26"/>
    </row>
    <row r="40" spans="1:11" x14ac:dyDescent="0.25">
      <c r="A40" s="26"/>
      <c r="B40" s="26"/>
      <c r="C40" s="26"/>
      <c r="D40" s="26"/>
      <c r="E40" s="26"/>
      <c r="F40" s="26"/>
      <c r="G40" s="26"/>
      <c r="H40" s="26"/>
      <c r="I40" s="26"/>
      <c r="J40" s="26"/>
      <c r="K40" s="26"/>
    </row>
    <row r="41" spans="1:11" x14ac:dyDescent="0.25">
      <c r="A41" s="26"/>
      <c r="B41" s="26"/>
      <c r="C41" s="26"/>
      <c r="D41" s="26"/>
      <c r="E41" s="26"/>
      <c r="F41" s="26"/>
      <c r="G41" s="26"/>
      <c r="H41" s="26"/>
      <c r="I41" s="26"/>
      <c r="J41" s="26"/>
      <c r="K41" s="26"/>
    </row>
    <row r="42" spans="1:11" x14ac:dyDescent="0.25">
      <c r="A42" s="26"/>
      <c r="B42" s="26"/>
      <c r="C42" s="26"/>
      <c r="D42" s="26"/>
      <c r="E42" s="26"/>
      <c r="F42" s="26"/>
      <c r="G42" s="26"/>
      <c r="H42" s="26"/>
      <c r="I42" s="26"/>
      <c r="J42" s="26"/>
      <c r="K42" s="26"/>
    </row>
    <row r="43" spans="1:11" x14ac:dyDescent="0.25">
      <c r="A43" s="26"/>
      <c r="B43" s="26"/>
      <c r="C43" s="26"/>
      <c r="D43" s="26"/>
      <c r="E43" s="26"/>
      <c r="F43" s="26"/>
      <c r="G43" s="26"/>
      <c r="H43" s="26"/>
      <c r="I43" s="26"/>
      <c r="J43" s="26"/>
      <c r="K43" s="26"/>
    </row>
    <row r="44" spans="1:11" x14ac:dyDescent="0.25">
      <c r="A44" s="26"/>
      <c r="B44" s="26"/>
      <c r="C44" s="26"/>
      <c r="D44" s="26"/>
      <c r="E44" s="26"/>
      <c r="F44" s="26"/>
      <c r="G44" s="26"/>
      <c r="H44" s="26"/>
      <c r="I44" s="26"/>
      <c r="J44" s="26"/>
      <c r="K44" s="26"/>
    </row>
    <row r="45" spans="1:11" x14ac:dyDescent="0.25">
      <c r="A45" s="26"/>
      <c r="B45" s="26"/>
      <c r="C45" s="26"/>
      <c r="D45" s="26"/>
      <c r="E45" s="26"/>
      <c r="F45" s="26"/>
      <c r="G45" s="26"/>
      <c r="H45" s="26"/>
      <c r="I45" s="26"/>
      <c r="J45" s="26"/>
      <c r="K45" s="26"/>
    </row>
    <row r="46" spans="1:11" x14ac:dyDescent="0.25">
      <c r="A46" s="26"/>
      <c r="B46" s="26"/>
      <c r="C46" s="26"/>
      <c r="D46" s="26"/>
      <c r="E46" s="26"/>
      <c r="F46" s="26"/>
      <c r="G46" s="26"/>
      <c r="H46" s="26"/>
      <c r="I46" s="26"/>
      <c r="J46" s="26"/>
      <c r="K46" s="26"/>
    </row>
    <row r="47" spans="1:11" x14ac:dyDescent="0.25">
      <c r="A47" s="26"/>
      <c r="B47" s="26"/>
      <c r="C47" s="26"/>
      <c r="D47" s="26"/>
      <c r="E47" s="26"/>
      <c r="F47" s="26"/>
      <c r="G47" s="26"/>
      <c r="H47" s="26"/>
      <c r="I47" s="26"/>
      <c r="J47" s="26"/>
      <c r="K47" s="26"/>
    </row>
    <row r="48" spans="1:11" x14ac:dyDescent="0.25">
      <c r="A48" s="26"/>
      <c r="B48" s="26"/>
      <c r="C48" s="26"/>
      <c r="D48" s="26"/>
      <c r="E48" s="26"/>
      <c r="F48" s="26"/>
      <c r="G48" s="26"/>
      <c r="H48" s="26"/>
      <c r="I48" s="26"/>
      <c r="J48" s="26"/>
      <c r="K48" s="26"/>
    </row>
    <row r="49" spans="1:11" x14ac:dyDescent="0.25">
      <c r="A49" s="26"/>
      <c r="B49" s="26"/>
      <c r="C49" s="26"/>
      <c r="D49" s="26"/>
      <c r="E49" s="26"/>
      <c r="F49" s="26"/>
      <c r="G49" s="26"/>
      <c r="H49" s="26"/>
      <c r="I49" s="26"/>
      <c r="J49" s="26"/>
      <c r="K49" s="26"/>
    </row>
    <row r="50" spans="1:11" x14ac:dyDescent="0.25">
      <c r="A50" s="26"/>
      <c r="B50" s="26"/>
      <c r="C50" s="26"/>
      <c r="D50" s="26"/>
      <c r="E50" s="26"/>
      <c r="F50" s="26"/>
      <c r="G50" s="26"/>
      <c r="H50" s="26"/>
      <c r="I50" s="26"/>
      <c r="J50" s="26"/>
      <c r="K50" s="26"/>
    </row>
    <row r="51" spans="1:11" x14ac:dyDescent="0.25">
      <c r="A51" s="26"/>
      <c r="B51" s="26"/>
      <c r="C51" s="26"/>
      <c r="D51" s="26"/>
      <c r="E51" s="26"/>
      <c r="F51" s="26"/>
      <c r="G51" s="26"/>
      <c r="H51" s="26"/>
      <c r="I51" s="26"/>
      <c r="J51" s="26"/>
      <c r="K51" s="26"/>
    </row>
    <row r="52" spans="1:11" x14ac:dyDescent="0.25">
      <c r="A52" s="26"/>
      <c r="B52" s="26"/>
      <c r="C52" s="26"/>
      <c r="D52" s="26"/>
      <c r="E52" s="26"/>
      <c r="F52" s="26"/>
      <c r="G52" s="26"/>
      <c r="H52" s="26"/>
      <c r="I52" s="26"/>
      <c r="J52" s="26"/>
      <c r="K52" s="26"/>
    </row>
    <row r="53" spans="1:11" x14ac:dyDescent="0.25">
      <c r="A53" s="26"/>
      <c r="B53" s="26"/>
      <c r="C53" s="26"/>
      <c r="D53" s="26"/>
      <c r="E53" s="26"/>
      <c r="F53" s="26"/>
      <c r="G53" s="26"/>
      <c r="H53" s="26"/>
      <c r="I53" s="26"/>
      <c r="J53" s="26"/>
      <c r="K53" s="26"/>
    </row>
    <row r="54" spans="1:11" x14ac:dyDescent="0.25">
      <c r="A54" s="26"/>
      <c r="B54" s="26"/>
      <c r="C54" s="26"/>
      <c r="D54" s="26"/>
      <c r="E54" s="26"/>
      <c r="F54" s="26"/>
      <c r="G54" s="26"/>
      <c r="H54" s="26"/>
      <c r="I54" s="26"/>
      <c r="J54" s="26"/>
      <c r="K54" s="26"/>
    </row>
    <row r="55" spans="1:11" x14ac:dyDescent="0.25">
      <c r="A55" s="26"/>
      <c r="B55" s="26"/>
      <c r="C55" s="26"/>
      <c r="D55" s="26"/>
      <c r="E55" s="26"/>
      <c r="F55" s="26"/>
      <c r="G55" s="26"/>
      <c r="H55" s="26"/>
      <c r="I55" s="26"/>
      <c r="J55" s="26"/>
      <c r="K55" s="26"/>
    </row>
    <row r="56" spans="1:11" x14ac:dyDescent="0.25">
      <c r="A56" s="26"/>
      <c r="B56" s="26"/>
      <c r="C56" s="26"/>
      <c r="D56" s="26"/>
      <c r="E56" s="26"/>
      <c r="F56" s="26"/>
      <c r="G56" s="26"/>
      <c r="H56" s="26"/>
      <c r="I56" s="26"/>
      <c r="J56" s="26"/>
      <c r="K56" s="26"/>
    </row>
    <row r="57" spans="1:11" x14ac:dyDescent="0.25">
      <c r="A57" s="26"/>
      <c r="B57" s="26"/>
      <c r="C57" s="26"/>
      <c r="D57" s="26"/>
      <c r="E57" s="26"/>
      <c r="F57" s="26"/>
      <c r="G57" s="26"/>
      <c r="H57" s="26"/>
      <c r="I57" s="26"/>
      <c r="J57" s="26"/>
      <c r="K57" s="26"/>
    </row>
    <row r="58" spans="1:11" x14ac:dyDescent="0.25">
      <c r="A58" s="26"/>
      <c r="B58" s="26"/>
      <c r="C58" s="26"/>
      <c r="D58" s="26"/>
      <c r="E58" s="26"/>
      <c r="F58" s="26"/>
      <c r="G58" s="26"/>
      <c r="H58" s="26"/>
      <c r="I58" s="26"/>
      <c r="J58" s="26"/>
      <c r="K58" s="26"/>
    </row>
    <row r="59" spans="1:11" x14ac:dyDescent="0.25">
      <c r="A59" s="26"/>
      <c r="B59" s="26"/>
      <c r="C59" s="26"/>
      <c r="D59" s="26"/>
      <c r="E59" s="26"/>
      <c r="F59" s="26"/>
      <c r="G59" s="26"/>
      <c r="H59" s="26"/>
      <c r="I59" s="26"/>
      <c r="J59" s="26"/>
      <c r="K59" s="26"/>
    </row>
  </sheetData>
  <mergeCells count="6">
    <mergeCell ref="B15:D15"/>
    <mergeCell ref="B2:D2"/>
    <mergeCell ref="B3:D3"/>
    <mergeCell ref="B6:D6"/>
    <mergeCell ref="B9:D9"/>
    <mergeCell ref="B12:D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9" workbookViewId="0">
      <selection activeCell="Q24" sqref="Q24"/>
    </sheetView>
  </sheetViews>
  <sheetFormatPr baseColWidth="10" defaultColWidth="11.42578125"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opLeftCell="A12" workbookViewId="0">
      <selection activeCell="B16" sqref="B16"/>
    </sheetView>
  </sheetViews>
  <sheetFormatPr baseColWidth="10" defaultColWidth="11.42578125" defaultRowHeight="15" x14ac:dyDescent="0.25"/>
  <cols>
    <col min="1" max="1" width="43.28515625" style="67" customWidth="1"/>
    <col min="2" max="2" width="103.7109375" style="67" customWidth="1"/>
    <col min="3" max="16384" width="11.42578125" style="67"/>
  </cols>
  <sheetData>
    <row r="1" spans="1:2" ht="46.5" customHeight="1" x14ac:dyDescent="0.25">
      <c r="A1" s="500" t="s">
        <v>35</v>
      </c>
      <c r="B1" s="501"/>
    </row>
    <row r="2" spans="1:2" ht="78" customHeight="1" x14ac:dyDescent="0.25">
      <c r="A2" s="65" t="s">
        <v>57</v>
      </c>
      <c r="B2" s="60" t="s">
        <v>36</v>
      </c>
    </row>
    <row r="3" spans="1:2" ht="78" customHeight="1" x14ac:dyDescent="0.25">
      <c r="A3" s="65" t="s">
        <v>56</v>
      </c>
      <c r="B3" s="60" t="s">
        <v>55</v>
      </c>
    </row>
    <row r="4" spans="1:2" ht="78" customHeight="1" x14ac:dyDescent="0.25">
      <c r="A4" s="65" t="s">
        <v>58</v>
      </c>
      <c r="B4" s="60" t="s">
        <v>103</v>
      </c>
    </row>
    <row r="5" spans="1:2" ht="201.75" customHeight="1" x14ac:dyDescent="0.25">
      <c r="A5" s="65" t="s">
        <v>37</v>
      </c>
      <c r="B5" s="60" t="s">
        <v>38</v>
      </c>
    </row>
    <row r="6" spans="1:2" ht="78" customHeight="1" x14ac:dyDescent="0.25">
      <c r="A6" s="65" t="s">
        <v>59</v>
      </c>
      <c r="B6" s="60" t="s">
        <v>39</v>
      </c>
    </row>
    <row r="7" spans="1:2" ht="78" customHeight="1" x14ac:dyDescent="0.25">
      <c r="A7" s="64" t="s">
        <v>40</v>
      </c>
      <c r="B7" s="60" t="s">
        <v>41</v>
      </c>
    </row>
    <row r="8" spans="1:2" ht="78" customHeight="1" x14ac:dyDescent="0.25">
      <c r="A8" s="65" t="s">
        <v>60</v>
      </c>
      <c r="B8" s="60" t="s">
        <v>42</v>
      </c>
    </row>
    <row r="9" spans="1:2" ht="78" customHeight="1" x14ac:dyDescent="0.25">
      <c r="A9" s="64" t="s">
        <v>43</v>
      </c>
      <c r="B9" s="60" t="s">
        <v>62</v>
      </c>
    </row>
    <row r="10" spans="1:2" ht="78" customHeight="1" x14ac:dyDescent="0.25">
      <c r="A10" s="64" t="s">
        <v>44</v>
      </c>
      <c r="B10" s="60" t="s">
        <v>45</v>
      </c>
    </row>
    <row r="11" spans="1:2" ht="78" customHeight="1" x14ac:dyDescent="0.25">
      <c r="A11" s="65" t="s">
        <v>46</v>
      </c>
      <c r="B11" s="60" t="s">
        <v>47</v>
      </c>
    </row>
    <row r="12" spans="1:2" ht="78" customHeight="1" x14ac:dyDescent="0.25">
      <c r="A12" s="65" t="s">
        <v>48</v>
      </c>
      <c r="B12" s="60" t="s">
        <v>63</v>
      </c>
    </row>
    <row r="13" spans="1:2" ht="78" customHeight="1" x14ac:dyDescent="0.25">
      <c r="A13" s="65" t="s">
        <v>49</v>
      </c>
      <c r="B13" s="60" t="s">
        <v>50</v>
      </c>
    </row>
    <row r="14" spans="1:2" ht="110.25" customHeight="1" x14ac:dyDescent="0.25">
      <c r="A14" s="65" t="s">
        <v>51</v>
      </c>
      <c r="B14" s="60" t="s">
        <v>52</v>
      </c>
    </row>
    <row r="15" spans="1:2" ht="78" customHeight="1" x14ac:dyDescent="0.25">
      <c r="A15" s="65" t="s">
        <v>61</v>
      </c>
      <c r="B15" s="60" t="s">
        <v>288</v>
      </c>
    </row>
    <row r="16" spans="1:2" ht="78" customHeight="1" x14ac:dyDescent="0.25">
      <c r="A16" s="183" t="s">
        <v>53</v>
      </c>
      <c r="B16" s="184" t="s">
        <v>54</v>
      </c>
    </row>
    <row r="17" spans="1:2" x14ac:dyDescent="0.25">
      <c r="A17" s="185"/>
      <c r="B17" s="186"/>
    </row>
    <row r="18" spans="1:2" x14ac:dyDescent="0.25">
      <c r="A18" s="185"/>
      <c r="B18" s="186"/>
    </row>
    <row r="19" spans="1:2" x14ac:dyDescent="0.25">
      <c r="A19" s="185"/>
      <c r="B19" s="186"/>
    </row>
    <row r="20" spans="1:2" x14ac:dyDescent="0.25">
      <c r="A20" s="187"/>
      <c r="B20" s="186"/>
    </row>
    <row r="21" spans="1:2" x14ac:dyDescent="0.25">
      <c r="A21" s="188"/>
      <c r="B21" s="186"/>
    </row>
    <row r="22" spans="1:2" x14ac:dyDescent="0.25">
      <c r="A22" s="188"/>
      <c r="B22" s="186"/>
    </row>
    <row r="23" spans="1:2" x14ac:dyDescent="0.25">
      <c r="A23" s="188"/>
      <c r="B23" s="186"/>
    </row>
    <row r="24" spans="1:2" x14ac:dyDescent="0.25">
      <c r="A24" s="182"/>
    </row>
    <row r="25" spans="1:2" x14ac:dyDescent="0.25">
      <c r="A25" s="182"/>
    </row>
    <row r="26" spans="1:2" x14ac:dyDescent="0.25">
      <c r="A26" s="182"/>
    </row>
    <row r="27" spans="1:2" x14ac:dyDescent="0.25">
      <c r="A27" s="182"/>
    </row>
  </sheetData>
  <sortState ref="A6:A19">
    <sortCondition ref="A5"/>
  </sortState>
  <mergeCells count="1">
    <mergeCell ref="A1:B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12"/>
  <sheetViews>
    <sheetView topLeftCell="A9" workbookViewId="0">
      <selection activeCell="C9" sqref="C9:K9"/>
    </sheetView>
  </sheetViews>
  <sheetFormatPr baseColWidth="10" defaultColWidth="11.42578125" defaultRowHeight="15" x14ac:dyDescent="0.25"/>
  <cols>
    <col min="1" max="2" width="11.42578125" style="26"/>
    <col min="3" max="3" width="16.85546875" style="26" customWidth="1"/>
    <col min="4" max="16384" width="11.42578125" style="26"/>
  </cols>
  <sheetData>
    <row r="4" spans="3:11" ht="15.75" thickBot="1" x14ac:dyDescent="0.3"/>
    <row r="5" spans="3:11" x14ac:dyDescent="0.25">
      <c r="C5" s="157" t="s">
        <v>244</v>
      </c>
      <c r="D5" s="158"/>
      <c r="E5" s="158"/>
      <c r="F5" s="158"/>
      <c r="G5" s="158"/>
      <c r="H5" s="158"/>
      <c r="I5" s="158"/>
      <c r="J5" s="158"/>
      <c r="K5" s="159"/>
    </row>
    <row r="6" spans="3:11" ht="15.75" thickBot="1" x14ac:dyDescent="0.3">
      <c r="C6" s="160" t="s">
        <v>246</v>
      </c>
      <c r="D6" s="161" t="s">
        <v>245</v>
      </c>
      <c r="E6" s="161"/>
      <c r="F6" s="161"/>
      <c r="G6" s="161"/>
      <c r="H6" s="161"/>
      <c r="I6" s="161"/>
      <c r="J6" s="161"/>
      <c r="K6" s="162"/>
    </row>
    <row r="7" spans="3:11" x14ac:dyDescent="0.25">
      <c r="C7" s="156"/>
      <c r="D7" s="156"/>
      <c r="E7" s="156"/>
      <c r="F7" s="156"/>
      <c r="G7" s="156"/>
      <c r="H7" s="156"/>
      <c r="I7" s="156"/>
      <c r="J7" s="156"/>
      <c r="K7" s="156"/>
    </row>
    <row r="9" spans="3:11" ht="272.25" customHeight="1" x14ac:dyDescent="0.25">
      <c r="C9" s="502" t="s">
        <v>253</v>
      </c>
      <c r="D9" s="502"/>
      <c r="E9" s="502"/>
      <c r="F9" s="502"/>
      <c r="G9" s="502"/>
      <c r="H9" s="502"/>
      <c r="I9" s="502"/>
      <c r="J9" s="502"/>
      <c r="K9" s="502"/>
    </row>
    <row r="10" spans="3:11" ht="205.5" customHeight="1" x14ac:dyDescent="0.25">
      <c r="C10" s="502" t="s">
        <v>252</v>
      </c>
      <c r="D10" s="502"/>
      <c r="E10" s="502"/>
      <c r="F10" s="502"/>
      <c r="G10" s="502"/>
      <c r="H10" s="502"/>
      <c r="I10" s="502"/>
      <c r="J10" s="502"/>
      <c r="K10" s="502"/>
    </row>
    <row r="11" spans="3:11" ht="205.5" customHeight="1" x14ac:dyDescent="0.25">
      <c r="C11" s="179"/>
      <c r="D11" s="179"/>
      <c r="E11" s="179"/>
      <c r="F11" s="179"/>
      <c r="G11" s="179"/>
      <c r="H11" s="179"/>
      <c r="I11" s="179"/>
      <c r="J11" s="179"/>
      <c r="K11" s="179"/>
    </row>
    <row r="12" spans="3:11" ht="39.75" customHeight="1" x14ac:dyDescent="0.25">
      <c r="C12" s="503" t="s">
        <v>254</v>
      </c>
      <c r="D12" s="503"/>
      <c r="E12" s="503"/>
      <c r="F12" s="503"/>
      <c r="G12" s="503"/>
      <c r="H12" s="503"/>
      <c r="I12" s="503"/>
      <c r="J12" s="503"/>
      <c r="K12" s="503"/>
    </row>
  </sheetData>
  <mergeCells count="3">
    <mergeCell ref="C9:K9"/>
    <mergeCell ref="C10:K10"/>
    <mergeCell ref="C12:K12"/>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topLeftCell="A33" workbookViewId="0">
      <selection activeCell="B37" sqref="B37"/>
    </sheetView>
  </sheetViews>
  <sheetFormatPr baseColWidth="10" defaultColWidth="11.42578125" defaultRowHeight="15" x14ac:dyDescent="0.25"/>
  <cols>
    <col min="1" max="1" width="24.140625" style="26" customWidth="1"/>
    <col min="2" max="2" width="44.42578125" style="26" customWidth="1"/>
    <col min="3" max="3" width="47.28515625" style="26" bestFit="1" customWidth="1"/>
    <col min="4" max="4" width="27" style="240" customWidth="1"/>
    <col min="5" max="5" width="25.28515625" style="26" customWidth="1"/>
    <col min="6" max="6" width="45.7109375" style="26" customWidth="1"/>
    <col min="7" max="13" width="11.42578125" style="26"/>
    <col min="14" max="14" width="27.5703125" style="26" customWidth="1"/>
    <col min="15" max="16384" width="11.42578125" style="26"/>
  </cols>
  <sheetData>
    <row r="1" spans="1:14" ht="72" customHeight="1" x14ac:dyDescent="0.25">
      <c r="A1"/>
      <c r="B1" s="504" t="s">
        <v>377</v>
      </c>
      <c r="C1" s="504"/>
      <c r="D1" s="504"/>
      <c r="E1" s="504"/>
      <c r="F1" s="505"/>
      <c r="G1" s="68"/>
      <c r="H1" s="68"/>
      <c r="I1" s="68"/>
      <c r="J1" s="68"/>
      <c r="K1" s="68"/>
      <c r="L1" s="68"/>
      <c r="M1" s="70"/>
      <c r="N1" s="71"/>
    </row>
    <row r="2" spans="1:14" ht="16.5" x14ac:dyDescent="0.3">
      <c r="A2" s="72" t="s">
        <v>107</v>
      </c>
      <c r="B2" s="217">
        <v>44196</v>
      </c>
      <c r="C2" s="21"/>
      <c r="D2" s="71"/>
      <c r="E2" s="21"/>
      <c r="F2" s="22"/>
    </row>
    <row r="3" spans="1:14" ht="76.5" customHeight="1" x14ac:dyDescent="0.25">
      <c r="A3" s="506" t="s">
        <v>134</v>
      </c>
      <c r="B3" s="507"/>
      <c r="C3" s="507"/>
      <c r="D3" s="507"/>
      <c r="E3" s="507"/>
      <c r="F3" s="508"/>
    </row>
    <row r="4" spans="1:14" ht="24.75" customHeight="1" x14ac:dyDescent="0.25">
      <c r="A4" s="73"/>
      <c r="B4" s="74"/>
      <c r="C4" s="74"/>
      <c r="D4" s="237"/>
      <c r="E4" s="74"/>
      <c r="F4" s="75"/>
      <c r="H4"/>
    </row>
    <row r="5" spans="1:14" ht="28.5" x14ac:dyDescent="0.25">
      <c r="A5" s="76" t="s">
        <v>71</v>
      </c>
      <c r="B5" s="57" t="s">
        <v>66</v>
      </c>
      <c r="C5" s="57" t="s">
        <v>67</v>
      </c>
      <c r="D5" s="57" t="s">
        <v>68</v>
      </c>
      <c r="E5" s="57" t="s">
        <v>70</v>
      </c>
      <c r="F5" s="77" t="s">
        <v>69</v>
      </c>
      <c r="G5" s="69"/>
    </row>
    <row r="6" spans="1:14" ht="30.75" customHeight="1" x14ac:dyDescent="0.25">
      <c r="A6" s="511" t="s">
        <v>72</v>
      </c>
      <c r="B6" s="63" t="s">
        <v>78</v>
      </c>
      <c r="C6" s="218" t="s">
        <v>468</v>
      </c>
      <c r="D6" s="236">
        <v>43277</v>
      </c>
      <c r="E6" s="62" t="s">
        <v>379</v>
      </c>
      <c r="F6" s="78"/>
    </row>
    <row r="7" spans="1:14" ht="30.75" customHeight="1" x14ac:dyDescent="0.25">
      <c r="A7" s="511"/>
      <c r="B7" s="63" t="s">
        <v>73</v>
      </c>
      <c r="C7" s="218" t="s">
        <v>469</v>
      </c>
      <c r="D7" s="236">
        <v>44047</v>
      </c>
      <c r="E7" s="62" t="s">
        <v>379</v>
      </c>
      <c r="F7" s="78"/>
    </row>
    <row r="8" spans="1:14" ht="30.75" customHeight="1" x14ac:dyDescent="0.25">
      <c r="A8" s="511"/>
      <c r="B8" s="63" t="s">
        <v>74</v>
      </c>
      <c r="C8" s="218" t="s">
        <v>469</v>
      </c>
      <c r="D8" s="236">
        <v>44047</v>
      </c>
      <c r="E8" s="62" t="s">
        <v>379</v>
      </c>
      <c r="F8" s="78"/>
    </row>
    <row r="9" spans="1:14" ht="16.5" x14ac:dyDescent="0.25">
      <c r="A9" s="511"/>
      <c r="B9" s="63" t="s">
        <v>76</v>
      </c>
      <c r="C9" s="219" t="s">
        <v>470</v>
      </c>
      <c r="D9" s="236">
        <v>44182</v>
      </c>
      <c r="E9" s="62" t="s">
        <v>379</v>
      </c>
      <c r="F9" s="78"/>
    </row>
    <row r="10" spans="1:14" ht="33" x14ac:dyDescent="0.25">
      <c r="A10" s="511"/>
      <c r="B10" s="63" t="s">
        <v>77</v>
      </c>
      <c r="C10" s="219" t="s">
        <v>471</v>
      </c>
      <c r="D10" s="236">
        <v>44043</v>
      </c>
      <c r="E10" s="62" t="s">
        <v>379</v>
      </c>
      <c r="F10" s="78"/>
    </row>
    <row r="11" spans="1:14" ht="30.75" customHeight="1" x14ac:dyDescent="0.25">
      <c r="A11" s="511"/>
      <c r="B11" s="63" t="s">
        <v>75</v>
      </c>
      <c r="C11" s="219" t="s">
        <v>595</v>
      </c>
      <c r="D11" s="62" t="s">
        <v>596</v>
      </c>
      <c r="E11" s="62" t="s">
        <v>379</v>
      </c>
      <c r="F11" s="78"/>
    </row>
    <row r="12" spans="1:14" ht="30.75" customHeight="1" x14ac:dyDescent="0.25">
      <c r="A12" s="511"/>
      <c r="B12" s="63" t="s">
        <v>90</v>
      </c>
      <c r="C12" s="219" t="s">
        <v>472</v>
      </c>
      <c r="D12" s="236">
        <v>44090</v>
      </c>
      <c r="E12" s="62" t="s">
        <v>379</v>
      </c>
      <c r="F12" s="78"/>
    </row>
    <row r="13" spans="1:14" ht="30.75" customHeight="1" x14ac:dyDescent="0.25">
      <c r="A13" s="511"/>
      <c r="B13" s="63" t="s">
        <v>79</v>
      </c>
      <c r="C13" s="218" t="s">
        <v>473</v>
      </c>
      <c r="D13" s="236">
        <v>44068</v>
      </c>
      <c r="E13" s="62" t="s">
        <v>379</v>
      </c>
      <c r="F13" s="78"/>
    </row>
    <row r="14" spans="1:14" ht="30.75" customHeight="1" x14ac:dyDescent="0.25">
      <c r="A14" s="511"/>
      <c r="B14" s="63" t="s">
        <v>243</v>
      </c>
      <c r="C14" s="218" t="s">
        <v>594</v>
      </c>
      <c r="D14" s="236">
        <v>43882</v>
      </c>
      <c r="E14" s="62" t="s">
        <v>379</v>
      </c>
      <c r="F14" s="78"/>
    </row>
    <row r="15" spans="1:14" ht="30.75" customHeight="1" x14ac:dyDescent="0.25">
      <c r="A15" s="511"/>
      <c r="B15" s="63" t="s">
        <v>91</v>
      </c>
      <c r="C15" s="219" t="s">
        <v>474</v>
      </c>
      <c r="D15" s="62">
        <v>2020</v>
      </c>
      <c r="E15" s="62" t="s">
        <v>379</v>
      </c>
      <c r="F15" s="78"/>
    </row>
    <row r="16" spans="1:14" ht="16.5" x14ac:dyDescent="0.25">
      <c r="A16" s="511"/>
      <c r="B16" s="63" t="s">
        <v>99</v>
      </c>
      <c r="C16" s="219" t="s">
        <v>475</v>
      </c>
      <c r="D16" s="236">
        <v>43936</v>
      </c>
      <c r="E16" s="62" t="s">
        <v>379</v>
      </c>
      <c r="F16" s="78"/>
    </row>
    <row r="17" spans="1:6" ht="37.5" customHeight="1" x14ac:dyDescent="0.3">
      <c r="A17" s="509" t="s">
        <v>80</v>
      </c>
      <c r="B17" s="66" t="s">
        <v>81</v>
      </c>
      <c r="C17" s="219" t="s">
        <v>476</v>
      </c>
      <c r="D17" s="241">
        <v>2020</v>
      </c>
      <c r="E17" s="62" t="s">
        <v>379</v>
      </c>
      <c r="F17" s="79"/>
    </row>
    <row r="18" spans="1:6" ht="37.5" customHeight="1" x14ac:dyDescent="0.3">
      <c r="A18" s="509"/>
      <c r="B18" s="66" t="s">
        <v>82</v>
      </c>
      <c r="C18" s="219" t="s">
        <v>477</v>
      </c>
      <c r="D18" s="241">
        <v>2020</v>
      </c>
      <c r="E18" s="62" t="s">
        <v>379</v>
      </c>
      <c r="F18" s="79"/>
    </row>
    <row r="19" spans="1:6" ht="37.5" customHeight="1" x14ac:dyDescent="0.3">
      <c r="A19" s="509"/>
      <c r="B19" s="66" t="s">
        <v>83</v>
      </c>
      <c r="C19" s="219" t="s">
        <v>479</v>
      </c>
      <c r="D19" s="243">
        <v>42664</v>
      </c>
      <c r="E19" s="62" t="s">
        <v>379</v>
      </c>
      <c r="F19" s="79"/>
    </row>
    <row r="20" spans="1:6" ht="37.5" customHeight="1" x14ac:dyDescent="0.3">
      <c r="A20" s="509"/>
      <c r="B20" s="66" t="s">
        <v>84</v>
      </c>
      <c r="C20" s="242" t="s">
        <v>478</v>
      </c>
      <c r="D20" s="243">
        <v>42664</v>
      </c>
      <c r="E20" s="62" t="s">
        <v>380</v>
      </c>
      <c r="F20" s="79"/>
    </row>
    <row r="21" spans="1:6" ht="37.5" customHeight="1" x14ac:dyDescent="0.3">
      <c r="A21" s="509"/>
      <c r="B21" s="66" t="s">
        <v>85</v>
      </c>
      <c r="C21" s="219" t="s">
        <v>480</v>
      </c>
      <c r="D21" s="241"/>
      <c r="E21" s="62" t="s">
        <v>12</v>
      </c>
      <c r="F21" s="79"/>
    </row>
    <row r="22" spans="1:6" ht="37.5" customHeight="1" x14ac:dyDescent="0.3">
      <c r="A22" s="509"/>
      <c r="B22" s="66" t="s">
        <v>108</v>
      </c>
      <c r="C22" s="218" t="s">
        <v>473</v>
      </c>
      <c r="D22" s="243">
        <v>44068</v>
      </c>
      <c r="E22" s="62" t="s">
        <v>379</v>
      </c>
      <c r="F22" s="79"/>
    </row>
    <row r="23" spans="1:6" ht="16.5" x14ac:dyDescent="0.3">
      <c r="A23" s="509"/>
      <c r="B23" s="66" t="s">
        <v>86</v>
      </c>
      <c r="C23" s="219" t="s">
        <v>481</v>
      </c>
      <c r="D23" s="243">
        <v>44043</v>
      </c>
      <c r="E23" s="62" t="s">
        <v>379</v>
      </c>
      <c r="F23" s="79"/>
    </row>
    <row r="24" spans="1:6" ht="37.5" customHeight="1" x14ac:dyDescent="0.3">
      <c r="A24" s="509"/>
      <c r="B24" s="63" t="s">
        <v>87</v>
      </c>
      <c r="C24" s="354" t="s">
        <v>613</v>
      </c>
      <c r="D24" s="243">
        <v>43854</v>
      </c>
      <c r="E24" s="62" t="s">
        <v>379</v>
      </c>
      <c r="F24" s="79"/>
    </row>
    <row r="25" spans="1:6" ht="37.5" customHeight="1" x14ac:dyDescent="0.3">
      <c r="A25" s="509"/>
      <c r="B25" s="63" t="s">
        <v>88</v>
      </c>
      <c r="C25" s="219" t="s">
        <v>482</v>
      </c>
      <c r="D25" s="241">
        <v>2020</v>
      </c>
      <c r="E25" s="62" t="s">
        <v>379</v>
      </c>
      <c r="F25" s="79"/>
    </row>
    <row r="26" spans="1:6" ht="37.5" customHeight="1" x14ac:dyDescent="0.3">
      <c r="A26" s="509"/>
      <c r="B26" s="63" t="s">
        <v>89</v>
      </c>
      <c r="C26" s="219" t="s">
        <v>483</v>
      </c>
      <c r="D26" s="241">
        <v>2020</v>
      </c>
      <c r="E26" s="62" t="s">
        <v>379</v>
      </c>
      <c r="F26" s="79"/>
    </row>
    <row r="27" spans="1:6" ht="37.5" customHeight="1" x14ac:dyDescent="0.3">
      <c r="A27" s="509"/>
      <c r="B27" s="63" t="s">
        <v>92</v>
      </c>
      <c r="C27" s="219" t="s">
        <v>484</v>
      </c>
      <c r="D27" s="243">
        <v>44183</v>
      </c>
      <c r="E27" s="62" t="s">
        <v>379</v>
      </c>
      <c r="F27" s="79"/>
    </row>
    <row r="28" spans="1:6" ht="16.5" x14ac:dyDescent="0.3">
      <c r="A28" s="512" t="s">
        <v>96</v>
      </c>
      <c r="B28" s="63" t="s">
        <v>97</v>
      </c>
      <c r="C28" s="219" t="s">
        <v>485</v>
      </c>
      <c r="D28" s="243">
        <v>44132</v>
      </c>
      <c r="E28" s="62" t="s">
        <v>379</v>
      </c>
      <c r="F28" s="79"/>
    </row>
    <row r="29" spans="1:6" ht="37.5" customHeight="1" x14ac:dyDescent="0.3">
      <c r="A29" s="513"/>
      <c r="B29" s="63" t="s">
        <v>98</v>
      </c>
      <c r="C29" s="219" t="s">
        <v>486</v>
      </c>
      <c r="D29" s="243">
        <v>43817</v>
      </c>
      <c r="E29" s="62" t="s">
        <v>379</v>
      </c>
      <c r="F29" s="79"/>
    </row>
    <row r="30" spans="1:6" ht="37.5" customHeight="1" x14ac:dyDescent="0.3">
      <c r="A30" s="513"/>
      <c r="B30" s="63" t="s">
        <v>100</v>
      </c>
      <c r="C30" s="219" t="s">
        <v>486</v>
      </c>
      <c r="D30" s="243">
        <v>43817</v>
      </c>
      <c r="E30" s="62" t="s">
        <v>379</v>
      </c>
      <c r="F30" s="79"/>
    </row>
    <row r="31" spans="1:6" ht="30" x14ac:dyDescent="0.3">
      <c r="A31" s="513"/>
      <c r="B31" s="63" t="s">
        <v>101</v>
      </c>
      <c r="C31" s="219" t="s">
        <v>487</v>
      </c>
      <c r="D31" s="243">
        <v>44203</v>
      </c>
      <c r="E31" s="62" t="s">
        <v>379</v>
      </c>
      <c r="F31" s="79"/>
    </row>
    <row r="32" spans="1:6" ht="37.5" customHeight="1" x14ac:dyDescent="0.3">
      <c r="A32" s="514"/>
      <c r="B32" s="63" t="s">
        <v>104</v>
      </c>
      <c r="C32" s="219" t="s">
        <v>378</v>
      </c>
      <c r="D32" s="241"/>
      <c r="E32" s="62"/>
      <c r="F32" s="79"/>
    </row>
    <row r="33" spans="1:6" ht="43.5" customHeight="1" x14ac:dyDescent="0.3">
      <c r="A33" s="509" t="s">
        <v>93</v>
      </c>
      <c r="B33" s="63" t="s">
        <v>106</v>
      </c>
      <c r="C33" s="219" t="s">
        <v>488</v>
      </c>
      <c r="D33" s="243">
        <v>43984</v>
      </c>
      <c r="E33" s="62" t="s">
        <v>379</v>
      </c>
      <c r="F33" s="79"/>
    </row>
    <row r="34" spans="1:6" ht="33" x14ac:dyDescent="0.3">
      <c r="A34" s="509"/>
      <c r="B34" s="63" t="s">
        <v>94</v>
      </c>
      <c r="C34" s="219" t="s">
        <v>489</v>
      </c>
      <c r="D34" s="243">
        <v>44179</v>
      </c>
      <c r="E34" s="62" t="s">
        <v>379</v>
      </c>
      <c r="F34" s="79"/>
    </row>
    <row r="35" spans="1:6" ht="43.5" customHeight="1" x14ac:dyDescent="0.3">
      <c r="A35" s="509"/>
      <c r="B35" s="63" t="s">
        <v>95</v>
      </c>
      <c r="C35" s="219" t="s">
        <v>490</v>
      </c>
      <c r="D35" s="243">
        <v>44152</v>
      </c>
      <c r="E35" s="62" t="s">
        <v>379</v>
      </c>
      <c r="F35" s="79"/>
    </row>
    <row r="36" spans="1:6" ht="43.5" customHeight="1" x14ac:dyDescent="0.3">
      <c r="A36" s="509"/>
      <c r="B36" s="63" t="s">
        <v>102</v>
      </c>
      <c r="C36" s="219" t="s">
        <v>378</v>
      </c>
      <c r="D36" s="241"/>
      <c r="E36" s="62"/>
      <c r="F36" s="79"/>
    </row>
    <row r="37" spans="1:6" ht="43.5" customHeight="1" x14ac:dyDescent="0.3">
      <c r="A37" s="509"/>
      <c r="B37" s="63" t="s">
        <v>105</v>
      </c>
      <c r="C37" s="219"/>
      <c r="D37" s="241"/>
      <c r="E37" s="62"/>
      <c r="F37" s="79" t="s">
        <v>615</v>
      </c>
    </row>
    <row r="38" spans="1:6" ht="33" x14ac:dyDescent="0.3">
      <c r="A38" s="509"/>
      <c r="B38" s="63" t="s">
        <v>132</v>
      </c>
      <c r="C38" s="219" t="s">
        <v>603</v>
      </c>
      <c r="D38" s="243">
        <v>43159</v>
      </c>
      <c r="E38" s="62" t="s">
        <v>379</v>
      </c>
      <c r="F38" s="79"/>
    </row>
    <row r="39" spans="1:6" ht="46.5" thickBot="1" x14ac:dyDescent="0.35">
      <c r="A39" s="510"/>
      <c r="B39" s="80" t="s">
        <v>133</v>
      </c>
      <c r="C39" s="244" t="s">
        <v>491</v>
      </c>
      <c r="D39" s="245">
        <v>43827</v>
      </c>
      <c r="E39" s="220" t="s">
        <v>379</v>
      </c>
      <c r="F39" s="81"/>
    </row>
    <row r="40" spans="1:6" ht="16.5" x14ac:dyDescent="0.3">
      <c r="A40" s="181"/>
      <c r="B40" s="181"/>
      <c r="C40" s="181"/>
      <c r="D40" s="238"/>
      <c r="E40" s="181"/>
      <c r="F40" s="181"/>
    </row>
    <row r="41" spans="1:6" ht="16.5" x14ac:dyDescent="0.3">
      <c r="A41" s="181"/>
      <c r="B41" s="181"/>
      <c r="C41" s="181"/>
      <c r="D41" s="238"/>
      <c r="E41" s="181"/>
      <c r="F41" s="181"/>
    </row>
    <row r="42" spans="1:6" ht="16.5" x14ac:dyDescent="0.3">
      <c r="A42" s="99"/>
      <c r="B42" s="99"/>
      <c r="C42" s="99"/>
      <c r="D42" s="239"/>
      <c r="E42" s="99"/>
      <c r="F42" s="99"/>
    </row>
    <row r="43" spans="1:6" ht="16.5" x14ac:dyDescent="0.3">
      <c r="A43" s="99"/>
      <c r="B43" s="99"/>
      <c r="C43" s="99"/>
      <c r="D43" s="239"/>
      <c r="E43" s="99"/>
      <c r="F43" s="99"/>
    </row>
  </sheetData>
  <mergeCells count="6">
    <mergeCell ref="B1:F1"/>
    <mergeCell ref="A3:F3"/>
    <mergeCell ref="A33:A39"/>
    <mergeCell ref="A6:A16"/>
    <mergeCell ref="A17:A27"/>
    <mergeCell ref="A28:A32"/>
  </mergeCells>
  <dataValidations count="4">
    <dataValidation allowBlank="1" showInputMessage="1" showErrorMessage="1" prompt="Registre el documento soporte donde se encuentra el item del repositorio de la entidad. (Físico o Magnético)" sqref="C5"/>
    <dataValidation allowBlank="1" showInputMessage="1" showErrorMessage="1" prompt="Registre la fecha de vigencia del soporte relacionado. Cuando sean distintos documentos y fechas en el ítem como procesos. relacione donde se encuentra el registro de actualziaciones." sqref="D5"/>
    <dataValidation allowBlank="1" showInputMessage="1" showErrorMessage="1" prompt="Registre SI, si tiene acceso al documento, NO cuando exista alguna limitación en su acceso, indicando en las Notas del equipo Auditor la observación._x000a_" sqref="E5"/>
    <dataValidation allowBlank="1" showInputMessage="1" showErrorMessage="1" prompt="Registre notas de relevancia de orientación sobre la información. Ej: Version desactualizada, No se presentó auditoría regular en la última vigencia, etc." sqref="F5"/>
  </dataValidations>
  <hyperlinks>
    <hyperlink ref="C6" r:id="rId1"/>
    <hyperlink ref="C7" r:id="rId2"/>
    <hyperlink ref="C8" r:id="rId3"/>
    <hyperlink ref="C9" r:id="rId4"/>
    <hyperlink ref="C15" r:id="rId5"/>
    <hyperlink ref="C18" r:id="rId6"/>
    <hyperlink ref="C28" r:id="rId7"/>
    <hyperlink ref="C29" r:id="rId8"/>
    <hyperlink ref="C31" r:id="rId9"/>
    <hyperlink ref="C35" r:id="rId10"/>
    <hyperlink ref="C39" r:id="rId11"/>
    <hyperlink ref="C24" r:id="rId12"/>
  </hyperlinks>
  <pageMargins left="0.7" right="0.7" top="0.75" bottom="0.75" header="0.3" footer="0.3"/>
  <pageSetup orientation="portrait" horizontalDpi="4294967292" verticalDpi="0" r:id="rId13"/>
  <drawing r:id="rId1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B100"/>
  <sheetViews>
    <sheetView topLeftCell="A7" zoomScale="70" zoomScaleNormal="70" workbookViewId="0">
      <pane xSplit="1" ySplit="4" topLeftCell="B11" activePane="bottomRight" state="frozen"/>
      <selection activeCell="A7" sqref="A7"/>
      <selection pane="topRight" activeCell="B7" sqref="B7"/>
      <selection pane="bottomLeft" activeCell="A11" sqref="A11"/>
      <selection pane="bottomRight" activeCell="B15" sqref="B15"/>
    </sheetView>
  </sheetViews>
  <sheetFormatPr baseColWidth="10" defaultColWidth="14.42578125" defaultRowHeight="15" customHeight="1" x14ac:dyDescent="0.3"/>
  <cols>
    <col min="1" max="1" width="4.5703125" style="189" customWidth="1"/>
    <col min="2" max="2" width="48.7109375" style="189" customWidth="1"/>
    <col min="3" max="7" width="10.7109375" style="189" customWidth="1"/>
    <col min="8" max="8" width="11.5703125" style="189" customWidth="1"/>
    <col min="9" max="9" width="14.140625" style="189" customWidth="1"/>
    <col min="10" max="10" width="22" style="189" customWidth="1"/>
    <col min="11" max="11" width="9.7109375" style="189" bestFit="1" customWidth="1"/>
    <col min="12" max="12" width="9.7109375" style="193" bestFit="1" customWidth="1"/>
    <col min="13" max="13" width="13" style="189" customWidth="1"/>
    <col min="14" max="14" width="10.85546875" style="189" customWidth="1"/>
    <col min="15" max="16" width="10.7109375" style="189" customWidth="1"/>
    <col min="17" max="17" width="16.28515625" style="189" customWidth="1"/>
    <col min="18" max="18" width="16.140625" style="189" customWidth="1"/>
    <col min="19" max="19" width="10.7109375" style="189" customWidth="1"/>
    <col min="20" max="21" width="32.140625" style="189" customWidth="1"/>
    <col min="22" max="24" width="14.42578125" style="189"/>
    <col min="25" max="25" width="39" style="189" customWidth="1"/>
    <col min="26" max="16384" width="14.42578125" style="189"/>
  </cols>
  <sheetData>
    <row r="1" spans="2:28" ht="15" customHeight="1" thickBot="1" x14ac:dyDescent="0.35"/>
    <row r="2" spans="2:28" ht="16.5" x14ac:dyDescent="0.3">
      <c r="B2" s="517"/>
      <c r="C2" s="520" t="s">
        <v>360</v>
      </c>
      <c r="D2" s="521"/>
      <c r="E2" s="521"/>
      <c r="F2" s="521"/>
      <c r="G2" s="521"/>
      <c r="H2" s="521"/>
      <c r="I2" s="521"/>
      <c r="J2" s="521"/>
      <c r="K2" s="521"/>
      <c r="L2" s="521"/>
      <c r="M2" s="521"/>
      <c r="N2" s="521"/>
      <c r="O2" s="521"/>
      <c r="P2" s="521"/>
      <c r="Q2" s="522"/>
      <c r="R2" s="529"/>
      <c r="S2" s="530"/>
      <c r="T2" s="531"/>
    </row>
    <row r="3" spans="2:28" ht="16.5" x14ac:dyDescent="0.3">
      <c r="B3" s="518"/>
      <c r="C3" s="523"/>
      <c r="D3" s="524"/>
      <c r="E3" s="524"/>
      <c r="F3" s="524"/>
      <c r="G3" s="524"/>
      <c r="H3" s="524"/>
      <c r="I3" s="524"/>
      <c r="J3" s="524"/>
      <c r="K3" s="524"/>
      <c r="L3" s="524"/>
      <c r="M3" s="524"/>
      <c r="N3" s="524"/>
      <c r="O3" s="524"/>
      <c r="P3" s="524"/>
      <c r="Q3" s="525"/>
      <c r="R3" s="534"/>
      <c r="S3" s="535"/>
      <c r="T3" s="532"/>
    </row>
    <row r="4" spans="2:28" ht="16.5" x14ac:dyDescent="0.3">
      <c r="B4" s="518"/>
      <c r="C4" s="523"/>
      <c r="D4" s="524"/>
      <c r="E4" s="524"/>
      <c r="F4" s="524"/>
      <c r="G4" s="524"/>
      <c r="H4" s="524"/>
      <c r="I4" s="524"/>
      <c r="J4" s="524"/>
      <c r="K4" s="524"/>
      <c r="L4" s="524"/>
      <c r="M4" s="524"/>
      <c r="N4" s="524"/>
      <c r="O4" s="524"/>
      <c r="P4" s="524"/>
      <c r="Q4" s="525"/>
      <c r="R4" s="534"/>
      <c r="S4" s="535"/>
      <c r="T4" s="532"/>
    </row>
    <row r="5" spans="2:28" ht="17.25" thickBot="1" x14ac:dyDescent="0.35">
      <c r="B5" s="519"/>
      <c r="C5" s="523"/>
      <c r="D5" s="526"/>
      <c r="E5" s="527"/>
      <c r="F5" s="527"/>
      <c r="G5" s="527"/>
      <c r="H5" s="527"/>
      <c r="I5" s="527"/>
      <c r="J5" s="527"/>
      <c r="K5" s="527"/>
      <c r="L5" s="527"/>
      <c r="M5" s="527"/>
      <c r="N5" s="527"/>
      <c r="O5" s="527"/>
      <c r="P5" s="527"/>
      <c r="Q5" s="528"/>
      <c r="R5" s="536"/>
      <c r="S5" s="537"/>
      <c r="T5" s="533"/>
    </row>
    <row r="6" spans="2:28" ht="17.25" thickBot="1" x14ac:dyDescent="0.35">
      <c r="B6" s="272" t="s">
        <v>11</v>
      </c>
      <c r="C6" s="515">
        <v>44196</v>
      </c>
      <c r="D6" s="516"/>
    </row>
    <row r="7" spans="2:28" ht="15" customHeight="1" thickBot="1" x14ac:dyDescent="0.35"/>
    <row r="8" spans="2:28" ht="17.25" thickBot="1" x14ac:dyDescent="0.35">
      <c r="B8" s="190">
        <v>1</v>
      </c>
      <c r="C8" s="551">
        <v>2</v>
      </c>
      <c r="D8" s="552"/>
      <c r="E8" s="552"/>
      <c r="F8" s="552"/>
      <c r="G8" s="552"/>
      <c r="H8" s="552"/>
      <c r="I8" s="552"/>
      <c r="J8" s="553"/>
      <c r="K8" s="205"/>
      <c r="L8" s="205"/>
      <c r="M8" s="557">
        <v>3</v>
      </c>
      <c r="N8" s="558"/>
      <c r="O8" s="557">
        <v>4</v>
      </c>
      <c r="P8" s="558"/>
      <c r="Q8" s="557">
        <v>5</v>
      </c>
      <c r="R8" s="559"/>
      <c r="S8" s="559"/>
      <c r="T8" s="549">
        <v>6</v>
      </c>
      <c r="U8" s="550"/>
    </row>
    <row r="9" spans="2:28" ht="47.25" customHeight="1" thickBot="1" x14ac:dyDescent="0.35">
      <c r="B9" s="538" t="s">
        <v>359</v>
      </c>
      <c r="C9" s="540" t="s">
        <v>0</v>
      </c>
      <c r="D9" s="527"/>
      <c r="E9" s="527"/>
      <c r="F9" s="527"/>
      <c r="G9" s="527"/>
      <c r="H9" s="541" t="s">
        <v>6</v>
      </c>
      <c r="I9" s="526"/>
      <c r="J9" s="545" t="s">
        <v>289</v>
      </c>
      <c r="K9" s="554"/>
      <c r="L9" s="546"/>
      <c r="M9" s="543" t="s">
        <v>7</v>
      </c>
      <c r="N9" s="544"/>
      <c r="O9" s="541" t="s">
        <v>8</v>
      </c>
      <c r="P9" s="544"/>
      <c r="Q9" s="560" t="s">
        <v>9</v>
      </c>
      <c r="R9" s="560" t="s">
        <v>10</v>
      </c>
      <c r="S9" s="541" t="s">
        <v>13</v>
      </c>
      <c r="T9" s="545" t="s">
        <v>14</v>
      </c>
      <c r="U9" s="546"/>
    </row>
    <row r="10" spans="2:28" ht="47.25" customHeight="1" thickBot="1" x14ac:dyDescent="0.35">
      <c r="B10" s="539"/>
      <c r="C10" s="254" t="s">
        <v>1</v>
      </c>
      <c r="D10" s="255" t="s">
        <v>2</v>
      </c>
      <c r="E10" s="256" t="s">
        <v>3</v>
      </c>
      <c r="F10" s="257" t="s">
        <v>4</v>
      </c>
      <c r="G10" s="258" t="s">
        <v>5</v>
      </c>
      <c r="H10" s="542"/>
      <c r="I10" s="526"/>
      <c r="J10" s="555"/>
      <c r="K10" s="543"/>
      <c r="L10" s="556"/>
      <c r="M10" s="526"/>
      <c r="N10" s="544"/>
      <c r="O10" s="542"/>
      <c r="P10" s="544"/>
      <c r="Q10" s="539"/>
      <c r="R10" s="539"/>
      <c r="S10" s="542"/>
      <c r="T10" s="547"/>
      <c r="U10" s="548"/>
    </row>
    <row r="11" spans="2:28" ht="51.75" customHeight="1" thickBot="1" x14ac:dyDescent="0.35">
      <c r="B11" s="344" t="str">
        <f>+'PAA OCI  '!B20</f>
        <v>Factores de Gestión Prioritarias para la Empresa (análisis OCI) y Fortalecimiento Institucional</v>
      </c>
      <c r="C11" s="259">
        <f>+'ANALISIS OCI'!X9</f>
        <v>1</v>
      </c>
      <c r="D11" s="260">
        <f>+'ANALISIS OCI'!Y9</f>
        <v>0</v>
      </c>
      <c r="E11" s="260">
        <f>+'ANALISIS OCI'!Z9</f>
        <v>2</v>
      </c>
      <c r="F11" s="260">
        <f>+'ANALISIS OCI'!AA9</f>
        <v>1</v>
      </c>
      <c r="G11" s="261">
        <f>SUM(C11:F11)</f>
        <v>4</v>
      </c>
      <c r="H11" s="249" t="str">
        <f>IF(G11=0,0,IF(($C11/$G11)&gt;=0.2,"Extremo",+IF((($C11/G11)+($D11/$G11))&gt;=0.3,"Alto",+IF((($C11/$G11)+($D11/$G11)+($E11/$G11))&gt;=0.4,"Moderado",+IF(($C11/$G11)+($D11/$G11)+($E11/$G11)+($F11/$G11)&gt;=0.5,"Bajo",IF(G11=0,0))))))</f>
        <v>Extremo</v>
      </c>
      <c r="I11" s="250">
        <f t="shared" ref="I11:I47" si="0">(IF(H11="Extremo",50%,(IF(H11="Alto",40%,IF(H11="Moderado",15%,IF(H11="Bajo",10%,0))))))</f>
        <v>0.5</v>
      </c>
      <c r="J11" s="246" t="str">
        <f>'ANALISIS OCI'!AC9</f>
        <v>Extremo</v>
      </c>
      <c r="K11" s="247">
        <f>(IF(J11="Extremo",50%,(IF(J11="Alto",40%,IF(J11="Moderado",15%,IF(J11="Bajo",10%,0))))))</f>
        <v>0.5</v>
      </c>
      <c r="L11" s="248">
        <f>IF(I11=0,K11,I11)</f>
        <v>0.5</v>
      </c>
      <c r="M11" s="262" t="s">
        <v>12</v>
      </c>
      <c r="N11" s="263">
        <f t="shared" ref="N11:N47" si="1">IF(M11="Si",100%,IF(M11="No",0,0))</f>
        <v>0</v>
      </c>
      <c r="O11" s="264" t="s">
        <v>379</v>
      </c>
      <c r="P11" s="265">
        <f t="shared" ref="P11:P47" si="2">IF(O11="Si",20%,IF(O11="No",0,0))</f>
        <v>0.2</v>
      </c>
      <c r="Q11" s="251">
        <v>43600</v>
      </c>
      <c r="R11" s="252">
        <f>+$C$6-Q11</f>
        <v>596</v>
      </c>
      <c r="S11" s="266">
        <f t="shared" ref="S11:S47" si="3">IF(R11&gt;=1080,30%,IF(R11&gt;=720,20%,IF(R11&gt;=360,10%,IF(R11&lt;=359,0%,0))))</f>
        <v>0.1</v>
      </c>
      <c r="T11" s="253">
        <f>IF(N11=100%,100%,(L11+P11+S11))</f>
        <v>0.79999999999999993</v>
      </c>
      <c r="U11" s="206" t="str">
        <f>+IF(T11&gt;=85%,$AB$12,IF(AND( T11&gt;65%,T11&lt;85%),$AB$13,$AB$14))</f>
        <v xml:space="preserve">Incluir en el ciclo vigente de acuerdo a disponibilidad de recursos </v>
      </c>
      <c r="X11" s="194"/>
      <c r="Y11" s="194"/>
      <c r="Z11" s="194"/>
      <c r="AA11" s="194"/>
    </row>
    <row r="12" spans="2:28" ht="39" customHeight="1" thickBot="1" x14ac:dyDescent="0.35">
      <c r="B12" s="344" t="str">
        <f>+'PAA OCI  '!B21</f>
        <v>Auditoria de Fiducias. Alcance por muestra confiable.</v>
      </c>
      <c r="C12" s="259">
        <f>+'ANALISIS OCI'!X10</f>
        <v>0</v>
      </c>
      <c r="D12" s="260">
        <f>+'ANALISIS OCI'!Y10</f>
        <v>1</v>
      </c>
      <c r="E12" s="260">
        <f>+'ANALISIS OCI'!Z10</f>
        <v>1</v>
      </c>
      <c r="F12" s="260">
        <f>+'ANALISIS OCI'!AA10</f>
        <v>1</v>
      </c>
      <c r="G12" s="261">
        <f t="shared" ref="G12:G47" si="4">SUM(C12:F12)</f>
        <v>3</v>
      </c>
      <c r="H12" s="249" t="str">
        <f t="shared" ref="H12:H47" si="5">IF(G12=0,0,IF(($C12/$G12)&gt;=0.2,"Extremo",+IF((($C12/G12)+($D12/$G12))&gt;=0.3,"Alto",+IF((($C12/$G12)+($D12/$G12)+($E12/$G12))&gt;=0.4,"Moderado",+IF(($C12/$G12)+($D12/$G12)+($E12/$G12)+($F12/$G12)&gt;=0.5,"Bajo",IF(G12=0,0))))))</f>
        <v>Alto</v>
      </c>
      <c r="I12" s="250">
        <f t="shared" si="0"/>
        <v>0.4</v>
      </c>
      <c r="J12" s="246" t="str">
        <f>'ANALISIS OCI'!AC10</f>
        <v>Alto</v>
      </c>
      <c r="K12" s="247">
        <f>(IF(J12="Extremo",50%,(IF(J12="Alto",40%,IF(J12="Moderado",15%,IF(J12="Bajo",10%,0))))))</f>
        <v>0.4</v>
      </c>
      <c r="L12" s="248">
        <f t="shared" ref="L12:L77" si="6">IF(I12=0,K12,I12)</f>
        <v>0.4</v>
      </c>
      <c r="M12" s="262" t="s">
        <v>12</v>
      </c>
      <c r="N12" s="263">
        <f t="shared" si="1"/>
        <v>0</v>
      </c>
      <c r="O12" s="264" t="s">
        <v>12</v>
      </c>
      <c r="P12" s="265">
        <f t="shared" si="2"/>
        <v>0</v>
      </c>
      <c r="Q12" s="251"/>
      <c r="R12" s="252">
        <f>+$C$6-Q12</f>
        <v>44196</v>
      </c>
      <c r="S12" s="266">
        <f t="shared" si="3"/>
        <v>0.3</v>
      </c>
      <c r="T12" s="232">
        <f t="shared" ref="T12:T47" si="7">IF(N12=100%,100%,(L12+P12+S12))</f>
        <v>0.7</v>
      </c>
      <c r="U12" s="206" t="str">
        <f t="shared" ref="U12:U77" si="8">+IF(T12&gt;=85%,$AB$12,IF(AND( T12&gt;65%,T12&lt;85%),$AB$13,$AB$14))</f>
        <v xml:space="preserve">Incluir en el ciclo vigente de acuerdo a disponibilidad de recursos </v>
      </c>
      <c r="X12" s="194"/>
      <c r="Z12" s="194"/>
      <c r="AA12" s="194"/>
      <c r="AB12" s="189" t="s">
        <v>312</v>
      </c>
    </row>
    <row r="13" spans="2:28" ht="39.75" customHeight="1" thickBot="1" x14ac:dyDescent="0.35">
      <c r="B13" s="344" t="str">
        <f>+'PAA OCI  '!B22</f>
        <v>Auditoria Plan estratégico y gestión Tecnología y Comunicaciones</v>
      </c>
      <c r="C13" s="259">
        <f>+'ANALISIS OCI'!X11</f>
        <v>0</v>
      </c>
      <c r="D13" s="260">
        <f>+'ANALISIS OCI'!Y11</f>
        <v>2</v>
      </c>
      <c r="E13" s="260">
        <f>+'ANALISIS OCI'!Z11</f>
        <v>2</v>
      </c>
      <c r="F13" s="260">
        <f>+'ANALISIS OCI'!AA11</f>
        <v>2</v>
      </c>
      <c r="G13" s="261">
        <f t="shared" si="4"/>
        <v>6</v>
      </c>
      <c r="H13" s="249" t="str">
        <f t="shared" si="5"/>
        <v>Alto</v>
      </c>
      <c r="I13" s="250">
        <f t="shared" si="0"/>
        <v>0.4</v>
      </c>
      <c r="J13" s="246" t="str">
        <f>'ANALISIS OCI'!AC11</f>
        <v>Alto</v>
      </c>
      <c r="K13" s="247">
        <f t="shared" ref="K13:K78" si="9">(IF(J13="Extremo",50%,(IF(J13="Alto",40%,IF(J13="Moderado",15%,IF(J13="Bajo",10%,0))))))</f>
        <v>0.4</v>
      </c>
      <c r="L13" s="248">
        <f t="shared" si="6"/>
        <v>0.4</v>
      </c>
      <c r="M13" s="262" t="s">
        <v>12</v>
      </c>
      <c r="N13" s="263">
        <f t="shared" si="1"/>
        <v>0</v>
      </c>
      <c r="O13" s="264" t="s">
        <v>12</v>
      </c>
      <c r="P13" s="265">
        <f t="shared" si="2"/>
        <v>0</v>
      </c>
      <c r="Q13" s="251"/>
      <c r="R13" s="252">
        <f t="shared" ref="R13:R47" si="10">+$C$6-Q13</f>
        <v>44196</v>
      </c>
      <c r="S13" s="266">
        <f t="shared" si="3"/>
        <v>0.3</v>
      </c>
      <c r="T13" s="232">
        <f t="shared" si="7"/>
        <v>0.7</v>
      </c>
      <c r="U13" s="206" t="str">
        <f t="shared" si="8"/>
        <v xml:space="preserve">Incluir en el ciclo vigente de acuerdo a disponibilidad de recursos </v>
      </c>
      <c r="X13" s="194"/>
      <c r="Z13" s="194"/>
      <c r="AA13" s="194"/>
      <c r="AB13" s="194" t="s">
        <v>313</v>
      </c>
    </row>
    <row r="14" spans="2:28" ht="51.75" customHeight="1" thickBot="1" x14ac:dyDescent="0.35">
      <c r="B14" s="344" t="str">
        <f>+'PAA OCI  '!B23</f>
        <v>Proyecto: Formulación, Gestión y Estructuración de Proyectos de Desarrollo, Revitalización o Renovación Urbana. Incluido aspecto contractual</v>
      </c>
      <c r="C14" s="259">
        <f>+'ANALISIS OCI'!X12</f>
        <v>1</v>
      </c>
      <c r="D14" s="260">
        <f>+'ANALISIS OCI'!Y12</f>
        <v>0</v>
      </c>
      <c r="E14" s="260">
        <f>+'ANALISIS OCI'!Z12</f>
        <v>1</v>
      </c>
      <c r="F14" s="260">
        <f>+'ANALISIS OCI'!AA12</f>
        <v>1</v>
      </c>
      <c r="G14" s="261">
        <f t="shared" si="4"/>
        <v>3</v>
      </c>
      <c r="H14" s="249" t="str">
        <f t="shared" si="5"/>
        <v>Extremo</v>
      </c>
      <c r="I14" s="250">
        <f t="shared" si="0"/>
        <v>0.5</v>
      </c>
      <c r="J14" s="246" t="str">
        <f>'ANALISIS OCI'!AC12</f>
        <v>Extremo</v>
      </c>
      <c r="K14" s="247">
        <f t="shared" si="9"/>
        <v>0.5</v>
      </c>
      <c r="L14" s="248">
        <f t="shared" si="6"/>
        <v>0.5</v>
      </c>
      <c r="M14" s="262" t="s">
        <v>12</v>
      </c>
      <c r="N14" s="263">
        <f t="shared" si="1"/>
        <v>0</v>
      </c>
      <c r="O14" s="264" t="s">
        <v>12</v>
      </c>
      <c r="P14" s="265">
        <f t="shared" si="2"/>
        <v>0</v>
      </c>
      <c r="Q14" s="251"/>
      <c r="R14" s="252">
        <f t="shared" si="10"/>
        <v>44196</v>
      </c>
      <c r="S14" s="266">
        <f t="shared" si="3"/>
        <v>0.3</v>
      </c>
      <c r="T14" s="232">
        <f t="shared" si="7"/>
        <v>0.8</v>
      </c>
      <c r="U14" s="206" t="str">
        <f t="shared" si="8"/>
        <v xml:space="preserve">Incluir en el ciclo vigente de acuerdo a disponibilidad de recursos </v>
      </c>
      <c r="X14" s="194"/>
      <c r="Z14" s="194"/>
      <c r="AA14" s="194"/>
      <c r="AB14" s="194" t="s">
        <v>311</v>
      </c>
    </row>
    <row r="15" spans="2:28" ht="49.5" customHeight="1" thickBot="1" x14ac:dyDescent="0.35">
      <c r="B15" s="344" t="str">
        <f>+'PAA OCI  '!B24</f>
        <v>Auditoria Gestión Social asociada a la Adquisición Predial y grupos de interés</v>
      </c>
      <c r="C15" s="259">
        <f>+'ANALISIS OCI'!X13</f>
        <v>0</v>
      </c>
      <c r="D15" s="260">
        <f>+'ANALISIS OCI'!Y13</f>
        <v>2</v>
      </c>
      <c r="E15" s="260">
        <f>+'ANALISIS OCI'!Z13</f>
        <v>0</v>
      </c>
      <c r="F15" s="260">
        <f>+'ANALISIS OCI'!AA13</f>
        <v>4</v>
      </c>
      <c r="G15" s="261">
        <f t="shared" si="4"/>
        <v>6</v>
      </c>
      <c r="H15" s="249" t="str">
        <f t="shared" si="5"/>
        <v>Alto</v>
      </c>
      <c r="I15" s="250">
        <f t="shared" si="0"/>
        <v>0.4</v>
      </c>
      <c r="J15" s="246" t="str">
        <f>'ANALISIS OCI'!AC13</f>
        <v>Alto</v>
      </c>
      <c r="K15" s="247">
        <f t="shared" si="9"/>
        <v>0.4</v>
      </c>
      <c r="L15" s="248">
        <f t="shared" si="6"/>
        <v>0.4</v>
      </c>
      <c r="M15" s="262" t="s">
        <v>12</v>
      </c>
      <c r="N15" s="263">
        <f t="shared" si="1"/>
        <v>0</v>
      </c>
      <c r="O15" s="264" t="s">
        <v>12</v>
      </c>
      <c r="P15" s="265">
        <f t="shared" si="2"/>
        <v>0</v>
      </c>
      <c r="Q15" s="251"/>
      <c r="R15" s="252">
        <f t="shared" si="10"/>
        <v>44196</v>
      </c>
      <c r="S15" s="266">
        <f t="shared" si="3"/>
        <v>0.3</v>
      </c>
      <c r="T15" s="232">
        <f t="shared" si="7"/>
        <v>0.7</v>
      </c>
      <c r="U15" s="206" t="str">
        <f t="shared" si="8"/>
        <v xml:space="preserve">Incluir en el ciclo vigente de acuerdo a disponibilidad de recursos </v>
      </c>
      <c r="X15" s="194"/>
      <c r="Y15" s="194"/>
      <c r="Z15" s="194"/>
      <c r="AA15" s="194"/>
    </row>
    <row r="16" spans="2:28" ht="66.75" thickBot="1" x14ac:dyDescent="0.35">
      <c r="B16" s="344" t="str">
        <f>+'PAA OCI  '!B25</f>
        <v>Auditoria Proceso Evaluación y seguimiento - Normas Internacionales de Auditoria - Oficina PAD
Auditorias cruzadas OCI - Alcaldia.</v>
      </c>
      <c r="C16" s="259">
        <f>+'ANALISIS OCI'!X14</f>
        <v>3</v>
      </c>
      <c r="D16" s="260">
        <f>+'ANALISIS OCI'!Y14</f>
        <v>0</v>
      </c>
      <c r="E16" s="260">
        <f>+'ANALISIS OCI'!Z14</f>
        <v>1</v>
      </c>
      <c r="F16" s="260">
        <f>+'ANALISIS OCI'!AA14</f>
        <v>1</v>
      </c>
      <c r="G16" s="261">
        <f t="shared" si="4"/>
        <v>5</v>
      </c>
      <c r="H16" s="249" t="str">
        <f t="shared" si="5"/>
        <v>Extremo</v>
      </c>
      <c r="I16" s="250">
        <f t="shared" si="0"/>
        <v>0.5</v>
      </c>
      <c r="J16" s="246" t="str">
        <f>'ANALISIS OCI'!AC14</f>
        <v>Extremo</v>
      </c>
      <c r="K16" s="247">
        <f t="shared" si="9"/>
        <v>0.5</v>
      </c>
      <c r="L16" s="248">
        <f t="shared" si="6"/>
        <v>0.5</v>
      </c>
      <c r="M16" s="262" t="s">
        <v>12</v>
      </c>
      <c r="N16" s="263">
        <f t="shared" si="1"/>
        <v>0</v>
      </c>
      <c r="O16" s="264" t="s">
        <v>12</v>
      </c>
      <c r="P16" s="265">
        <f t="shared" si="2"/>
        <v>0</v>
      </c>
      <c r="Q16" s="251"/>
      <c r="R16" s="252">
        <f t="shared" si="10"/>
        <v>44196</v>
      </c>
      <c r="S16" s="266">
        <f t="shared" si="3"/>
        <v>0.3</v>
      </c>
      <c r="T16" s="232">
        <f t="shared" si="7"/>
        <v>0.8</v>
      </c>
      <c r="U16" s="206" t="str">
        <f t="shared" si="8"/>
        <v xml:space="preserve">Incluir en el ciclo vigente de acuerdo a disponibilidad de recursos </v>
      </c>
      <c r="X16" s="194"/>
      <c r="Y16" s="194"/>
      <c r="Z16" s="194"/>
      <c r="AA16" s="194"/>
    </row>
    <row r="17" spans="2:27" ht="43.5" customHeight="1" thickBot="1" x14ac:dyDescent="0.35">
      <c r="B17" s="419" t="s">
        <v>404</v>
      </c>
      <c r="C17" s="259">
        <f>+'ANALISIS OCI'!X15</f>
        <v>0</v>
      </c>
      <c r="D17" s="260">
        <f>+'ANALISIS OCI'!Y15</f>
        <v>1</v>
      </c>
      <c r="E17" s="260">
        <f>+'ANALISIS OCI'!Z15</f>
        <v>1</v>
      </c>
      <c r="F17" s="260">
        <f>+'ANALISIS OCI'!AA15</f>
        <v>2</v>
      </c>
      <c r="G17" s="261">
        <f t="shared" si="4"/>
        <v>4</v>
      </c>
      <c r="H17" s="249" t="str">
        <f t="shared" si="5"/>
        <v>Moderado</v>
      </c>
      <c r="I17" s="250">
        <f t="shared" si="0"/>
        <v>0.15</v>
      </c>
      <c r="J17" s="246" t="str">
        <f>'ANALISIS OCI'!AC15</f>
        <v>Moderado</v>
      </c>
      <c r="K17" s="247">
        <f t="shared" si="9"/>
        <v>0.15</v>
      </c>
      <c r="L17" s="248">
        <f t="shared" si="6"/>
        <v>0.15</v>
      </c>
      <c r="M17" s="262" t="s">
        <v>12</v>
      </c>
      <c r="N17" s="263">
        <f t="shared" si="1"/>
        <v>0</v>
      </c>
      <c r="O17" s="264" t="s">
        <v>12</v>
      </c>
      <c r="P17" s="265">
        <f t="shared" si="2"/>
        <v>0</v>
      </c>
      <c r="Q17" s="251">
        <v>44092</v>
      </c>
      <c r="R17" s="252">
        <f t="shared" si="10"/>
        <v>104</v>
      </c>
      <c r="S17" s="266">
        <f t="shared" si="3"/>
        <v>0</v>
      </c>
      <c r="T17" s="232">
        <f t="shared" si="7"/>
        <v>0.15</v>
      </c>
      <c r="U17" s="206" t="str">
        <f t="shared" si="8"/>
        <v>Incluir en ciclos posteriores de auditoría</v>
      </c>
      <c r="X17" s="194"/>
      <c r="Y17" s="194"/>
      <c r="Z17" s="194"/>
      <c r="AA17" s="194"/>
    </row>
    <row r="18" spans="2:27" ht="50.25" thickBot="1" x14ac:dyDescent="0.35">
      <c r="B18" s="419" t="s">
        <v>467</v>
      </c>
      <c r="C18" s="259">
        <f>+'ANALISIS OCI'!X16</f>
        <v>0</v>
      </c>
      <c r="D18" s="260">
        <f>+'ANALISIS OCI'!Y16</f>
        <v>1</v>
      </c>
      <c r="E18" s="260">
        <f>+'ANALISIS OCI'!Z16</f>
        <v>1</v>
      </c>
      <c r="F18" s="260">
        <f>+'ANALISIS OCI'!AA16</f>
        <v>2</v>
      </c>
      <c r="G18" s="261">
        <f t="shared" si="4"/>
        <v>4</v>
      </c>
      <c r="H18" s="249" t="str">
        <f t="shared" si="5"/>
        <v>Moderado</v>
      </c>
      <c r="I18" s="250">
        <f t="shared" si="0"/>
        <v>0.15</v>
      </c>
      <c r="J18" s="246" t="str">
        <f>'ANALISIS OCI'!AC16</f>
        <v>Moderado</v>
      </c>
      <c r="K18" s="247">
        <f t="shared" si="9"/>
        <v>0.15</v>
      </c>
      <c r="L18" s="248">
        <f t="shared" si="6"/>
        <v>0.15</v>
      </c>
      <c r="M18" s="262" t="s">
        <v>12</v>
      </c>
      <c r="N18" s="263">
        <f t="shared" si="1"/>
        <v>0</v>
      </c>
      <c r="O18" s="264" t="s">
        <v>12</v>
      </c>
      <c r="P18" s="265">
        <f t="shared" si="2"/>
        <v>0</v>
      </c>
      <c r="Q18" s="251">
        <v>44158</v>
      </c>
      <c r="R18" s="252">
        <f t="shared" si="10"/>
        <v>38</v>
      </c>
      <c r="S18" s="266">
        <f t="shared" si="3"/>
        <v>0</v>
      </c>
      <c r="T18" s="232">
        <f t="shared" si="7"/>
        <v>0.15</v>
      </c>
      <c r="U18" s="206" t="str">
        <f t="shared" si="8"/>
        <v>Incluir en ciclos posteriores de auditoría</v>
      </c>
      <c r="X18" s="194"/>
      <c r="Y18" s="194"/>
      <c r="Z18" s="194"/>
      <c r="AA18" s="194"/>
    </row>
    <row r="19" spans="2:27" ht="43.5" customHeight="1" thickBot="1" x14ac:dyDescent="0.35">
      <c r="B19" s="419" t="s">
        <v>405</v>
      </c>
      <c r="C19" s="259">
        <f>+'ANALISIS OCI'!X17</f>
        <v>0</v>
      </c>
      <c r="D19" s="260">
        <f>+'ANALISIS OCI'!Y17</f>
        <v>1</v>
      </c>
      <c r="E19" s="260">
        <f>+'ANALISIS OCI'!Z17</f>
        <v>1</v>
      </c>
      <c r="F19" s="260">
        <f>+'ANALISIS OCI'!AA17</f>
        <v>2</v>
      </c>
      <c r="G19" s="261">
        <f t="shared" si="4"/>
        <v>4</v>
      </c>
      <c r="H19" s="249" t="str">
        <f t="shared" si="5"/>
        <v>Moderado</v>
      </c>
      <c r="I19" s="250">
        <f t="shared" si="0"/>
        <v>0.15</v>
      </c>
      <c r="J19" s="246" t="str">
        <f>'ANALISIS OCI'!AC17</f>
        <v>Moderado</v>
      </c>
      <c r="K19" s="247">
        <f t="shared" si="9"/>
        <v>0.15</v>
      </c>
      <c r="L19" s="248">
        <f t="shared" si="6"/>
        <v>0.15</v>
      </c>
      <c r="M19" s="262"/>
      <c r="N19" s="263">
        <f t="shared" si="1"/>
        <v>0</v>
      </c>
      <c r="O19" s="264"/>
      <c r="P19" s="265">
        <f t="shared" si="2"/>
        <v>0</v>
      </c>
      <c r="Q19" s="251">
        <v>44181</v>
      </c>
      <c r="R19" s="252">
        <f t="shared" si="10"/>
        <v>15</v>
      </c>
      <c r="S19" s="266">
        <f t="shared" si="3"/>
        <v>0</v>
      </c>
      <c r="T19" s="232">
        <f t="shared" si="7"/>
        <v>0.15</v>
      </c>
      <c r="U19" s="206" t="str">
        <f t="shared" si="8"/>
        <v>Incluir en ciclos posteriores de auditoría</v>
      </c>
    </row>
    <row r="20" spans="2:27" s="231" customFormat="1" ht="43.5" customHeight="1" thickBot="1" x14ac:dyDescent="0.35">
      <c r="B20" s="419" t="s">
        <v>466</v>
      </c>
      <c r="C20" s="259">
        <f>+'ANALISIS OCI'!X18</f>
        <v>0</v>
      </c>
      <c r="D20" s="260">
        <f>+'ANALISIS OCI'!Y18</f>
        <v>1</v>
      </c>
      <c r="E20" s="260">
        <f>+'ANALISIS OCI'!Z18</f>
        <v>1</v>
      </c>
      <c r="F20" s="260">
        <f>+'ANALISIS OCI'!AA18</f>
        <v>4</v>
      </c>
      <c r="G20" s="261">
        <f>SUM(C20:F20)</f>
        <v>6</v>
      </c>
      <c r="H20" s="249" t="str">
        <f>IF(G20=0,0,IF(($C20/$G20)&gt;=0.2,"Extremo",+IF((($C20/G20)+($D20/$G20))&gt;=0.3,"Alto",+IF((($C20/$G20)+($D20/$G20)+($E20/$G20))&gt;=0.4,"Moderado",+IF(($C20/$G20)+($D20/$G20)+($E20/$G20)+($F20/$G20)&gt;=0.5,"Bajo",IF(G20=0,0))))))</f>
        <v>Bajo</v>
      </c>
      <c r="I20" s="250">
        <f>(IF(H20="Extremo",50%,(IF(H20="Alto",40%,IF(H20="Moderado",15%,IF(H20="Bajo",10%,0))))))</f>
        <v>0.1</v>
      </c>
      <c r="J20" s="246" t="str">
        <f>'ANALISIS OCI'!AC18</f>
        <v>Bajo</v>
      </c>
      <c r="K20" s="247">
        <f>(IF(J20="Extremo",50%,(IF(J20="Alto",40%,IF(J20="Moderado",15%,IF(J20="Bajo",10%,0))))))</f>
        <v>0.1</v>
      </c>
      <c r="L20" s="248">
        <f>IF(I20=0,K20,I20)</f>
        <v>0.1</v>
      </c>
      <c r="M20" s="262"/>
      <c r="N20" s="263">
        <f>IF(M20="Si",100%,IF(M20="No",0,0))</f>
        <v>0</v>
      </c>
      <c r="O20" s="264"/>
      <c r="P20" s="265">
        <f>IF(O20="Si",20%,IF(O20="No",0,0))</f>
        <v>0</v>
      </c>
      <c r="Q20" s="251">
        <v>43977</v>
      </c>
      <c r="R20" s="252">
        <f>+$C$6-Q20</f>
        <v>219</v>
      </c>
      <c r="S20" s="266">
        <f>IF(R20&gt;=1080,30%,IF(R20&gt;=720,20%,IF(R20&gt;=360,10%,IF(R20&lt;=359,0%,0))))</f>
        <v>0</v>
      </c>
      <c r="T20" s="232">
        <f>IF(N20=100%,100%,(L20+P20+S20))</f>
        <v>0.1</v>
      </c>
      <c r="U20" s="206" t="str">
        <f>+IF(T20&gt;=85%,$AB$12,IF(AND( T20&gt;65%,T20&lt;85%),$AB$13,$AB$14))</f>
        <v>Incluir en ciclos posteriores de auditoría</v>
      </c>
    </row>
    <row r="21" spans="2:27" s="231" customFormat="1" ht="54" customHeight="1" thickBot="1" x14ac:dyDescent="0.35">
      <c r="B21" s="419" t="s">
        <v>448</v>
      </c>
      <c r="C21" s="259">
        <f>+'ANALISIS OCI'!X19</f>
        <v>0</v>
      </c>
      <c r="D21" s="260">
        <f>+'ANALISIS OCI'!Y19</f>
        <v>1</v>
      </c>
      <c r="E21" s="260">
        <f>+'ANALISIS OCI'!Z19</f>
        <v>2</v>
      </c>
      <c r="F21" s="260">
        <f>+'ANALISIS OCI'!AA19</f>
        <v>2</v>
      </c>
      <c r="G21" s="261">
        <f>SUM(C21:F21)</f>
        <v>5</v>
      </c>
      <c r="H21" s="249" t="str">
        <f>IF(G21=0,0,IF(($C21/$G21)&gt;=0.2,"Extremo",+IF((($C21/G21)+($D21/$G21))&gt;=0.3,"Alto",+IF((($C21/$G21)+($D21/$G21)+($E21/$G21))&gt;=0.4,"Moderado",+IF(($C21/$G21)+($D21/$G21)+($E21/$G21)+($F21/$G21)&gt;=0.5,"Bajo",IF(G21=0,0))))))</f>
        <v>Moderado</v>
      </c>
      <c r="I21" s="250">
        <f>(IF(H21="Extremo",50%,(IF(H21="Alto",40%,IF(H21="Moderado",15%,IF(H21="Bajo",10%,0))))))</f>
        <v>0.15</v>
      </c>
      <c r="J21" s="246" t="str">
        <f>'ANALISIS OCI'!AC19</f>
        <v>Moderado</v>
      </c>
      <c r="K21" s="247">
        <f>(IF(J21="Extremo",50%,(IF(J21="Alto",40%,IF(J21="Moderado",15%,IF(J21="Bajo",10%,0))))))</f>
        <v>0.15</v>
      </c>
      <c r="L21" s="248">
        <f>IF(I21=0,K21,I21)</f>
        <v>0.15</v>
      </c>
      <c r="M21" s="262"/>
      <c r="N21" s="263">
        <f>IF(M21="Si",100%,IF(M21="No",0,0))</f>
        <v>0</v>
      </c>
      <c r="O21" s="264"/>
      <c r="P21" s="265">
        <f>IF(O21="Si",20%,IF(O21="No",0,0))</f>
        <v>0</v>
      </c>
      <c r="Q21" s="251">
        <v>44196</v>
      </c>
      <c r="R21" s="252">
        <f>+$C$6-Q21</f>
        <v>0</v>
      </c>
      <c r="S21" s="266">
        <f>IF(R21&gt;=1080,30%,IF(R21&gt;=720,20%,IF(R21&gt;=360,10%,IF(R21&lt;=359,0%,0))))</f>
        <v>0</v>
      </c>
      <c r="T21" s="232">
        <f>IF(N21=100%,100%,(L21+P21+S21))</f>
        <v>0.15</v>
      </c>
      <c r="U21" s="206" t="str">
        <f>+IF(T21&gt;=85%,$AB$12,IF(AND( T21&gt;65%,T21&lt;85%),$AB$13,$AB$14))</f>
        <v>Incluir en ciclos posteriores de auditoría</v>
      </c>
    </row>
    <row r="22" spans="2:27" ht="54" customHeight="1" thickBot="1" x14ac:dyDescent="0.35">
      <c r="B22" s="419" t="s">
        <v>459</v>
      </c>
      <c r="C22" s="259">
        <f>+'ANALISIS OCI'!X20</f>
        <v>0</v>
      </c>
      <c r="D22" s="260">
        <f>+'ANALISIS OCI'!Y20</f>
        <v>0</v>
      </c>
      <c r="E22" s="260">
        <f>+'ANALISIS OCI'!Z20</f>
        <v>2</v>
      </c>
      <c r="F22" s="260">
        <f>+'ANALISIS OCI'!AA20</f>
        <v>2</v>
      </c>
      <c r="G22" s="261">
        <f t="shared" si="4"/>
        <v>4</v>
      </c>
      <c r="H22" s="249" t="str">
        <f t="shared" si="5"/>
        <v>Moderado</v>
      </c>
      <c r="I22" s="250">
        <f>(IF(H22="Extremo",50%,(IF(H22="Alto",40%,IF(H22="Moderado",15%,IF(H22="Bajo",10%,0))))))</f>
        <v>0.15</v>
      </c>
      <c r="J22" s="246" t="str">
        <f>'ANALISIS OCI'!AC20</f>
        <v>Moderado</v>
      </c>
      <c r="K22" s="247">
        <f t="shared" si="9"/>
        <v>0.15</v>
      </c>
      <c r="L22" s="248">
        <f t="shared" si="6"/>
        <v>0.15</v>
      </c>
      <c r="M22" s="262"/>
      <c r="N22" s="263">
        <f t="shared" si="1"/>
        <v>0</v>
      </c>
      <c r="O22" s="264"/>
      <c r="P22" s="265">
        <f t="shared" si="2"/>
        <v>0</v>
      </c>
      <c r="Q22" s="251">
        <v>44179</v>
      </c>
      <c r="R22" s="252">
        <f t="shared" si="10"/>
        <v>17</v>
      </c>
      <c r="S22" s="266">
        <f t="shared" si="3"/>
        <v>0</v>
      </c>
      <c r="T22" s="232">
        <f t="shared" si="7"/>
        <v>0.15</v>
      </c>
      <c r="U22" s="206" t="str">
        <f t="shared" si="8"/>
        <v>Incluir en ciclos posteriores de auditoría</v>
      </c>
    </row>
    <row r="23" spans="2:27" ht="43.5" customHeight="1" thickBot="1" x14ac:dyDescent="0.35">
      <c r="B23" s="419" t="s">
        <v>449</v>
      </c>
      <c r="C23" s="259">
        <f>+'ANALISIS OCI'!X21</f>
        <v>0</v>
      </c>
      <c r="D23" s="260">
        <f>+'ANALISIS OCI'!Y21</f>
        <v>1</v>
      </c>
      <c r="E23" s="260">
        <f>+'ANALISIS OCI'!Z21</f>
        <v>1</v>
      </c>
      <c r="F23" s="260">
        <f>+'ANALISIS OCI'!AA21</f>
        <v>2</v>
      </c>
      <c r="G23" s="261">
        <f t="shared" si="4"/>
        <v>4</v>
      </c>
      <c r="H23" s="249" t="str">
        <f t="shared" si="5"/>
        <v>Moderado</v>
      </c>
      <c r="I23" s="250">
        <f t="shared" si="0"/>
        <v>0.15</v>
      </c>
      <c r="J23" s="246" t="str">
        <f>'ANALISIS OCI'!AC21</f>
        <v>Moderado</v>
      </c>
      <c r="K23" s="247">
        <f t="shared" si="9"/>
        <v>0.15</v>
      </c>
      <c r="L23" s="248">
        <f t="shared" si="6"/>
        <v>0.15</v>
      </c>
      <c r="M23" s="262"/>
      <c r="N23" s="263">
        <f t="shared" si="1"/>
        <v>0</v>
      </c>
      <c r="O23" s="264"/>
      <c r="P23" s="265">
        <f t="shared" si="2"/>
        <v>0</v>
      </c>
      <c r="Q23" s="251"/>
      <c r="R23" s="252">
        <f t="shared" si="10"/>
        <v>44196</v>
      </c>
      <c r="S23" s="266">
        <f t="shared" si="3"/>
        <v>0.3</v>
      </c>
      <c r="T23" s="191">
        <f t="shared" si="7"/>
        <v>0.44999999999999996</v>
      </c>
      <c r="U23" s="206" t="str">
        <f t="shared" si="8"/>
        <v>Incluir en ciclos posteriores de auditoría</v>
      </c>
    </row>
    <row r="24" spans="2:27" ht="43.5" customHeight="1" thickBot="1" x14ac:dyDescent="0.35">
      <c r="B24" s="419" t="s">
        <v>465</v>
      </c>
      <c r="C24" s="259">
        <f>+'ANALISIS OCI'!X22</f>
        <v>0</v>
      </c>
      <c r="D24" s="260">
        <f>+'ANALISIS OCI'!Y22</f>
        <v>0</v>
      </c>
      <c r="E24" s="260">
        <f>+'ANALISIS OCI'!Z22</f>
        <v>1</v>
      </c>
      <c r="F24" s="260">
        <f>+'ANALISIS OCI'!AA22</f>
        <v>5</v>
      </c>
      <c r="G24" s="261">
        <f t="shared" si="4"/>
        <v>6</v>
      </c>
      <c r="H24" s="249" t="str">
        <f t="shared" si="5"/>
        <v>Bajo</v>
      </c>
      <c r="I24" s="250">
        <f t="shared" si="0"/>
        <v>0.1</v>
      </c>
      <c r="J24" s="246" t="str">
        <f>'ANALISIS OCI'!AC22</f>
        <v>Bajo</v>
      </c>
      <c r="K24" s="247">
        <f t="shared" si="9"/>
        <v>0.1</v>
      </c>
      <c r="L24" s="248">
        <f t="shared" si="6"/>
        <v>0.1</v>
      </c>
      <c r="M24" s="262"/>
      <c r="N24" s="263">
        <f t="shared" si="1"/>
        <v>0</v>
      </c>
      <c r="O24" s="264"/>
      <c r="P24" s="265">
        <f t="shared" si="2"/>
        <v>0</v>
      </c>
      <c r="Q24" s="251"/>
      <c r="R24" s="252">
        <f t="shared" si="10"/>
        <v>44196</v>
      </c>
      <c r="S24" s="266">
        <f t="shared" si="3"/>
        <v>0.3</v>
      </c>
      <c r="T24" s="191">
        <f>IF(N24=100%,100%,(L24+P24+S24))</f>
        <v>0.4</v>
      </c>
      <c r="U24" s="206" t="str">
        <f t="shared" si="8"/>
        <v>Incluir en ciclos posteriores de auditoría</v>
      </c>
    </row>
    <row r="25" spans="2:27" ht="43.5" customHeight="1" thickBot="1" x14ac:dyDescent="0.35">
      <c r="B25" s="267" t="s">
        <v>659</v>
      </c>
      <c r="C25" s="259">
        <f>+'ANALISIS OCI'!X23</f>
        <v>0</v>
      </c>
      <c r="D25" s="260">
        <f>+'ANALISIS OCI'!Y23</f>
        <v>0</v>
      </c>
      <c r="E25" s="260">
        <f>+'ANALISIS OCI'!Z23</f>
        <v>0</v>
      </c>
      <c r="F25" s="260">
        <f>+'ANALISIS OCI'!AA23</f>
        <v>0</v>
      </c>
      <c r="G25" s="261">
        <f t="shared" si="4"/>
        <v>0</v>
      </c>
      <c r="H25" s="249">
        <f t="shared" si="5"/>
        <v>0</v>
      </c>
      <c r="I25" s="250">
        <f t="shared" si="0"/>
        <v>0</v>
      </c>
      <c r="J25" s="246" t="e">
        <f>'ANALISIS OCI'!AC23</f>
        <v>#DIV/0!</v>
      </c>
      <c r="K25" s="247" t="e">
        <f t="shared" si="9"/>
        <v>#DIV/0!</v>
      </c>
      <c r="L25" s="248" t="e">
        <f t="shared" si="6"/>
        <v>#DIV/0!</v>
      </c>
      <c r="M25" s="262"/>
      <c r="N25" s="263">
        <f t="shared" si="1"/>
        <v>0</v>
      </c>
      <c r="O25" s="264"/>
      <c r="P25" s="265">
        <f t="shared" si="2"/>
        <v>0</v>
      </c>
      <c r="Q25" s="251"/>
      <c r="R25" s="252">
        <f t="shared" si="10"/>
        <v>44196</v>
      </c>
      <c r="S25" s="266">
        <f t="shared" si="3"/>
        <v>0.3</v>
      </c>
      <c r="T25" s="191" t="e">
        <f t="shared" si="7"/>
        <v>#DIV/0!</v>
      </c>
      <c r="U25" s="206" t="e">
        <f t="shared" si="8"/>
        <v>#DIV/0!</v>
      </c>
    </row>
    <row r="26" spans="2:27" ht="17.25" thickBot="1" x14ac:dyDescent="0.35">
      <c r="B26" s="267" t="s">
        <v>660</v>
      </c>
      <c r="C26" s="259">
        <f>+'ANALISIS OCI'!X24</f>
        <v>0</v>
      </c>
      <c r="D26" s="260">
        <f>+'ANALISIS OCI'!Y24</f>
        <v>0</v>
      </c>
      <c r="E26" s="260">
        <f>+'ANALISIS OCI'!Z24</f>
        <v>0</v>
      </c>
      <c r="F26" s="260">
        <f>+'ANALISIS OCI'!AA24</f>
        <v>0</v>
      </c>
      <c r="G26" s="261">
        <f t="shared" si="4"/>
        <v>0</v>
      </c>
      <c r="H26" s="249">
        <f t="shared" si="5"/>
        <v>0</v>
      </c>
      <c r="I26" s="250">
        <f t="shared" si="0"/>
        <v>0</v>
      </c>
      <c r="J26" s="246" t="e">
        <f>'ANALISIS OCI'!AC24</f>
        <v>#DIV/0!</v>
      </c>
      <c r="K26" s="247" t="e">
        <f t="shared" si="9"/>
        <v>#DIV/0!</v>
      </c>
      <c r="L26" s="248" t="e">
        <f t="shared" si="6"/>
        <v>#DIV/0!</v>
      </c>
      <c r="M26" s="262"/>
      <c r="N26" s="263">
        <f t="shared" si="1"/>
        <v>0</v>
      </c>
      <c r="O26" s="264"/>
      <c r="P26" s="265">
        <f t="shared" si="2"/>
        <v>0</v>
      </c>
      <c r="Q26" s="251"/>
      <c r="R26" s="252">
        <f t="shared" si="10"/>
        <v>44196</v>
      </c>
      <c r="S26" s="266">
        <f t="shared" si="3"/>
        <v>0.3</v>
      </c>
      <c r="T26" s="191" t="e">
        <f t="shared" si="7"/>
        <v>#DIV/0!</v>
      </c>
      <c r="U26" s="206" t="e">
        <f t="shared" si="8"/>
        <v>#DIV/0!</v>
      </c>
    </row>
    <row r="27" spans="2:27" ht="17.25" thickBot="1" x14ac:dyDescent="0.35">
      <c r="B27" s="267" t="s">
        <v>661</v>
      </c>
      <c r="C27" s="259">
        <f>+'ANALISIS OCI'!X25</f>
        <v>0</v>
      </c>
      <c r="D27" s="260">
        <f>+'ANALISIS OCI'!Y25</f>
        <v>0</v>
      </c>
      <c r="E27" s="260">
        <f>+'ANALISIS OCI'!Z25</f>
        <v>0</v>
      </c>
      <c r="F27" s="260">
        <f>+'ANALISIS OCI'!AA25</f>
        <v>0</v>
      </c>
      <c r="G27" s="261">
        <f t="shared" si="4"/>
        <v>0</v>
      </c>
      <c r="H27" s="249">
        <f t="shared" si="5"/>
        <v>0</v>
      </c>
      <c r="I27" s="250">
        <f t="shared" si="0"/>
        <v>0</v>
      </c>
      <c r="J27" s="246" t="e">
        <f>'ANALISIS OCI'!AC25</f>
        <v>#DIV/0!</v>
      </c>
      <c r="K27" s="247" t="e">
        <f t="shared" si="9"/>
        <v>#DIV/0!</v>
      </c>
      <c r="L27" s="248" t="e">
        <f t="shared" si="6"/>
        <v>#DIV/0!</v>
      </c>
      <c r="M27" s="262"/>
      <c r="N27" s="263">
        <f t="shared" si="1"/>
        <v>0</v>
      </c>
      <c r="O27" s="264"/>
      <c r="P27" s="265">
        <f t="shared" si="2"/>
        <v>0</v>
      </c>
      <c r="Q27" s="251"/>
      <c r="R27" s="252">
        <f t="shared" si="10"/>
        <v>44196</v>
      </c>
      <c r="S27" s="266">
        <f t="shared" si="3"/>
        <v>0.3</v>
      </c>
      <c r="T27" s="191" t="e">
        <f t="shared" si="7"/>
        <v>#DIV/0!</v>
      </c>
      <c r="U27" s="206" t="e">
        <f t="shared" si="8"/>
        <v>#DIV/0!</v>
      </c>
    </row>
    <row r="28" spans="2:27" ht="17.25" thickBot="1" x14ac:dyDescent="0.35">
      <c r="B28" s="267" t="s">
        <v>662</v>
      </c>
      <c r="C28" s="259">
        <f>+'ANALISIS OCI'!X26</f>
        <v>0</v>
      </c>
      <c r="D28" s="260">
        <f>+'ANALISIS OCI'!Y26</f>
        <v>0</v>
      </c>
      <c r="E28" s="260">
        <f>+'ANALISIS OCI'!Z26</f>
        <v>0</v>
      </c>
      <c r="F28" s="260">
        <f>+'ANALISIS OCI'!AA26</f>
        <v>0</v>
      </c>
      <c r="G28" s="261">
        <f t="shared" si="4"/>
        <v>0</v>
      </c>
      <c r="H28" s="249">
        <f t="shared" si="5"/>
        <v>0</v>
      </c>
      <c r="I28" s="250">
        <f t="shared" si="0"/>
        <v>0</v>
      </c>
      <c r="J28" s="246" t="e">
        <f>'ANALISIS OCI'!AC26</f>
        <v>#DIV/0!</v>
      </c>
      <c r="K28" s="247" t="e">
        <f t="shared" si="9"/>
        <v>#DIV/0!</v>
      </c>
      <c r="L28" s="248" t="e">
        <f t="shared" si="6"/>
        <v>#DIV/0!</v>
      </c>
      <c r="M28" s="262"/>
      <c r="N28" s="263">
        <f t="shared" si="1"/>
        <v>0</v>
      </c>
      <c r="O28" s="264"/>
      <c r="P28" s="265">
        <f t="shared" si="2"/>
        <v>0</v>
      </c>
      <c r="Q28" s="251"/>
      <c r="R28" s="252">
        <f t="shared" si="10"/>
        <v>44196</v>
      </c>
      <c r="S28" s="266">
        <f t="shared" si="3"/>
        <v>0.3</v>
      </c>
      <c r="T28" s="191" t="e">
        <f t="shared" si="7"/>
        <v>#DIV/0!</v>
      </c>
      <c r="U28" s="206" t="e">
        <f t="shared" si="8"/>
        <v>#DIV/0!</v>
      </c>
    </row>
    <row r="29" spans="2:27" ht="17.25" thickBot="1" x14ac:dyDescent="0.35">
      <c r="B29" s="267" t="s">
        <v>663</v>
      </c>
      <c r="C29" s="259">
        <f>+'ANALISIS OCI'!X27</f>
        <v>0</v>
      </c>
      <c r="D29" s="260">
        <f>+'ANALISIS OCI'!Y27</f>
        <v>0</v>
      </c>
      <c r="E29" s="260">
        <f>+'ANALISIS OCI'!Z27</f>
        <v>0</v>
      </c>
      <c r="F29" s="260">
        <f>+'ANALISIS OCI'!AA27</f>
        <v>0</v>
      </c>
      <c r="G29" s="261">
        <f t="shared" si="4"/>
        <v>0</v>
      </c>
      <c r="H29" s="249">
        <f t="shared" si="5"/>
        <v>0</v>
      </c>
      <c r="I29" s="250">
        <f t="shared" si="0"/>
        <v>0</v>
      </c>
      <c r="J29" s="246" t="e">
        <f>'ANALISIS OCI'!AC27</f>
        <v>#DIV/0!</v>
      </c>
      <c r="K29" s="247" t="e">
        <f t="shared" si="9"/>
        <v>#DIV/0!</v>
      </c>
      <c r="L29" s="248" t="e">
        <f t="shared" si="6"/>
        <v>#DIV/0!</v>
      </c>
      <c r="M29" s="262"/>
      <c r="N29" s="263">
        <f t="shared" si="1"/>
        <v>0</v>
      </c>
      <c r="O29" s="264"/>
      <c r="P29" s="265">
        <f t="shared" si="2"/>
        <v>0</v>
      </c>
      <c r="Q29" s="251"/>
      <c r="R29" s="252">
        <f t="shared" si="10"/>
        <v>44196</v>
      </c>
      <c r="S29" s="266">
        <f t="shared" si="3"/>
        <v>0.3</v>
      </c>
      <c r="T29" s="191" t="e">
        <f t="shared" si="7"/>
        <v>#DIV/0!</v>
      </c>
      <c r="U29" s="206" t="e">
        <f t="shared" si="8"/>
        <v>#DIV/0!</v>
      </c>
    </row>
    <row r="30" spans="2:27" ht="43.5" customHeight="1" thickBot="1" x14ac:dyDescent="0.35">
      <c r="B30" s="267" t="s">
        <v>20</v>
      </c>
      <c r="C30" s="259">
        <f>+'ANALISIS OCI'!X28</f>
        <v>0</v>
      </c>
      <c r="D30" s="260">
        <f>+'ANALISIS OCI'!Y28</f>
        <v>0</v>
      </c>
      <c r="E30" s="260">
        <f>+'ANALISIS OCI'!Z28</f>
        <v>0</v>
      </c>
      <c r="F30" s="260">
        <f>+'ANALISIS OCI'!AA28</f>
        <v>0</v>
      </c>
      <c r="G30" s="261">
        <f t="shared" si="4"/>
        <v>0</v>
      </c>
      <c r="H30" s="249">
        <f t="shared" si="5"/>
        <v>0</v>
      </c>
      <c r="I30" s="250">
        <f t="shared" si="0"/>
        <v>0</v>
      </c>
      <c r="J30" s="246" t="e">
        <f>'ANALISIS OCI'!AC28</f>
        <v>#DIV/0!</v>
      </c>
      <c r="K30" s="247" t="e">
        <f t="shared" si="9"/>
        <v>#DIV/0!</v>
      </c>
      <c r="L30" s="248" t="e">
        <f t="shared" si="6"/>
        <v>#DIV/0!</v>
      </c>
      <c r="M30" s="262"/>
      <c r="N30" s="263">
        <f t="shared" si="1"/>
        <v>0</v>
      </c>
      <c r="O30" s="264"/>
      <c r="P30" s="265">
        <f t="shared" si="2"/>
        <v>0</v>
      </c>
      <c r="Q30" s="251"/>
      <c r="R30" s="252">
        <f t="shared" si="10"/>
        <v>44196</v>
      </c>
      <c r="S30" s="266">
        <f t="shared" si="3"/>
        <v>0.3</v>
      </c>
      <c r="T30" s="191" t="e">
        <f t="shared" si="7"/>
        <v>#DIV/0!</v>
      </c>
      <c r="U30" s="206" t="e">
        <f t="shared" si="8"/>
        <v>#DIV/0!</v>
      </c>
    </row>
    <row r="31" spans="2:27" ht="43.5" customHeight="1" thickBot="1" x14ac:dyDescent="0.35">
      <c r="B31" s="267" t="s">
        <v>21</v>
      </c>
      <c r="C31" s="259">
        <f>+'ANALISIS OCI'!X29</f>
        <v>0</v>
      </c>
      <c r="D31" s="260">
        <f>+'ANALISIS OCI'!Y29</f>
        <v>0</v>
      </c>
      <c r="E31" s="260">
        <f>+'ANALISIS OCI'!Z29</f>
        <v>0</v>
      </c>
      <c r="F31" s="260">
        <f>+'ANALISIS OCI'!AA29</f>
        <v>0</v>
      </c>
      <c r="G31" s="261">
        <f t="shared" si="4"/>
        <v>0</v>
      </c>
      <c r="H31" s="249">
        <f t="shared" si="5"/>
        <v>0</v>
      </c>
      <c r="I31" s="250">
        <f t="shared" si="0"/>
        <v>0</v>
      </c>
      <c r="J31" s="246" t="e">
        <f>'ANALISIS OCI'!AC29</f>
        <v>#DIV/0!</v>
      </c>
      <c r="K31" s="247" t="e">
        <f t="shared" si="9"/>
        <v>#DIV/0!</v>
      </c>
      <c r="L31" s="248" t="e">
        <f t="shared" si="6"/>
        <v>#DIV/0!</v>
      </c>
      <c r="M31" s="262"/>
      <c r="N31" s="263">
        <f t="shared" si="1"/>
        <v>0</v>
      </c>
      <c r="O31" s="264"/>
      <c r="P31" s="265">
        <f t="shared" si="2"/>
        <v>0</v>
      </c>
      <c r="Q31" s="251"/>
      <c r="R31" s="252">
        <f t="shared" si="10"/>
        <v>44196</v>
      </c>
      <c r="S31" s="266">
        <f t="shared" si="3"/>
        <v>0.3</v>
      </c>
      <c r="T31" s="191" t="e">
        <f t="shared" si="7"/>
        <v>#DIV/0!</v>
      </c>
      <c r="U31" s="206" t="e">
        <f t="shared" si="8"/>
        <v>#DIV/0!</v>
      </c>
    </row>
    <row r="32" spans="2:27" ht="43.5" customHeight="1" thickBot="1" x14ac:dyDescent="0.35">
      <c r="B32" s="267" t="s">
        <v>22</v>
      </c>
      <c r="C32" s="259">
        <f>+'ANALISIS OCI'!X30</f>
        <v>0</v>
      </c>
      <c r="D32" s="260">
        <f>+'ANALISIS OCI'!Y30</f>
        <v>0</v>
      </c>
      <c r="E32" s="260">
        <f>+'ANALISIS OCI'!Z30</f>
        <v>0</v>
      </c>
      <c r="F32" s="260">
        <f>+'ANALISIS OCI'!AA30</f>
        <v>0</v>
      </c>
      <c r="G32" s="261">
        <f t="shared" si="4"/>
        <v>0</v>
      </c>
      <c r="H32" s="249">
        <f t="shared" si="5"/>
        <v>0</v>
      </c>
      <c r="I32" s="250">
        <f t="shared" si="0"/>
        <v>0</v>
      </c>
      <c r="J32" s="246" t="e">
        <f>'ANALISIS OCI'!AC30</f>
        <v>#DIV/0!</v>
      </c>
      <c r="K32" s="247" t="e">
        <f t="shared" si="9"/>
        <v>#DIV/0!</v>
      </c>
      <c r="L32" s="248" t="e">
        <f t="shared" si="6"/>
        <v>#DIV/0!</v>
      </c>
      <c r="M32" s="262"/>
      <c r="N32" s="263">
        <f t="shared" si="1"/>
        <v>0</v>
      </c>
      <c r="O32" s="264"/>
      <c r="P32" s="265">
        <f t="shared" si="2"/>
        <v>0</v>
      </c>
      <c r="Q32" s="251"/>
      <c r="R32" s="252">
        <f t="shared" si="10"/>
        <v>44196</v>
      </c>
      <c r="S32" s="266">
        <f t="shared" si="3"/>
        <v>0.3</v>
      </c>
      <c r="T32" s="191" t="e">
        <f t="shared" si="7"/>
        <v>#DIV/0!</v>
      </c>
      <c r="U32" s="206" t="e">
        <f t="shared" si="8"/>
        <v>#DIV/0!</v>
      </c>
    </row>
    <row r="33" spans="2:21" ht="43.5" customHeight="1" thickBot="1" x14ac:dyDescent="0.35">
      <c r="B33" s="267" t="s">
        <v>23</v>
      </c>
      <c r="C33" s="259">
        <f>+'ANALISIS OCI'!X31</f>
        <v>0</v>
      </c>
      <c r="D33" s="260">
        <f>+'ANALISIS OCI'!Y31</f>
        <v>0</v>
      </c>
      <c r="E33" s="260">
        <f>+'ANALISIS OCI'!Z31</f>
        <v>0</v>
      </c>
      <c r="F33" s="260">
        <f>+'ANALISIS OCI'!AA31</f>
        <v>0</v>
      </c>
      <c r="G33" s="261">
        <f t="shared" si="4"/>
        <v>0</v>
      </c>
      <c r="H33" s="249">
        <f t="shared" si="5"/>
        <v>0</v>
      </c>
      <c r="I33" s="250">
        <f t="shared" si="0"/>
        <v>0</v>
      </c>
      <c r="J33" s="246" t="e">
        <f>'ANALISIS OCI'!AC31</f>
        <v>#DIV/0!</v>
      </c>
      <c r="K33" s="247" t="e">
        <f t="shared" si="9"/>
        <v>#DIV/0!</v>
      </c>
      <c r="L33" s="248" t="e">
        <f t="shared" si="6"/>
        <v>#DIV/0!</v>
      </c>
      <c r="M33" s="262"/>
      <c r="N33" s="263">
        <f t="shared" si="1"/>
        <v>0</v>
      </c>
      <c r="O33" s="264"/>
      <c r="P33" s="265">
        <f t="shared" si="2"/>
        <v>0</v>
      </c>
      <c r="Q33" s="251"/>
      <c r="R33" s="252">
        <f t="shared" si="10"/>
        <v>44196</v>
      </c>
      <c r="S33" s="266">
        <f t="shared" si="3"/>
        <v>0.3</v>
      </c>
      <c r="T33" s="191" t="e">
        <f t="shared" si="7"/>
        <v>#DIV/0!</v>
      </c>
      <c r="U33" s="206" t="e">
        <f t="shared" si="8"/>
        <v>#DIV/0!</v>
      </c>
    </row>
    <row r="34" spans="2:21" ht="43.5" customHeight="1" thickBot="1" x14ac:dyDescent="0.35">
      <c r="B34" s="267" t="s">
        <v>24</v>
      </c>
      <c r="C34" s="259">
        <f>+'ANALISIS OCI'!X32</f>
        <v>0</v>
      </c>
      <c r="D34" s="260">
        <f>+'ANALISIS OCI'!Y32</f>
        <v>0</v>
      </c>
      <c r="E34" s="260">
        <f>+'ANALISIS OCI'!Z32</f>
        <v>0</v>
      </c>
      <c r="F34" s="260">
        <f>+'ANALISIS OCI'!AA32</f>
        <v>0</v>
      </c>
      <c r="G34" s="261">
        <f t="shared" si="4"/>
        <v>0</v>
      </c>
      <c r="H34" s="249">
        <f t="shared" si="5"/>
        <v>0</v>
      </c>
      <c r="I34" s="250">
        <f t="shared" si="0"/>
        <v>0</v>
      </c>
      <c r="J34" s="246" t="e">
        <f>'ANALISIS OCI'!AC32</f>
        <v>#DIV/0!</v>
      </c>
      <c r="K34" s="247" t="e">
        <f t="shared" si="9"/>
        <v>#DIV/0!</v>
      </c>
      <c r="L34" s="248" t="e">
        <f t="shared" si="6"/>
        <v>#DIV/0!</v>
      </c>
      <c r="M34" s="262"/>
      <c r="N34" s="263">
        <f t="shared" si="1"/>
        <v>0</v>
      </c>
      <c r="O34" s="264"/>
      <c r="P34" s="265">
        <f t="shared" si="2"/>
        <v>0</v>
      </c>
      <c r="Q34" s="251"/>
      <c r="R34" s="252">
        <f t="shared" si="10"/>
        <v>44196</v>
      </c>
      <c r="S34" s="266">
        <f t="shared" si="3"/>
        <v>0.3</v>
      </c>
      <c r="T34" s="191" t="e">
        <f t="shared" si="7"/>
        <v>#DIV/0!</v>
      </c>
      <c r="U34" s="206" t="e">
        <f t="shared" si="8"/>
        <v>#DIV/0!</v>
      </c>
    </row>
    <row r="35" spans="2:21" ht="43.5" customHeight="1" thickBot="1" x14ac:dyDescent="0.35">
      <c r="B35" s="267" t="s">
        <v>25</v>
      </c>
      <c r="C35" s="259">
        <f>+'ANALISIS OCI'!X33</f>
        <v>0</v>
      </c>
      <c r="D35" s="260">
        <f>+'ANALISIS OCI'!Y33</f>
        <v>0</v>
      </c>
      <c r="E35" s="260">
        <f>+'ANALISIS OCI'!Z33</f>
        <v>0</v>
      </c>
      <c r="F35" s="260">
        <f>+'ANALISIS OCI'!AA33</f>
        <v>0</v>
      </c>
      <c r="G35" s="261">
        <f t="shared" si="4"/>
        <v>0</v>
      </c>
      <c r="H35" s="249">
        <f t="shared" si="5"/>
        <v>0</v>
      </c>
      <c r="I35" s="250">
        <f t="shared" si="0"/>
        <v>0</v>
      </c>
      <c r="J35" s="246" t="e">
        <f>'ANALISIS OCI'!AC33</f>
        <v>#DIV/0!</v>
      </c>
      <c r="K35" s="247" t="e">
        <f t="shared" si="9"/>
        <v>#DIV/0!</v>
      </c>
      <c r="L35" s="248" t="e">
        <f t="shared" si="6"/>
        <v>#DIV/0!</v>
      </c>
      <c r="M35" s="262"/>
      <c r="N35" s="263">
        <f t="shared" si="1"/>
        <v>0</v>
      </c>
      <c r="O35" s="264"/>
      <c r="P35" s="265">
        <f t="shared" si="2"/>
        <v>0</v>
      </c>
      <c r="Q35" s="251"/>
      <c r="R35" s="252">
        <f t="shared" si="10"/>
        <v>44196</v>
      </c>
      <c r="S35" s="266">
        <f t="shared" si="3"/>
        <v>0.3</v>
      </c>
      <c r="T35" s="191" t="e">
        <f t="shared" si="7"/>
        <v>#DIV/0!</v>
      </c>
      <c r="U35" s="206" t="e">
        <f t="shared" si="8"/>
        <v>#DIV/0!</v>
      </c>
    </row>
    <row r="36" spans="2:21" ht="43.5" customHeight="1" thickBot="1" x14ac:dyDescent="0.35">
      <c r="B36" s="267" t="s">
        <v>26</v>
      </c>
      <c r="C36" s="259">
        <f>+'ANALISIS OCI'!X34</f>
        <v>0</v>
      </c>
      <c r="D36" s="260">
        <f>+'ANALISIS OCI'!Y34</f>
        <v>0</v>
      </c>
      <c r="E36" s="260">
        <f>+'ANALISIS OCI'!Z34</f>
        <v>0</v>
      </c>
      <c r="F36" s="260">
        <f>+'ANALISIS OCI'!AA34</f>
        <v>0</v>
      </c>
      <c r="G36" s="261">
        <f t="shared" si="4"/>
        <v>0</v>
      </c>
      <c r="H36" s="249">
        <f t="shared" si="5"/>
        <v>0</v>
      </c>
      <c r="I36" s="250">
        <f t="shared" si="0"/>
        <v>0</v>
      </c>
      <c r="J36" s="246" t="e">
        <f>'ANALISIS OCI'!AC34</f>
        <v>#DIV/0!</v>
      </c>
      <c r="K36" s="247" t="e">
        <f t="shared" si="9"/>
        <v>#DIV/0!</v>
      </c>
      <c r="L36" s="248" t="e">
        <f t="shared" si="6"/>
        <v>#DIV/0!</v>
      </c>
      <c r="M36" s="262"/>
      <c r="N36" s="263">
        <f t="shared" si="1"/>
        <v>0</v>
      </c>
      <c r="O36" s="264"/>
      <c r="P36" s="265">
        <f t="shared" si="2"/>
        <v>0</v>
      </c>
      <c r="Q36" s="251"/>
      <c r="R36" s="252">
        <f t="shared" si="10"/>
        <v>44196</v>
      </c>
      <c r="S36" s="266">
        <f t="shared" si="3"/>
        <v>0.3</v>
      </c>
      <c r="T36" s="191" t="e">
        <f t="shared" si="7"/>
        <v>#DIV/0!</v>
      </c>
      <c r="U36" s="206" t="e">
        <f t="shared" si="8"/>
        <v>#DIV/0!</v>
      </c>
    </row>
    <row r="37" spans="2:21" ht="43.5" customHeight="1" thickBot="1" x14ac:dyDescent="0.35">
      <c r="B37" s="267" t="s">
        <v>290</v>
      </c>
      <c r="C37" s="259">
        <f>+'ANALISIS OCI'!X35</f>
        <v>0</v>
      </c>
      <c r="D37" s="260">
        <f>+'ANALISIS OCI'!Y35</f>
        <v>0</v>
      </c>
      <c r="E37" s="260">
        <f>+'ANALISIS OCI'!Z35</f>
        <v>0</v>
      </c>
      <c r="F37" s="260">
        <f>+'ANALISIS OCI'!AA35</f>
        <v>0</v>
      </c>
      <c r="G37" s="261">
        <f t="shared" si="4"/>
        <v>0</v>
      </c>
      <c r="H37" s="249">
        <f t="shared" si="5"/>
        <v>0</v>
      </c>
      <c r="I37" s="250">
        <f t="shared" si="0"/>
        <v>0</v>
      </c>
      <c r="J37" s="246" t="e">
        <f>'ANALISIS OCI'!AC35</f>
        <v>#DIV/0!</v>
      </c>
      <c r="K37" s="247" t="e">
        <f t="shared" si="9"/>
        <v>#DIV/0!</v>
      </c>
      <c r="L37" s="248" t="e">
        <f t="shared" si="6"/>
        <v>#DIV/0!</v>
      </c>
      <c r="M37" s="262"/>
      <c r="N37" s="263">
        <f t="shared" si="1"/>
        <v>0</v>
      </c>
      <c r="O37" s="264"/>
      <c r="P37" s="265">
        <f t="shared" si="2"/>
        <v>0</v>
      </c>
      <c r="Q37" s="251"/>
      <c r="R37" s="252">
        <f t="shared" si="10"/>
        <v>44196</v>
      </c>
      <c r="S37" s="266">
        <f t="shared" si="3"/>
        <v>0.3</v>
      </c>
      <c r="T37" s="191" t="e">
        <f t="shared" si="7"/>
        <v>#DIV/0!</v>
      </c>
      <c r="U37" s="206" t="e">
        <f t="shared" si="8"/>
        <v>#DIV/0!</v>
      </c>
    </row>
    <row r="38" spans="2:21" ht="43.5" customHeight="1" thickBot="1" x14ac:dyDescent="0.35">
      <c r="B38" s="267" t="s">
        <v>291</v>
      </c>
      <c r="C38" s="259">
        <f>+'ANALISIS OCI'!X36</f>
        <v>0</v>
      </c>
      <c r="D38" s="260">
        <f>+'ANALISIS OCI'!Y36</f>
        <v>0</v>
      </c>
      <c r="E38" s="260">
        <f>+'ANALISIS OCI'!Z36</f>
        <v>0</v>
      </c>
      <c r="F38" s="260">
        <f>+'ANALISIS OCI'!AA36</f>
        <v>0</v>
      </c>
      <c r="G38" s="261">
        <f t="shared" si="4"/>
        <v>0</v>
      </c>
      <c r="H38" s="249">
        <f t="shared" si="5"/>
        <v>0</v>
      </c>
      <c r="I38" s="250">
        <f t="shared" si="0"/>
        <v>0</v>
      </c>
      <c r="J38" s="246" t="e">
        <f>'ANALISIS OCI'!AC36</f>
        <v>#DIV/0!</v>
      </c>
      <c r="K38" s="247" t="e">
        <f t="shared" si="9"/>
        <v>#DIV/0!</v>
      </c>
      <c r="L38" s="248" t="e">
        <f t="shared" si="6"/>
        <v>#DIV/0!</v>
      </c>
      <c r="M38" s="262"/>
      <c r="N38" s="263">
        <f t="shared" si="1"/>
        <v>0</v>
      </c>
      <c r="O38" s="264"/>
      <c r="P38" s="265">
        <f t="shared" si="2"/>
        <v>0</v>
      </c>
      <c r="Q38" s="251"/>
      <c r="R38" s="252">
        <f t="shared" si="10"/>
        <v>44196</v>
      </c>
      <c r="S38" s="266">
        <f t="shared" si="3"/>
        <v>0.3</v>
      </c>
      <c r="T38" s="191" t="e">
        <f t="shared" si="7"/>
        <v>#DIV/0!</v>
      </c>
      <c r="U38" s="206" t="e">
        <f t="shared" si="8"/>
        <v>#DIV/0!</v>
      </c>
    </row>
    <row r="39" spans="2:21" ht="43.5" customHeight="1" thickBot="1" x14ac:dyDescent="0.35">
      <c r="B39" s="267" t="s">
        <v>292</v>
      </c>
      <c r="C39" s="259">
        <f>+'ANALISIS OCI'!X37</f>
        <v>0</v>
      </c>
      <c r="D39" s="260">
        <f>+'ANALISIS OCI'!Y37</f>
        <v>0</v>
      </c>
      <c r="E39" s="260">
        <f>+'ANALISIS OCI'!Z37</f>
        <v>0</v>
      </c>
      <c r="F39" s="260">
        <f>+'ANALISIS OCI'!AA37</f>
        <v>0</v>
      </c>
      <c r="G39" s="261">
        <f t="shared" si="4"/>
        <v>0</v>
      </c>
      <c r="H39" s="249">
        <f t="shared" si="5"/>
        <v>0</v>
      </c>
      <c r="I39" s="250">
        <f t="shared" si="0"/>
        <v>0</v>
      </c>
      <c r="J39" s="246" t="e">
        <f>'ANALISIS OCI'!AC37</f>
        <v>#DIV/0!</v>
      </c>
      <c r="K39" s="247" t="e">
        <f t="shared" si="9"/>
        <v>#DIV/0!</v>
      </c>
      <c r="L39" s="248" t="e">
        <f t="shared" si="6"/>
        <v>#DIV/0!</v>
      </c>
      <c r="M39" s="262"/>
      <c r="N39" s="263">
        <f t="shared" si="1"/>
        <v>0</v>
      </c>
      <c r="O39" s="264"/>
      <c r="P39" s="265">
        <f t="shared" si="2"/>
        <v>0</v>
      </c>
      <c r="Q39" s="251"/>
      <c r="R39" s="252">
        <f t="shared" si="10"/>
        <v>44196</v>
      </c>
      <c r="S39" s="266">
        <f t="shared" si="3"/>
        <v>0.3</v>
      </c>
      <c r="T39" s="191" t="e">
        <f t="shared" si="7"/>
        <v>#DIV/0!</v>
      </c>
      <c r="U39" s="206" t="e">
        <f t="shared" si="8"/>
        <v>#DIV/0!</v>
      </c>
    </row>
    <row r="40" spans="2:21" ht="43.5" customHeight="1" thickBot="1" x14ac:dyDescent="0.35">
      <c r="B40" s="267" t="s">
        <v>293</v>
      </c>
      <c r="C40" s="259">
        <f>+'ANALISIS OCI'!X38</f>
        <v>0</v>
      </c>
      <c r="D40" s="260">
        <f>+'ANALISIS OCI'!Y38</f>
        <v>0</v>
      </c>
      <c r="E40" s="260">
        <f>+'ANALISIS OCI'!Z38</f>
        <v>0</v>
      </c>
      <c r="F40" s="260">
        <f>+'ANALISIS OCI'!AA38</f>
        <v>0</v>
      </c>
      <c r="G40" s="261">
        <f t="shared" si="4"/>
        <v>0</v>
      </c>
      <c r="H40" s="249">
        <f t="shared" si="5"/>
        <v>0</v>
      </c>
      <c r="I40" s="250">
        <f t="shared" si="0"/>
        <v>0</v>
      </c>
      <c r="J40" s="246" t="e">
        <f>'ANALISIS OCI'!AC38</f>
        <v>#DIV/0!</v>
      </c>
      <c r="K40" s="247" t="e">
        <f t="shared" si="9"/>
        <v>#DIV/0!</v>
      </c>
      <c r="L40" s="248" t="e">
        <f t="shared" si="6"/>
        <v>#DIV/0!</v>
      </c>
      <c r="M40" s="262"/>
      <c r="N40" s="263">
        <f t="shared" si="1"/>
        <v>0</v>
      </c>
      <c r="O40" s="264"/>
      <c r="P40" s="265">
        <f t="shared" si="2"/>
        <v>0</v>
      </c>
      <c r="Q40" s="251"/>
      <c r="R40" s="252">
        <f t="shared" si="10"/>
        <v>44196</v>
      </c>
      <c r="S40" s="266">
        <f t="shared" si="3"/>
        <v>0.3</v>
      </c>
      <c r="T40" s="191" t="e">
        <f t="shared" si="7"/>
        <v>#DIV/0!</v>
      </c>
      <c r="U40" s="206" t="e">
        <f t="shared" si="8"/>
        <v>#DIV/0!</v>
      </c>
    </row>
    <row r="41" spans="2:21" ht="43.5" customHeight="1" thickBot="1" x14ac:dyDescent="0.35">
      <c r="B41" s="267" t="s">
        <v>294</v>
      </c>
      <c r="C41" s="259">
        <f>+'ANALISIS OCI'!X39</f>
        <v>0</v>
      </c>
      <c r="D41" s="260">
        <f>+'ANALISIS OCI'!Y39</f>
        <v>0</v>
      </c>
      <c r="E41" s="260">
        <f>+'ANALISIS OCI'!Z39</f>
        <v>0</v>
      </c>
      <c r="F41" s="260">
        <f>+'ANALISIS OCI'!AA39</f>
        <v>0</v>
      </c>
      <c r="G41" s="261">
        <f t="shared" si="4"/>
        <v>0</v>
      </c>
      <c r="H41" s="249">
        <f t="shared" si="5"/>
        <v>0</v>
      </c>
      <c r="I41" s="250">
        <f t="shared" si="0"/>
        <v>0</v>
      </c>
      <c r="J41" s="246" t="e">
        <f>'ANALISIS OCI'!AC39</f>
        <v>#DIV/0!</v>
      </c>
      <c r="K41" s="247" t="e">
        <f t="shared" si="9"/>
        <v>#DIV/0!</v>
      </c>
      <c r="L41" s="248" t="e">
        <f t="shared" si="6"/>
        <v>#DIV/0!</v>
      </c>
      <c r="M41" s="262"/>
      <c r="N41" s="263">
        <f t="shared" si="1"/>
        <v>0</v>
      </c>
      <c r="O41" s="264"/>
      <c r="P41" s="265">
        <f t="shared" si="2"/>
        <v>0</v>
      </c>
      <c r="Q41" s="251"/>
      <c r="R41" s="252">
        <f t="shared" si="10"/>
        <v>44196</v>
      </c>
      <c r="S41" s="266">
        <f t="shared" si="3"/>
        <v>0.3</v>
      </c>
      <c r="T41" s="191" t="e">
        <f t="shared" si="7"/>
        <v>#DIV/0!</v>
      </c>
      <c r="U41" s="206" t="e">
        <f t="shared" si="8"/>
        <v>#DIV/0!</v>
      </c>
    </row>
    <row r="42" spans="2:21" ht="43.5" customHeight="1" thickBot="1" x14ac:dyDescent="0.35">
      <c r="B42" s="267" t="s">
        <v>295</v>
      </c>
      <c r="C42" s="259">
        <f>+'ANALISIS OCI'!X40</f>
        <v>0</v>
      </c>
      <c r="D42" s="260">
        <f>+'ANALISIS OCI'!Y40</f>
        <v>0</v>
      </c>
      <c r="E42" s="260">
        <f>+'ANALISIS OCI'!Z40</f>
        <v>0</v>
      </c>
      <c r="F42" s="260">
        <f>+'ANALISIS OCI'!AA40</f>
        <v>0</v>
      </c>
      <c r="G42" s="261">
        <f t="shared" si="4"/>
        <v>0</v>
      </c>
      <c r="H42" s="249">
        <f t="shared" si="5"/>
        <v>0</v>
      </c>
      <c r="I42" s="250">
        <f t="shared" si="0"/>
        <v>0</v>
      </c>
      <c r="J42" s="246" t="e">
        <f>'ANALISIS OCI'!AC40</f>
        <v>#DIV/0!</v>
      </c>
      <c r="K42" s="247" t="e">
        <f t="shared" si="9"/>
        <v>#DIV/0!</v>
      </c>
      <c r="L42" s="248" t="e">
        <f t="shared" si="6"/>
        <v>#DIV/0!</v>
      </c>
      <c r="M42" s="262"/>
      <c r="N42" s="263">
        <f t="shared" si="1"/>
        <v>0</v>
      </c>
      <c r="O42" s="264"/>
      <c r="P42" s="265">
        <f t="shared" si="2"/>
        <v>0</v>
      </c>
      <c r="Q42" s="251"/>
      <c r="R42" s="252">
        <f t="shared" si="10"/>
        <v>44196</v>
      </c>
      <c r="S42" s="266">
        <f t="shared" si="3"/>
        <v>0.3</v>
      </c>
      <c r="T42" s="191" t="e">
        <f t="shared" si="7"/>
        <v>#DIV/0!</v>
      </c>
      <c r="U42" s="206" t="e">
        <f t="shared" si="8"/>
        <v>#DIV/0!</v>
      </c>
    </row>
    <row r="43" spans="2:21" ht="43.5" customHeight="1" thickBot="1" x14ac:dyDescent="0.35">
      <c r="B43" s="267" t="s">
        <v>296</v>
      </c>
      <c r="C43" s="259">
        <f>+'ANALISIS OCI'!X41</f>
        <v>0</v>
      </c>
      <c r="D43" s="260">
        <f>+'ANALISIS OCI'!Y41</f>
        <v>0</v>
      </c>
      <c r="E43" s="260">
        <f>+'ANALISIS OCI'!Z41</f>
        <v>0</v>
      </c>
      <c r="F43" s="260">
        <f>+'ANALISIS OCI'!AA41</f>
        <v>0</v>
      </c>
      <c r="G43" s="261">
        <f t="shared" si="4"/>
        <v>0</v>
      </c>
      <c r="H43" s="249">
        <f t="shared" si="5"/>
        <v>0</v>
      </c>
      <c r="I43" s="250">
        <f t="shared" si="0"/>
        <v>0</v>
      </c>
      <c r="J43" s="246" t="e">
        <f>'ANALISIS OCI'!AC41</f>
        <v>#DIV/0!</v>
      </c>
      <c r="K43" s="247" t="e">
        <f t="shared" si="9"/>
        <v>#DIV/0!</v>
      </c>
      <c r="L43" s="248" t="e">
        <f t="shared" si="6"/>
        <v>#DIV/0!</v>
      </c>
      <c r="M43" s="262"/>
      <c r="N43" s="263">
        <f t="shared" si="1"/>
        <v>0</v>
      </c>
      <c r="O43" s="264"/>
      <c r="P43" s="265">
        <f t="shared" si="2"/>
        <v>0</v>
      </c>
      <c r="Q43" s="251"/>
      <c r="R43" s="252">
        <f t="shared" si="10"/>
        <v>44196</v>
      </c>
      <c r="S43" s="266">
        <f t="shared" si="3"/>
        <v>0.3</v>
      </c>
      <c r="T43" s="191" t="e">
        <f t="shared" si="7"/>
        <v>#DIV/0!</v>
      </c>
      <c r="U43" s="206" t="e">
        <f t="shared" si="8"/>
        <v>#DIV/0!</v>
      </c>
    </row>
    <row r="44" spans="2:21" ht="43.5" customHeight="1" thickBot="1" x14ac:dyDescent="0.35">
      <c r="B44" s="267" t="s">
        <v>297</v>
      </c>
      <c r="C44" s="259">
        <f>+'ANALISIS OCI'!X42</f>
        <v>0</v>
      </c>
      <c r="D44" s="260">
        <f>+'ANALISIS OCI'!Y42</f>
        <v>0</v>
      </c>
      <c r="E44" s="260">
        <f>+'ANALISIS OCI'!Z42</f>
        <v>0</v>
      </c>
      <c r="F44" s="260">
        <f>+'ANALISIS OCI'!AA42</f>
        <v>0</v>
      </c>
      <c r="G44" s="261">
        <f t="shared" si="4"/>
        <v>0</v>
      </c>
      <c r="H44" s="249">
        <f t="shared" si="5"/>
        <v>0</v>
      </c>
      <c r="I44" s="250">
        <f t="shared" si="0"/>
        <v>0</v>
      </c>
      <c r="J44" s="246" t="e">
        <f>'ANALISIS OCI'!AC42</f>
        <v>#DIV/0!</v>
      </c>
      <c r="K44" s="247" t="e">
        <f t="shared" si="9"/>
        <v>#DIV/0!</v>
      </c>
      <c r="L44" s="248" t="e">
        <f t="shared" si="6"/>
        <v>#DIV/0!</v>
      </c>
      <c r="M44" s="262"/>
      <c r="N44" s="263">
        <f t="shared" si="1"/>
        <v>0</v>
      </c>
      <c r="O44" s="264"/>
      <c r="P44" s="265">
        <f t="shared" si="2"/>
        <v>0</v>
      </c>
      <c r="Q44" s="251"/>
      <c r="R44" s="252">
        <f t="shared" si="10"/>
        <v>44196</v>
      </c>
      <c r="S44" s="266">
        <f t="shared" si="3"/>
        <v>0.3</v>
      </c>
      <c r="T44" s="191" t="e">
        <f t="shared" si="7"/>
        <v>#DIV/0!</v>
      </c>
      <c r="U44" s="206" t="e">
        <f t="shared" si="8"/>
        <v>#DIV/0!</v>
      </c>
    </row>
    <row r="45" spans="2:21" ht="43.5" customHeight="1" thickBot="1" x14ac:dyDescent="0.35">
      <c r="B45" s="267" t="s">
        <v>298</v>
      </c>
      <c r="C45" s="259">
        <f>+'ANALISIS OCI'!X43</f>
        <v>0</v>
      </c>
      <c r="D45" s="260">
        <f>+'ANALISIS OCI'!Y43</f>
        <v>0</v>
      </c>
      <c r="E45" s="260">
        <f>+'ANALISIS OCI'!Z43</f>
        <v>0</v>
      </c>
      <c r="F45" s="260">
        <f>+'ANALISIS OCI'!AA43</f>
        <v>0</v>
      </c>
      <c r="G45" s="261">
        <f t="shared" si="4"/>
        <v>0</v>
      </c>
      <c r="H45" s="249">
        <f t="shared" si="5"/>
        <v>0</v>
      </c>
      <c r="I45" s="250">
        <f t="shared" si="0"/>
        <v>0</v>
      </c>
      <c r="J45" s="246" t="e">
        <f>'ANALISIS OCI'!AC43</f>
        <v>#DIV/0!</v>
      </c>
      <c r="K45" s="247" t="e">
        <f t="shared" si="9"/>
        <v>#DIV/0!</v>
      </c>
      <c r="L45" s="248" t="e">
        <f t="shared" si="6"/>
        <v>#DIV/0!</v>
      </c>
      <c r="M45" s="262"/>
      <c r="N45" s="263">
        <f t="shared" si="1"/>
        <v>0</v>
      </c>
      <c r="O45" s="264"/>
      <c r="P45" s="265">
        <f t="shared" si="2"/>
        <v>0</v>
      </c>
      <c r="Q45" s="251"/>
      <c r="R45" s="252">
        <f t="shared" si="10"/>
        <v>44196</v>
      </c>
      <c r="S45" s="266">
        <f t="shared" si="3"/>
        <v>0.3</v>
      </c>
      <c r="T45" s="191" t="e">
        <f t="shared" si="7"/>
        <v>#DIV/0!</v>
      </c>
      <c r="U45" s="206" t="e">
        <f t="shared" si="8"/>
        <v>#DIV/0!</v>
      </c>
    </row>
    <row r="46" spans="2:21" ht="43.5" customHeight="1" thickBot="1" x14ac:dyDescent="0.35">
      <c r="B46" s="270" t="s">
        <v>299</v>
      </c>
      <c r="C46" s="259">
        <f>+'ANALISIS OCI'!X44</f>
        <v>0</v>
      </c>
      <c r="D46" s="260">
        <f>+'ANALISIS OCI'!Y44</f>
        <v>0</v>
      </c>
      <c r="E46" s="260">
        <f>+'ANALISIS OCI'!Z44</f>
        <v>0</v>
      </c>
      <c r="F46" s="260">
        <f>+'ANALISIS OCI'!AA44</f>
        <v>0</v>
      </c>
      <c r="G46" s="261">
        <f t="shared" si="4"/>
        <v>0</v>
      </c>
      <c r="H46" s="249">
        <f t="shared" si="5"/>
        <v>0</v>
      </c>
      <c r="I46" s="250">
        <f t="shared" si="0"/>
        <v>0</v>
      </c>
      <c r="J46" s="246" t="e">
        <f>'ANALISIS OCI'!AC44</f>
        <v>#DIV/0!</v>
      </c>
      <c r="K46" s="247" t="e">
        <f t="shared" si="9"/>
        <v>#DIV/0!</v>
      </c>
      <c r="L46" s="248" t="e">
        <f t="shared" si="6"/>
        <v>#DIV/0!</v>
      </c>
      <c r="M46" s="262"/>
      <c r="N46" s="263">
        <f t="shared" si="1"/>
        <v>0</v>
      </c>
      <c r="O46" s="264"/>
      <c r="P46" s="265">
        <f t="shared" si="2"/>
        <v>0</v>
      </c>
      <c r="Q46" s="251"/>
      <c r="R46" s="252">
        <f t="shared" si="10"/>
        <v>44196</v>
      </c>
      <c r="S46" s="266">
        <f t="shared" si="3"/>
        <v>0.3</v>
      </c>
      <c r="T46" s="191" t="e">
        <f t="shared" si="7"/>
        <v>#DIV/0!</v>
      </c>
      <c r="U46" s="206" t="e">
        <f t="shared" si="8"/>
        <v>#DIV/0!</v>
      </c>
    </row>
    <row r="47" spans="2:21" ht="43.5" customHeight="1" thickBot="1" x14ac:dyDescent="0.35">
      <c r="B47" s="269" t="s">
        <v>300</v>
      </c>
      <c r="C47" s="259">
        <f>+'ANALISIS OCI'!X45</f>
        <v>0</v>
      </c>
      <c r="D47" s="260">
        <f>+'ANALISIS OCI'!Y45</f>
        <v>0</v>
      </c>
      <c r="E47" s="260">
        <f>+'ANALISIS OCI'!Z45</f>
        <v>0</v>
      </c>
      <c r="F47" s="260">
        <f>+'ANALISIS OCI'!AA45</f>
        <v>0</v>
      </c>
      <c r="G47" s="261">
        <f t="shared" si="4"/>
        <v>0</v>
      </c>
      <c r="H47" s="249">
        <f t="shared" si="5"/>
        <v>0</v>
      </c>
      <c r="I47" s="250">
        <f t="shared" si="0"/>
        <v>0</v>
      </c>
      <c r="J47" s="246" t="e">
        <f>'ANALISIS OCI'!AC45</f>
        <v>#DIV/0!</v>
      </c>
      <c r="K47" s="247" t="e">
        <f t="shared" si="9"/>
        <v>#DIV/0!</v>
      </c>
      <c r="L47" s="248" t="e">
        <f t="shared" si="6"/>
        <v>#DIV/0!</v>
      </c>
      <c r="M47" s="262"/>
      <c r="N47" s="263">
        <f t="shared" si="1"/>
        <v>0</v>
      </c>
      <c r="O47" s="264"/>
      <c r="P47" s="265">
        <f t="shared" si="2"/>
        <v>0</v>
      </c>
      <c r="Q47" s="251"/>
      <c r="R47" s="252">
        <f t="shared" si="10"/>
        <v>44196</v>
      </c>
      <c r="S47" s="266">
        <f t="shared" si="3"/>
        <v>0.3</v>
      </c>
      <c r="T47" s="191" t="e">
        <f t="shared" si="7"/>
        <v>#DIV/0!</v>
      </c>
      <c r="U47" s="206" t="e">
        <f t="shared" si="8"/>
        <v>#DIV/0!</v>
      </c>
    </row>
    <row r="48" spans="2:21" ht="63" customHeight="1" thickBot="1" x14ac:dyDescent="0.35">
      <c r="B48" s="269" t="s">
        <v>314</v>
      </c>
      <c r="C48" s="259">
        <f>+'ANALISIS OCI'!X46</f>
        <v>0</v>
      </c>
      <c r="D48" s="260">
        <f>+'ANALISIS OCI'!Y46</f>
        <v>0</v>
      </c>
      <c r="E48" s="260">
        <f>+'ANALISIS OCI'!Z46</f>
        <v>0</v>
      </c>
      <c r="F48" s="260">
        <f>+'ANALISIS OCI'!AA46</f>
        <v>0</v>
      </c>
      <c r="G48" s="261">
        <f t="shared" ref="G48:G92" si="11">SUM(C48:F48)</f>
        <v>0</v>
      </c>
      <c r="H48" s="249">
        <f t="shared" ref="H48:H92" si="12">IF(G48=0,0,IF(($C48/$G48)&gt;=0.2,"Extremo",+IF((($C48/G48)+($D48/$G48))&gt;=0.3,"Alto",+IF((($C48/$G48)+($D48/$G48)+($E48/$G48))&gt;=0.4,"Moderado",+IF(($C48/$G48)+($D48/$G48)+($E48/$G48)+($F48/$G48)&gt;=0.5,"Bajo",IF(G48=0,0))))))</f>
        <v>0</v>
      </c>
      <c r="I48" s="250">
        <f t="shared" ref="I48:I92" si="13">(IF(H48="Extremo",50%,(IF(H48="Alto",40%,IF(H48="Moderado",15%,IF(H48="Bajo",10%,0))))))</f>
        <v>0</v>
      </c>
      <c r="J48" s="246" t="e">
        <f>'ANALISIS OCI'!AC46</f>
        <v>#DIV/0!</v>
      </c>
      <c r="K48" s="247" t="e">
        <f t="shared" si="9"/>
        <v>#DIV/0!</v>
      </c>
      <c r="L48" s="248" t="e">
        <f t="shared" si="6"/>
        <v>#DIV/0!</v>
      </c>
      <c r="M48" s="262"/>
      <c r="N48" s="263">
        <f t="shared" ref="N48:N92" si="14">IF(M48="Si",100%,IF(M48="No",0,0))</f>
        <v>0</v>
      </c>
      <c r="O48" s="264"/>
      <c r="P48" s="265">
        <f t="shared" ref="P48:P92" si="15">IF(O48="Si",20%,IF(O48="No",0,0))</f>
        <v>0</v>
      </c>
      <c r="Q48" s="251"/>
      <c r="R48" s="252">
        <f t="shared" ref="R48:R92" si="16">+$C$6-Q48</f>
        <v>44196</v>
      </c>
      <c r="S48" s="266">
        <f t="shared" ref="S48:S92" si="17">IF(R48&gt;=1080,30%,IF(R48&gt;=720,20%,IF(R48&gt;=360,10%,IF(R48&lt;=359,0%,0))))</f>
        <v>0.3</v>
      </c>
      <c r="T48" s="191" t="e">
        <f t="shared" ref="T48:T92" si="18">IF(N48=100%,100%,(L48+P48+S48))</f>
        <v>#DIV/0!</v>
      </c>
      <c r="U48" s="206" t="e">
        <f t="shared" si="8"/>
        <v>#DIV/0!</v>
      </c>
    </row>
    <row r="49" spans="2:21" ht="63" customHeight="1" thickBot="1" x14ac:dyDescent="0.35">
      <c r="B49" s="269" t="s">
        <v>315</v>
      </c>
      <c r="C49" s="259">
        <f>+'ANALISIS OCI'!X47</f>
        <v>0</v>
      </c>
      <c r="D49" s="260">
        <f>+'ANALISIS OCI'!Y47</f>
        <v>0</v>
      </c>
      <c r="E49" s="260">
        <f>+'ANALISIS OCI'!Z47</f>
        <v>0</v>
      </c>
      <c r="F49" s="260">
        <f>+'ANALISIS OCI'!AA47</f>
        <v>0</v>
      </c>
      <c r="G49" s="261">
        <f t="shared" si="11"/>
        <v>0</v>
      </c>
      <c r="H49" s="249">
        <f t="shared" si="12"/>
        <v>0</v>
      </c>
      <c r="I49" s="250">
        <f t="shared" si="13"/>
        <v>0</v>
      </c>
      <c r="J49" s="246" t="e">
        <f>'ANALISIS OCI'!AC47</f>
        <v>#DIV/0!</v>
      </c>
      <c r="K49" s="247" t="e">
        <f t="shared" si="9"/>
        <v>#DIV/0!</v>
      </c>
      <c r="L49" s="248" t="e">
        <f t="shared" si="6"/>
        <v>#DIV/0!</v>
      </c>
      <c r="M49" s="262"/>
      <c r="N49" s="263">
        <f t="shared" si="14"/>
        <v>0</v>
      </c>
      <c r="O49" s="264"/>
      <c r="P49" s="265">
        <f t="shared" si="15"/>
        <v>0</v>
      </c>
      <c r="Q49" s="251"/>
      <c r="R49" s="252">
        <f t="shared" si="16"/>
        <v>44196</v>
      </c>
      <c r="S49" s="266">
        <f t="shared" si="17"/>
        <v>0.3</v>
      </c>
      <c r="T49" s="191" t="e">
        <f t="shared" si="18"/>
        <v>#DIV/0!</v>
      </c>
      <c r="U49" s="206" t="e">
        <f t="shared" si="8"/>
        <v>#DIV/0!</v>
      </c>
    </row>
    <row r="50" spans="2:21" ht="63" customHeight="1" thickBot="1" x14ac:dyDescent="0.35">
      <c r="B50" s="269" t="s">
        <v>316</v>
      </c>
      <c r="C50" s="259">
        <f>+'ANALISIS OCI'!X48</f>
        <v>0</v>
      </c>
      <c r="D50" s="260">
        <f>+'ANALISIS OCI'!Y48</f>
        <v>0</v>
      </c>
      <c r="E50" s="260">
        <f>+'ANALISIS OCI'!Z48</f>
        <v>0</v>
      </c>
      <c r="F50" s="260">
        <f>+'ANALISIS OCI'!AA48</f>
        <v>0</v>
      </c>
      <c r="G50" s="261">
        <f t="shared" si="11"/>
        <v>0</v>
      </c>
      <c r="H50" s="249">
        <f t="shared" si="12"/>
        <v>0</v>
      </c>
      <c r="I50" s="250">
        <f t="shared" si="13"/>
        <v>0</v>
      </c>
      <c r="J50" s="246" t="e">
        <f>'ANALISIS OCI'!AC48</f>
        <v>#DIV/0!</v>
      </c>
      <c r="K50" s="247" t="e">
        <f t="shared" si="9"/>
        <v>#DIV/0!</v>
      </c>
      <c r="L50" s="248" t="e">
        <f t="shared" si="6"/>
        <v>#DIV/0!</v>
      </c>
      <c r="M50" s="262"/>
      <c r="N50" s="263">
        <f t="shared" si="14"/>
        <v>0</v>
      </c>
      <c r="O50" s="264"/>
      <c r="P50" s="265">
        <f t="shared" si="15"/>
        <v>0</v>
      </c>
      <c r="Q50" s="251"/>
      <c r="R50" s="252">
        <f t="shared" si="16"/>
        <v>44196</v>
      </c>
      <c r="S50" s="266">
        <f t="shared" si="17"/>
        <v>0.3</v>
      </c>
      <c r="T50" s="191" t="e">
        <f t="shared" si="18"/>
        <v>#DIV/0!</v>
      </c>
      <c r="U50" s="206" t="e">
        <f t="shared" si="8"/>
        <v>#DIV/0!</v>
      </c>
    </row>
    <row r="51" spans="2:21" ht="63" customHeight="1" thickBot="1" x14ac:dyDescent="0.35">
      <c r="B51" s="269" t="s">
        <v>317</v>
      </c>
      <c r="C51" s="259">
        <f>+'ANALISIS OCI'!X49</f>
        <v>0</v>
      </c>
      <c r="D51" s="260">
        <f>+'ANALISIS OCI'!Y49</f>
        <v>0</v>
      </c>
      <c r="E51" s="260">
        <f>+'ANALISIS OCI'!Z49</f>
        <v>0</v>
      </c>
      <c r="F51" s="260">
        <f>+'ANALISIS OCI'!AA49</f>
        <v>0</v>
      </c>
      <c r="G51" s="261">
        <f t="shared" si="11"/>
        <v>0</v>
      </c>
      <c r="H51" s="249">
        <f t="shared" si="12"/>
        <v>0</v>
      </c>
      <c r="I51" s="250">
        <f t="shared" si="13"/>
        <v>0</v>
      </c>
      <c r="J51" s="246" t="e">
        <f>'ANALISIS OCI'!AC49</f>
        <v>#DIV/0!</v>
      </c>
      <c r="K51" s="247" t="e">
        <f t="shared" si="9"/>
        <v>#DIV/0!</v>
      </c>
      <c r="L51" s="248" t="e">
        <f t="shared" si="6"/>
        <v>#DIV/0!</v>
      </c>
      <c r="M51" s="262"/>
      <c r="N51" s="263">
        <f t="shared" si="14"/>
        <v>0</v>
      </c>
      <c r="O51" s="264"/>
      <c r="P51" s="265">
        <f t="shared" si="15"/>
        <v>0</v>
      </c>
      <c r="Q51" s="251"/>
      <c r="R51" s="252">
        <f t="shared" si="16"/>
        <v>44196</v>
      </c>
      <c r="S51" s="266">
        <f t="shared" si="17"/>
        <v>0.3</v>
      </c>
      <c r="T51" s="191" t="e">
        <f t="shared" si="18"/>
        <v>#DIV/0!</v>
      </c>
      <c r="U51" s="206" t="e">
        <f t="shared" si="8"/>
        <v>#DIV/0!</v>
      </c>
    </row>
    <row r="52" spans="2:21" ht="63" customHeight="1" thickBot="1" x14ac:dyDescent="0.35">
      <c r="B52" s="269" t="s">
        <v>318</v>
      </c>
      <c r="C52" s="259">
        <f>+'ANALISIS OCI'!X50</f>
        <v>0</v>
      </c>
      <c r="D52" s="260">
        <f>+'ANALISIS OCI'!Y50</f>
        <v>0</v>
      </c>
      <c r="E52" s="260">
        <f>+'ANALISIS OCI'!Z50</f>
        <v>0</v>
      </c>
      <c r="F52" s="260">
        <f>+'ANALISIS OCI'!AA50</f>
        <v>0</v>
      </c>
      <c r="G52" s="261">
        <f t="shared" si="11"/>
        <v>0</v>
      </c>
      <c r="H52" s="249">
        <f t="shared" si="12"/>
        <v>0</v>
      </c>
      <c r="I52" s="250">
        <f t="shared" si="13"/>
        <v>0</v>
      </c>
      <c r="J52" s="246" t="e">
        <f>'ANALISIS OCI'!AC50</f>
        <v>#DIV/0!</v>
      </c>
      <c r="K52" s="247" t="e">
        <f t="shared" si="9"/>
        <v>#DIV/0!</v>
      </c>
      <c r="L52" s="248" t="e">
        <f t="shared" si="6"/>
        <v>#DIV/0!</v>
      </c>
      <c r="M52" s="262"/>
      <c r="N52" s="263">
        <f t="shared" si="14"/>
        <v>0</v>
      </c>
      <c r="O52" s="264"/>
      <c r="P52" s="265">
        <f t="shared" si="15"/>
        <v>0</v>
      </c>
      <c r="Q52" s="251"/>
      <c r="R52" s="252">
        <f t="shared" si="16"/>
        <v>44196</v>
      </c>
      <c r="S52" s="266">
        <f t="shared" si="17"/>
        <v>0.3</v>
      </c>
      <c r="T52" s="191" t="e">
        <f t="shared" si="18"/>
        <v>#DIV/0!</v>
      </c>
      <c r="U52" s="206" t="e">
        <f t="shared" si="8"/>
        <v>#DIV/0!</v>
      </c>
    </row>
    <row r="53" spans="2:21" ht="63" customHeight="1" thickBot="1" x14ac:dyDescent="0.35">
      <c r="B53" s="269" t="s">
        <v>319</v>
      </c>
      <c r="C53" s="259">
        <f>+'ANALISIS OCI'!X51</f>
        <v>0</v>
      </c>
      <c r="D53" s="260">
        <f>+'ANALISIS OCI'!Y51</f>
        <v>0</v>
      </c>
      <c r="E53" s="260">
        <f>+'ANALISIS OCI'!Z51</f>
        <v>0</v>
      </c>
      <c r="F53" s="260">
        <f>+'ANALISIS OCI'!AA51</f>
        <v>0</v>
      </c>
      <c r="G53" s="261">
        <f t="shared" si="11"/>
        <v>0</v>
      </c>
      <c r="H53" s="249">
        <f t="shared" si="12"/>
        <v>0</v>
      </c>
      <c r="I53" s="250">
        <f t="shared" si="13"/>
        <v>0</v>
      </c>
      <c r="J53" s="246" t="e">
        <f>'ANALISIS OCI'!AC51</f>
        <v>#DIV/0!</v>
      </c>
      <c r="K53" s="247" t="e">
        <f t="shared" si="9"/>
        <v>#DIV/0!</v>
      </c>
      <c r="L53" s="248" t="e">
        <f t="shared" si="6"/>
        <v>#DIV/0!</v>
      </c>
      <c r="M53" s="262"/>
      <c r="N53" s="263">
        <f t="shared" si="14"/>
        <v>0</v>
      </c>
      <c r="O53" s="264"/>
      <c r="P53" s="265">
        <f t="shared" si="15"/>
        <v>0</v>
      </c>
      <c r="Q53" s="251"/>
      <c r="R53" s="252">
        <f t="shared" si="16"/>
        <v>44196</v>
      </c>
      <c r="S53" s="266">
        <f t="shared" si="17"/>
        <v>0.3</v>
      </c>
      <c r="T53" s="191" t="e">
        <f t="shared" si="18"/>
        <v>#DIV/0!</v>
      </c>
      <c r="U53" s="206" t="e">
        <f t="shared" si="8"/>
        <v>#DIV/0!</v>
      </c>
    </row>
    <row r="54" spans="2:21" ht="63" customHeight="1" thickBot="1" x14ac:dyDescent="0.35">
      <c r="B54" s="271" t="s">
        <v>320</v>
      </c>
      <c r="C54" s="259">
        <f>+'ANALISIS OCI'!X52</f>
        <v>0</v>
      </c>
      <c r="D54" s="260">
        <f>+'ANALISIS OCI'!Y52</f>
        <v>0</v>
      </c>
      <c r="E54" s="260">
        <f>+'ANALISIS OCI'!Z52</f>
        <v>0</v>
      </c>
      <c r="F54" s="260">
        <f>+'ANALISIS OCI'!AA52</f>
        <v>0</v>
      </c>
      <c r="G54" s="261">
        <f t="shared" si="11"/>
        <v>0</v>
      </c>
      <c r="H54" s="249">
        <f t="shared" si="12"/>
        <v>0</v>
      </c>
      <c r="I54" s="250">
        <f t="shared" si="13"/>
        <v>0</v>
      </c>
      <c r="J54" s="246" t="e">
        <f>'ANALISIS OCI'!AC52</f>
        <v>#DIV/0!</v>
      </c>
      <c r="K54" s="247" t="e">
        <f t="shared" si="9"/>
        <v>#DIV/0!</v>
      </c>
      <c r="L54" s="248" t="e">
        <f t="shared" si="6"/>
        <v>#DIV/0!</v>
      </c>
      <c r="M54" s="262"/>
      <c r="N54" s="263">
        <f t="shared" si="14"/>
        <v>0</v>
      </c>
      <c r="O54" s="264"/>
      <c r="P54" s="265">
        <f t="shared" si="15"/>
        <v>0</v>
      </c>
      <c r="Q54" s="251"/>
      <c r="R54" s="252">
        <f t="shared" si="16"/>
        <v>44196</v>
      </c>
      <c r="S54" s="266">
        <f t="shared" si="17"/>
        <v>0.3</v>
      </c>
      <c r="T54" s="191" t="e">
        <f t="shared" si="18"/>
        <v>#DIV/0!</v>
      </c>
      <c r="U54" s="206" t="e">
        <f t="shared" si="8"/>
        <v>#DIV/0!</v>
      </c>
    </row>
    <row r="55" spans="2:21" ht="63" customHeight="1" thickBot="1" x14ac:dyDescent="0.35">
      <c r="B55" s="268" t="s">
        <v>321</v>
      </c>
      <c r="C55" s="259">
        <f>+'ANALISIS OCI'!X53</f>
        <v>0</v>
      </c>
      <c r="D55" s="260">
        <f>+'ANALISIS OCI'!Y53</f>
        <v>0</v>
      </c>
      <c r="E55" s="260">
        <f>+'ANALISIS OCI'!Z53</f>
        <v>0</v>
      </c>
      <c r="F55" s="260">
        <f>+'ANALISIS OCI'!AA53</f>
        <v>0</v>
      </c>
      <c r="G55" s="261">
        <f t="shared" si="11"/>
        <v>0</v>
      </c>
      <c r="H55" s="249">
        <f t="shared" si="12"/>
        <v>0</v>
      </c>
      <c r="I55" s="250">
        <f t="shared" si="13"/>
        <v>0</v>
      </c>
      <c r="J55" s="246" t="e">
        <f>'ANALISIS OCI'!AC53</f>
        <v>#DIV/0!</v>
      </c>
      <c r="K55" s="247" t="e">
        <f t="shared" si="9"/>
        <v>#DIV/0!</v>
      </c>
      <c r="L55" s="248" t="e">
        <f t="shared" si="6"/>
        <v>#DIV/0!</v>
      </c>
      <c r="M55" s="262"/>
      <c r="N55" s="263">
        <f t="shared" si="14"/>
        <v>0</v>
      </c>
      <c r="O55" s="264"/>
      <c r="P55" s="265">
        <f t="shared" si="15"/>
        <v>0</v>
      </c>
      <c r="Q55" s="251"/>
      <c r="R55" s="252">
        <f t="shared" si="16"/>
        <v>44196</v>
      </c>
      <c r="S55" s="266">
        <f t="shared" si="17"/>
        <v>0.3</v>
      </c>
      <c r="T55" s="191" t="e">
        <f t="shared" si="18"/>
        <v>#DIV/0!</v>
      </c>
      <c r="U55" s="206" t="e">
        <f t="shared" si="8"/>
        <v>#DIV/0!</v>
      </c>
    </row>
    <row r="56" spans="2:21" ht="63" customHeight="1" thickBot="1" x14ac:dyDescent="0.35">
      <c r="B56" s="192" t="s">
        <v>322</v>
      </c>
      <c r="C56" s="259">
        <f>+'ANALISIS OCI'!X54</f>
        <v>0</v>
      </c>
      <c r="D56" s="260">
        <f>+'ANALISIS OCI'!Y54</f>
        <v>0</v>
      </c>
      <c r="E56" s="260">
        <f>+'ANALISIS OCI'!Z54</f>
        <v>0</v>
      </c>
      <c r="F56" s="260">
        <f>+'ANALISIS OCI'!AA54</f>
        <v>0</v>
      </c>
      <c r="G56" s="261">
        <f t="shared" si="11"/>
        <v>0</v>
      </c>
      <c r="H56" s="249">
        <f t="shared" si="12"/>
        <v>0</v>
      </c>
      <c r="I56" s="250">
        <f t="shared" si="13"/>
        <v>0</v>
      </c>
      <c r="J56" s="246" t="e">
        <f>'ANALISIS OCI'!AC54</f>
        <v>#DIV/0!</v>
      </c>
      <c r="K56" s="247" t="e">
        <f t="shared" si="9"/>
        <v>#DIV/0!</v>
      </c>
      <c r="L56" s="248" t="e">
        <f t="shared" si="6"/>
        <v>#DIV/0!</v>
      </c>
      <c r="M56" s="262"/>
      <c r="N56" s="263">
        <f t="shared" si="14"/>
        <v>0</v>
      </c>
      <c r="O56" s="264"/>
      <c r="P56" s="265">
        <f t="shared" si="15"/>
        <v>0</v>
      </c>
      <c r="Q56" s="251"/>
      <c r="R56" s="252">
        <f t="shared" si="16"/>
        <v>44196</v>
      </c>
      <c r="S56" s="266">
        <f t="shared" si="17"/>
        <v>0.3</v>
      </c>
      <c r="T56" s="191" t="e">
        <f t="shared" si="18"/>
        <v>#DIV/0!</v>
      </c>
      <c r="U56" s="206" t="e">
        <f t="shared" si="8"/>
        <v>#DIV/0!</v>
      </c>
    </row>
    <row r="57" spans="2:21" ht="63" customHeight="1" thickBot="1" x14ac:dyDescent="0.35">
      <c r="B57" s="192" t="s">
        <v>323</v>
      </c>
      <c r="C57" s="259">
        <f>+'ANALISIS OCI'!X55</f>
        <v>0</v>
      </c>
      <c r="D57" s="260">
        <f>+'ANALISIS OCI'!Y55</f>
        <v>0</v>
      </c>
      <c r="E57" s="260">
        <f>+'ANALISIS OCI'!Z55</f>
        <v>0</v>
      </c>
      <c r="F57" s="260">
        <f>+'ANALISIS OCI'!AA55</f>
        <v>0</v>
      </c>
      <c r="G57" s="261">
        <f t="shared" si="11"/>
        <v>0</v>
      </c>
      <c r="H57" s="249">
        <f t="shared" si="12"/>
        <v>0</v>
      </c>
      <c r="I57" s="250">
        <f t="shared" si="13"/>
        <v>0</v>
      </c>
      <c r="J57" s="246" t="e">
        <f>'ANALISIS OCI'!AC55</f>
        <v>#DIV/0!</v>
      </c>
      <c r="K57" s="247" t="e">
        <f t="shared" si="9"/>
        <v>#DIV/0!</v>
      </c>
      <c r="L57" s="248" t="e">
        <f t="shared" si="6"/>
        <v>#DIV/0!</v>
      </c>
      <c r="M57" s="262"/>
      <c r="N57" s="263">
        <f t="shared" si="14"/>
        <v>0</v>
      </c>
      <c r="O57" s="264"/>
      <c r="P57" s="265">
        <f t="shared" si="15"/>
        <v>0</v>
      </c>
      <c r="Q57" s="251"/>
      <c r="R57" s="252">
        <f t="shared" si="16"/>
        <v>44196</v>
      </c>
      <c r="S57" s="266">
        <f t="shared" si="17"/>
        <v>0.3</v>
      </c>
      <c r="T57" s="191" t="e">
        <f t="shared" si="18"/>
        <v>#DIV/0!</v>
      </c>
      <c r="U57" s="206" t="e">
        <f t="shared" si="8"/>
        <v>#DIV/0!</v>
      </c>
    </row>
    <row r="58" spans="2:21" ht="63" customHeight="1" thickBot="1" x14ac:dyDescent="0.35">
      <c r="B58" s="192" t="s">
        <v>324</v>
      </c>
      <c r="C58" s="259">
        <f>+'ANALISIS OCI'!X56</f>
        <v>0</v>
      </c>
      <c r="D58" s="260">
        <f>+'ANALISIS OCI'!Y56</f>
        <v>0</v>
      </c>
      <c r="E58" s="260">
        <f>+'ANALISIS OCI'!Z56</f>
        <v>0</v>
      </c>
      <c r="F58" s="260">
        <f>+'ANALISIS OCI'!AA56</f>
        <v>0</v>
      </c>
      <c r="G58" s="261">
        <f t="shared" si="11"/>
        <v>0</v>
      </c>
      <c r="H58" s="249">
        <f t="shared" si="12"/>
        <v>0</v>
      </c>
      <c r="I58" s="250">
        <f t="shared" si="13"/>
        <v>0</v>
      </c>
      <c r="J58" s="246" t="e">
        <f>'ANALISIS OCI'!AC56</f>
        <v>#DIV/0!</v>
      </c>
      <c r="K58" s="247" t="e">
        <f t="shared" si="9"/>
        <v>#DIV/0!</v>
      </c>
      <c r="L58" s="248" t="e">
        <f t="shared" si="6"/>
        <v>#DIV/0!</v>
      </c>
      <c r="M58" s="262"/>
      <c r="N58" s="263">
        <f t="shared" si="14"/>
        <v>0</v>
      </c>
      <c r="O58" s="264"/>
      <c r="P58" s="265">
        <f t="shared" si="15"/>
        <v>0</v>
      </c>
      <c r="Q58" s="251"/>
      <c r="R58" s="252">
        <f t="shared" si="16"/>
        <v>44196</v>
      </c>
      <c r="S58" s="266">
        <f t="shared" si="17"/>
        <v>0.3</v>
      </c>
      <c r="T58" s="191" t="e">
        <f t="shared" si="18"/>
        <v>#DIV/0!</v>
      </c>
      <c r="U58" s="206" t="e">
        <f t="shared" si="8"/>
        <v>#DIV/0!</v>
      </c>
    </row>
    <row r="59" spans="2:21" ht="63" customHeight="1" thickBot="1" x14ac:dyDescent="0.35">
      <c r="B59" s="192" t="s">
        <v>325</v>
      </c>
      <c r="C59" s="259">
        <f>+'ANALISIS OCI'!X57</f>
        <v>0</v>
      </c>
      <c r="D59" s="260">
        <f>+'ANALISIS OCI'!Y57</f>
        <v>0</v>
      </c>
      <c r="E59" s="260">
        <f>+'ANALISIS OCI'!Z57</f>
        <v>0</v>
      </c>
      <c r="F59" s="260">
        <f>+'ANALISIS OCI'!AA57</f>
        <v>0</v>
      </c>
      <c r="G59" s="261">
        <f t="shared" si="11"/>
        <v>0</v>
      </c>
      <c r="H59" s="249">
        <f t="shared" si="12"/>
        <v>0</v>
      </c>
      <c r="I59" s="250">
        <f t="shared" si="13"/>
        <v>0</v>
      </c>
      <c r="J59" s="246" t="e">
        <f>'ANALISIS OCI'!AC57</f>
        <v>#DIV/0!</v>
      </c>
      <c r="K59" s="247" t="e">
        <f t="shared" si="9"/>
        <v>#DIV/0!</v>
      </c>
      <c r="L59" s="248" t="e">
        <f t="shared" si="6"/>
        <v>#DIV/0!</v>
      </c>
      <c r="M59" s="262"/>
      <c r="N59" s="263">
        <f t="shared" si="14"/>
        <v>0</v>
      </c>
      <c r="O59" s="264"/>
      <c r="P59" s="265">
        <f t="shared" si="15"/>
        <v>0</v>
      </c>
      <c r="Q59" s="251"/>
      <c r="R59" s="252">
        <f t="shared" si="16"/>
        <v>44196</v>
      </c>
      <c r="S59" s="266">
        <f t="shared" si="17"/>
        <v>0.3</v>
      </c>
      <c r="T59" s="191" t="e">
        <f t="shared" si="18"/>
        <v>#DIV/0!</v>
      </c>
      <c r="U59" s="206" t="e">
        <f t="shared" si="8"/>
        <v>#DIV/0!</v>
      </c>
    </row>
    <row r="60" spans="2:21" ht="63" customHeight="1" thickBot="1" x14ac:dyDescent="0.35">
      <c r="B60" s="192" t="s">
        <v>326</v>
      </c>
      <c r="C60" s="259">
        <f>+'ANALISIS OCI'!X58</f>
        <v>0</v>
      </c>
      <c r="D60" s="260">
        <f>+'ANALISIS OCI'!Y58</f>
        <v>0</v>
      </c>
      <c r="E60" s="260">
        <f>+'ANALISIS OCI'!Z58</f>
        <v>0</v>
      </c>
      <c r="F60" s="260">
        <f>+'ANALISIS OCI'!AA58</f>
        <v>0</v>
      </c>
      <c r="G60" s="261">
        <f t="shared" si="11"/>
        <v>0</v>
      </c>
      <c r="H60" s="249">
        <f t="shared" si="12"/>
        <v>0</v>
      </c>
      <c r="I60" s="250">
        <f t="shared" si="13"/>
        <v>0</v>
      </c>
      <c r="J60" s="246" t="e">
        <f>'ANALISIS OCI'!AC58</f>
        <v>#DIV/0!</v>
      </c>
      <c r="K60" s="247" t="e">
        <f t="shared" si="9"/>
        <v>#DIV/0!</v>
      </c>
      <c r="L60" s="248" t="e">
        <f t="shared" si="6"/>
        <v>#DIV/0!</v>
      </c>
      <c r="M60" s="262"/>
      <c r="N60" s="263">
        <f t="shared" si="14"/>
        <v>0</v>
      </c>
      <c r="O60" s="264"/>
      <c r="P60" s="265">
        <f t="shared" si="15"/>
        <v>0</v>
      </c>
      <c r="Q60" s="251"/>
      <c r="R60" s="252">
        <f t="shared" si="16"/>
        <v>44196</v>
      </c>
      <c r="S60" s="266">
        <f t="shared" si="17"/>
        <v>0.3</v>
      </c>
      <c r="T60" s="191" t="e">
        <f t="shared" si="18"/>
        <v>#DIV/0!</v>
      </c>
      <c r="U60" s="206" t="e">
        <f t="shared" si="8"/>
        <v>#DIV/0!</v>
      </c>
    </row>
    <row r="61" spans="2:21" ht="63" customHeight="1" thickBot="1" x14ac:dyDescent="0.35">
      <c r="B61" s="192" t="s">
        <v>327</v>
      </c>
      <c r="C61" s="259">
        <f>+'ANALISIS OCI'!X59</f>
        <v>0</v>
      </c>
      <c r="D61" s="260">
        <f>+'ANALISIS OCI'!Y59</f>
        <v>0</v>
      </c>
      <c r="E61" s="260">
        <f>+'ANALISIS OCI'!Z59</f>
        <v>0</v>
      </c>
      <c r="F61" s="260">
        <f>+'ANALISIS OCI'!AA59</f>
        <v>0</v>
      </c>
      <c r="G61" s="261">
        <f t="shared" si="11"/>
        <v>0</v>
      </c>
      <c r="H61" s="249">
        <f t="shared" si="12"/>
        <v>0</v>
      </c>
      <c r="I61" s="250">
        <f t="shared" si="13"/>
        <v>0</v>
      </c>
      <c r="J61" s="246" t="e">
        <f>'ANALISIS OCI'!AC59</f>
        <v>#DIV/0!</v>
      </c>
      <c r="K61" s="247" t="e">
        <f t="shared" si="9"/>
        <v>#DIV/0!</v>
      </c>
      <c r="L61" s="248" t="e">
        <f t="shared" si="6"/>
        <v>#DIV/0!</v>
      </c>
      <c r="M61" s="262"/>
      <c r="N61" s="263">
        <f t="shared" si="14"/>
        <v>0</v>
      </c>
      <c r="O61" s="264"/>
      <c r="P61" s="265">
        <f t="shared" si="15"/>
        <v>0</v>
      </c>
      <c r="Q61" s="251"/>
      <c r="R61" s="252">
        <f t="shared" si="16"/>
        <v>44196</v>
      </c>
      <c r="S61" s="266">
        <f t="shared" si="17"/>
        <v>0.3</v>
      </c>
      <c r="T61" s="191" t="e">
        <f t="shared" si="18"/>
        <v>#DIV/0!</v>
      </c>
      <c r="U61" s="206" t="e">
        <f t="shared" si="8"/>
        <v>#DIV/0!</v>
      </c>
    </row>
    <row r="62" spans="2:21" ht="63" customHeight="1" thickBot="1" x14ac:dyDescent="0.35">
      <c r="B62" s="192" t="s">
        <v>328</v>
      </c>
      <c r="C62" s="259">
        <f>+'ANALISIS OCI'!X60</f>
        <v>0</v>
      </c>
      <c r="D62" s="260">
        <f>+'ANALISIS OCI'!Y60</f>
        <v>0</v>
      </c>
      <c r="E62" s="260">
        <f>+'ANALISIS OCI'!Z60</f>
        <v>0</v>
      </c>
      <c r="F62" s="260">
        <f>+'ANALISIS OCI'!AA60</f>
        <v>0</v>
      </c>
      <c r="G62" s="261">
        <f t="shared" si="11"/>
        <v>0</v>
      </c>
      <c r="H62" s="249">
        <f t="shared" si="12"/>
        <v>0</v>
      </c>
      <c r="I62" s="250">
        <f t="shared" si="13"/>
        <v>0</v>
      </c>
      <c r="J62" s="246" t="e">
        <f>'ANALISIS OCI'!AC60</f>
        <v>#DIV/0!</v>
      </c>
      <c r="K62" s="247" t="e">
        <f t="shared" si="9"/>
        <v>#DIV/0!</v>
      </c>
      <c r="L62" s="248" t="e">
        <f t="shared" si="6"/>
        <v>#DIV/0!</v>
      </c>
      <c r="M62" s="262"/>
      <c r="N62" s="263">
        <f t="shared" si="14"/>
        <v>0</v>
      </c>
      <c r="O62" s="264"/>
      <c r="P62" s="265">
        <f t="shared" si="15"/>
        <v>0</v>
      </c>
      <c r="Q62" s="251"/>
      <c r="R62" s="252">
        <f t="shared" si="16"/>
        <v>44196</v>
      </c>
      <c r="S62" s="266">
        <f t="shared" si="17"/>
        <v>0.3</v>
      </c>
      <c r="T62" s="191" t="e">
        <f t="shared" si="18"/>
        <v>#DIV/0!</v>
      </c>
      <c r="U62" s="206" t="e">
        <f t="shared" si="8"/>
        <v>#DIV/0!</v>
      </c>
    </row>
    <row r="63" spans="2:21" ht="63" customHeight="1" thickBot="1" x14ac:dyDescent="0.35">
      <c r="B63" s="192" t="s">
        <v>329</v>
      </c>
      <c r="C63" s="259">
        <f>+'ANALISIS OCI'!X61</f>
        <v>0</v>
      </c>
      <c r="D63" s="260">
        <f>+'ANALISIS OCI'!Y61</f>
        <v>0</v>
      </c>
      <c r="E63" s="260">
        <f>+'ANALISIS OCI'!Z61</f>
        <v>0</v>
      </c>
      <c r="F63" s="260">
        <f>+'ANALISIS OCI'!AA61</f>
        <v>0</v>
      </c>
      <c r="G63" s="261">
        <f t="shared" si="11"/>
        <v>0</v>
      </c>
      <c r="H63" s="249">
        <f t="shared" si="12"/>
        <v>0</v>
      </c>
      <c r="I63" s="250">
        <f t="shared" si="13"/>
        <v>0</v>
      </c>
      <c r="J63" s="246" t="e">
        <f>'ANALISIS OCI'!AC61</f>
        <v>#DIV/0!</v>
      </c>
      <c r="K63" s="247" t="e">
        <f t="shared" si="9"/>
        <v>#DIV/0!</v>
      </c>
      <c r="L63" s="248" t="e">
        <f t="shared" si="6"/>
        <v>#DIV/0!</v>
      </c>
      <c r="M63" s="262"/>
      <c r="N63" s="263">
        <f t="shared" si="14"/>
        <v>0</v>
      </c>
      <c r="O63" s="264"/>
      <c r="P63" s="265">
        <f t="shared" si="15"/>
        <v>0</v>
      </c>
      <c r="Q63" s="251"/>
      <c r="R63" s="252">
        <f t="shared" si="16"/>
        <v>44196</v>
      </c>
      <c r="S63" s="266">
        <f t="shared" si="17"/>
        <v>0.3</v>
      </c>
      <c r="T63" s="191" t="e">
        <f t="shared" si="18"/>
        <v>#DIV/0!</v>
      </c>
      <c r="U63" s="206" t="e">
        <f t="shared" si="8"/>
        <v>#DIV/0!</v>
      </c>
    </row>
    <row r="64" spans="2:21" ht="63" customHeight="1" thickBot="1" x14ac:dyDescent="0.35">
      <c r="B64" s="192" t="s">
        <v>330</v>
      </c>
      <c r="C64" s="259">
        <f>+'ANALISIS OCI'!X62</f>
        <v>0</v>
      </c>
      <c r="D64" s="260">
        <f>+'ANALISIS OCI'!Y62</f>
        <v>0</v>
      </c>
      <c r="E64" s="260">
        <f>+'ANALISIS OCI'!Z62</f>
        <v>0</v>
      </c>
      <c r="F64" s="260">
        <f>+'ANALISIS OCI'!AA62</f>
        <v>0</v>
      </c>
      <c r="G64" s="261">
        <f t="shared" si="11"/>
        <v>0</v>
      </c>
      <c r="H64" s="249">
        <f t="shared" si="12"/>
        <v>0</v>
      </c>
      <c r="I64" s="250">
        <f t="shared" si="13"/>
        <v>0</v>
      </c>
      <c r="J64" s="246" t="e">
        <f>'ANALISIS OCI'!AC62</f>
        <v>#DIV/0!</v>
      </c>
      <c r="K64" s="247" t="e">
        <f t="shared" si="9"/>
        <v>#DIV/0!</v>
      </c>
      <c r="L64" s="248" t="e">
        <f t="shared" si="6"/>
        <v>#DIV/0!</v>
      </c>
      <c r="M64" s="262"/>
      <c r="N64" s="263">
        <f t="shared" si="14"/>
        <v>0</v>
      </c>
      <c r="O64" s="264"/>
      <c r="P64" s="265">
        <f t="shared" si="15"/>
        <v>0</v>
      </c>
      <c r="Q64" s="251"/>
      <c r="R64" s="252">
        <f t="shared" si="16"/>
        <v>44196</v>
      </c>
      <c r="S64" s="266">
        <f t="shared" si="17"/>
        <v>0.3</v>
      </c>
      <c r="T64" s="191" t="e">
        <f t="shared" si="18"/>
        <v>#DIV/0!</v>
      </c>
      <c r="U64" s="206" t="e">
        <f t="shared" si="8"/>
        <v>#DIV/0!</v>
      </c>
    </row>
    <row r="65" spans="2:21" ht="63" customHeight="1" thickBot="1" x14ac:dyDescent="0.35">
      <c r="B65" s="192" t="s">
        <v>331</v>
      </c>
      <c r="C65" s="259">
        <f>+'ANALISIS OCI'!X63</f>
        <v>0</v>
      </c>
      <c r="D65" s="260">
        <f>+'ANALISIS OCI'!Y63</f>
        <v>0</v>
      </c>
      <c r="E65" s="260">
        <f>+'ANALISIS OCI'!Z63</f>
        <v>0</v>
      </c>
      <c r="F65" s="260">
        <f>+'ANALISIS OCI'!AA63</f>
        <v>0</v>
      </c>
      <c r="G65" s="261">
        <f t="shared" si="11"/>
        <v>0</v>
      </c>
      <c r="H65" s="249">
        <f t="shared" si="12"/>
        <v>0</v>
      </c>
      <c r="I65" s="250">
        <f t="shared" si="13"/>
        <v>0</v>
      </c>
      <c r="J65" s="246" t="e">
        <f>'ANALISIS OCI'!AC63</f>
        <v>#DIV/0!</v>
      </c>
      <c r="K65" s="247" t="e">
        <f t="shared" si="9"/>
        <v>#DIV/0!</v>
      </c>
      <c r="L65" s="248" t="e">
        <f t="shared" si="6"/>
        <v>#DIV/0!</v>
      </c>
      <c r="M65" s="262"/>
      <c r="N65" s="263">
        <f t="shared" si="14"/>
        <v>0</v>
      </c>
      <c r="O65" s="264"/>
      <c r="P65" s="265">
        <f t="shared" si="15"/>
        <v>0</v>
      </c>
      <c r="Q65" s="251"/>
      <c r="R65" s="252">
        <f t="shared" si="16"/>
        <v>44196</v>
      </c>
      <c r="S65" s="266">
        <f t="shared" si="17"/>
        <v>0.3</v>
      </c>
      <c r="T65" s="191" t="e">
        <f t="shared" si="18"/>
        <v>#DIV/0!</v>
      </c>
      <c r="U65" s="206" t="e">
        <f t="shared" si="8"/>
        <v>#DIV/0!</v>
      </c>
    </row>
    <row r="66" spans="2:21" ht="63" customHeight="1" thickBot="1" x14ac:dyDescent="0.35">
      <c r="B66" s="192" t="s">
        <v>332</v>
      </c>
      <c r="C66" s="259">
        <f>+'ANALISIS OCI'!X64</f>
        <v>0</v>
      </c>
      <c r="D66" s="260">
        <f>+'ANALISIS OCI'!Y64</f>
        <v>0</v>
      </c>
      <c r="E66" s="260">
        <f>+'ANALISIS OCI'!Z64</f>
        <v>0</v>
      </c>
      <c r="F66" s="260">
        <f>+'ANALISIS OCI'!AA64</f>
        <v>0</v>
      </c>
      <c r="G66" s="261">
        <f t="shared" si="11"/>
        <v>0</v>
      </c>
      <c r="H66" s="249">
        <f t="shared" si="12"/>
        <v>0</v>
      </c>
      <c r="I66" s="250">
        <f t="shared" si="13"/>
        <v>0</v>
      </c>
      <c r="J66" s="246" t="e">
        <f>'ANALISIS OCI'!AC64</f>
        <v>#DIV/0!</v>
      </c>
      <c r="K66" s="247" t="e">
        <f t="shared" si="9"/>
        <v>#DIV/0!</v>
      </c>
      <c r="L66" s="248" t="e">
        <f t="shared" si="6"/>
        <v>#DIV/0!</v>
      </c>
      <c r="M66" s="262"/>
      <c r="N66" s="263">
        <f t="shared" si="14"/>
        <v>0</v>
      </c>
      <c r="O66" s="264"/>
      <c r="P66" s="265">
        <f t="shared" si="15"/>
        <v>0</v>
      </c>
      <c r="Q66" s="251"/>
      <c r="R66" s="252">
        <f t="shared" si="16"/>
        <v>44196</v>
      </c>
      <c r="S66" s="266">
        <f t="shared" si="17"/>
        <v>0.3</v>
      </c>
      <c r="T66" s="191" t="e">
        <f t="shared" si="18"/>
        <v>#DIV/0!</v>
      </c>
      <c r="U66" s="206" t="e">
        <f t="shared" si="8"/>
        <v>#DIV/0!</v>
      </c>
    </row>
    <row r="67" spans="2:21" ht="63" customHeight="1" thickBot="1" x14ac:dyDescent="0.35">
      <c r="B67" s="192" t="s">
        <v>333</v>
      </c>
      <c r="C67" s="259">
        <f>+'ANALISIS OCI'!X65</f>
        <v>0</v>
      </c>
      <c r="D67" s="260">
        <f>+'ANALISIS OCI'!Y65</f>
        <v>0</v>
      </c>
      <c r="E67" s="260">
        <f>+'ANALISIS OCI'!Z65</f>
        <v>0</v>
      </c>
      <c r="F67" s="260">
        <f>+'ANALISIS OCI'!AA65</f>
        <v>0</v>
      </c>
      <c r="G67" s="261">
        <f t="shared" si="11"/>
        <v>0</v>
      </c>
      <c r="H67" s="249">
        <f t="shared" si="12"/>
        <v>0</v>
      </c>
      <c r="I67" s="250">
        <f t="shared" si="13"/>
        <v>0</v>
      </c>
      <c r="J67" s="246" t="e">
        <f>'ANALISIS OCI'!AC65</f>
        <v>#DIV/0!</v>
      </c>
      <c r="K67" s="247" t="e">
        <f t="shared" si="9"/>
        <v>#DIV/0!</v>
      </c>
      <c r="L67" s="248" t="e">
        <f t="shared" si="6"/>
        <v>#DIV/0!</v>
      </c>
      <c r="M67" s="262"/>
      <c r="N67" s="263">
        <f t="shared" si="14"/>
        <v>0</v>
      </c>
      <c r="O67" s="264"/>
      <c r="P67" s="265">
        <f t="shared" si="15"/>
        <v>0</v>
      </c>
      <c r="Q67" s="251"/>
      <c r="R67" s="252">
        <f t="shared" si="16"/>
        <v>44196</v>
      </c>
      <c r="S67" s="266">
        <f t="shared" si="17"/>
        <v>0.3</v>
      </c>
      <c r="T67" s="191" t="e">
        <f t="shared" si="18"/>
        <v>#DIV/0!</v>
      </c>
      <c r="U67" s="206" t="e">
        <f t="shared" si="8"/>
        <v>#DIV/0!</v>
      </c>
    </row>
    <row r="68" spans="2:21" ht="63" customHeight="1" thickBot="1" x14ac:dyDescent="0.35">
      <c r="B68" s="192" t="s">
        <v>334</v>
      </c>
      <c r="C68" s="259">
        <f>+'ANALISIS OCI'!X66</f>
        <v>0</v>
      </c>
      <c r="D68" s="260">
        <f>+'ANALISIS OCI'!Y66</f>
        <v>0</v>
      </c>
      <c r="E68" s="260">
        <f>+'ANALISIS OCI'!Z66</f>
        <v>0</v>
      </c>
      <c r="F68" s="260">
        <f>+'ANALISIS OCI'!AA66</f>
        <v>0</v>
      </c>
      <c r="G68" s="261">
        <f t="shared" si="11"/>
        <v>0</v>
      </c>
      <c r="H68" s="249">
        <f t="shared" si="12"/>
        <v>0</v>
      </c>
      <c r="I68" s="250">
        <f t="shared" si="13"/>
        <v>0</v>
      </c>
      <c r="J68" s="246" t="e">
        <f>'ANALISIS OCI'!AC66</f>
        <v>#DIV/0!</v>
      </c>
      <c r="K68" s="247" t="e">
        <f t="shared" si="9"/>
        <v>#DIV/0!</v>
      </c>
      <c r="L68" s="248" t="e">
        <f t="shared" si="6"/>
        <v>#DIV/0!</v>
      </c>
      <c r="M68" s="262"/>
      <c r="N68" s="263">
        <f t="shared" si="14"/>
        <v>0</v>
      </c>
      <c r="O68" s="264"/>
      <c r="P68" s="265">
        <f t="shared" si="15"/>
        <v>0</v>
      </c>
      <c r="Q68" s="251"/>
      <c r="R68" s="252">
        <f t="shared" si="16"/>
        <v>44196</v>
      </c>
      <c r="S68" s="266">
        <f t="shared" si="17"/>
        <v>0.3</v>
      </c>
      <c r="T68" s="191" t="e">
        <f t="shared" si="18"/>
        <v>#DIV/0!</v>
      </c>
      <c r="U68" s="206" t="e">
        <f t="shared" si="8"/>
        <v>#DIV/0!</v>
      </c>
    </row>
    <row r="69" spans="2:21" ht="63" customHeight="1" thickBot="1" x14ac:dyDescent="0.35">
      <c r="B69" s="192" t="s">
        <v>335</v>
      </c>
      <c r="C69" s="259">
        <f>+'ANALISIS OCI'!X67</f>
        <v>0</v>
      </c>
      <c r="D69" s="260">
        <f>+'ANALISIS OCI'!Y67</f>
        <v>0</v>
      </c>
      <c r="E69" s="260">
        <f>+'ANALISIS OCI'!Z67</f>
        <v>0</v>
      </c>
      <c r="F69" s="260">
        <f>+'ANALISIS OCI'!AA67</f>
        <v>0</v>
      </c>
      <c r="G69" s="261">
        <f t="shared" si="11"/>
        <v>0</v>
      </c>
      <c r="H69" s="249">
        <f t="shared" si="12"/>
        <v>0</v>
      </c>
      <c r="I69" s="250">
        <f t="shared" si="13"/>
        <v>0</v>
      </c>
      <c r="J69" s="246" t="e">
        <f>'ANALISIS OCI'!AC67</f>
        <v>#DIV/0!</v>
      </c>
      <c r="K69" s="247" t="e">
        <f t="shared" si="9"/>
        <v>#DIV/0!</v>
      </c>
      <c r="L69" s="248" t="e">
        <f t="shared" si="6"/>
        <v>#DIV/0!</v>
      </c>
      <c r="M69" s="262"/>
      <c r="N69" s="263">
        <f t="shared" si="14"/>
        <v>0</v>
      </c>
      <c r="O69" s="264"/>
      <c r="P69" s="265">
        <f t="shared" si="15"/>
        <v>0</v>
      </c>
      <c r="Q69" s="251"/>
      <c r="R69" s="252">
        <f t="shared" si="16"/>
        <v>44196</v>
      </c>
      <c r="S69" s="266">
        <f t="shared" si="17"/>
        <v>0.3</v>
      </c>
      <c r="T69" s="191" t="e">
        <f t="shared" si="18"/>
        <v>#DIV/0!</v>
      </c>
      <c r="U69" s="206" t="e">
        <f t="shared" si="8"/>
        <v>#DIV/0!</v>
      </c>
    </row>
    <row r="70" spans="2:21" ht="63" customHeight="1" thickBot="1" x14ac:dyDescent="0.35">
      <c r="B70" s="192" t="s">
        <v>336</v>
      </c>
      <c r="C70" s="259">
        <f>+'ANALISIS OCI'!X68</f>
        <v>0</v>
      </c>
      <c r="D70" s="260">
        <f>+'ANALISIS OCI'!Y68</f>
        <v>0</v>
      </c>
      <c r="E70" s="260">
        <f>+'ANALISIS OCI'!Z68</f>
        <v>0</v>
      </c>
      <c r="F70" s="260">
        <f>+'ANALISIS OCI'!AA68</f>
        <v>0</v>
      </c>
      <c r="G70" s="261">
        <f t="shared" si="11"/>
        <v>0</v>
      </c>
      <c r="H70" s="249">
        <f t="shared" si="12"/>
        <v>0</v>
      </c>
      <c r="I70" s="250">
        <f t="shared" si="13"/>
        <v>0</v>
      </c>
      <c r="J70" s="246" t="e">
        <f>'ANALISIS OCI'!AC68</f>
        <v>#DIV/0!</v>
      </c>
      <c r="K70" s="247" t="e">
        <f t="shared" si="9"/>
        <v>#DIV/0!</v>
      </c>
      <c r="L70" s="248" t="e">
        <f t="shared" si="6"/>
        <v>#DIV/0!</v>
      </c>
      <c r="M70" s="262"/>
      <c r="N70" s="263">
        <f t="shared" si="14"/>
        <v>0</v>
      </c>
      <c r="O70" s="264"/>
      <c r="P70" s="265">
        <f t="shared" si="15"/>
        <v>0</v>
      </c>
      <c r="Q70" s="251"/>
      <c r="R70" s="252">
        <f t="shared" si="16"/>
        <v>44196</v>
      </c>
      <c r="S70" s="266">
        <f t="shared" si="17"/>
        <v>0.3</v>
      </c>
      <c r="T70" s="191" t="e">
        <f t="shared" si="18"/>
        <v>#DIV/0!</v>
      </c>
      <c r="U70" s="206" t="e">
        <f t="shared" si="8"/>
        <v>#DIV/0!</v>
      </c>
    </row>
    <row r="71" spans="2:21" ht="63" customHeight="1" thickBot="1" x14ac:dyDescent="0.35">
      <c r="B71" s="192" t="s">
        <v>337</v>
      </c>
      <c r="C71" s="259">
        <f>+'ANALISIS OCI'!X69</f>
        <v>0</v>
      </c>
      <c r="D71" s="260">
        <f>+'ANALISIS OCI'!Y69</f>
        <v>0</v>
      </c>
      <c r="E71" s="260">
        <f>+'ANALISIS OCI'!Z69</f>
        <v>0</v>
      </c>
      <c r="F71" s="260">
        <f>+'ANALISIS OCI'!AA69</f>
        <v>0</v>
      </c>
      <c r="G71" s="261">
        <f t="shared" si="11"/>
        <v>0</v>
      </c>
      <c r="H71" s="249">
        <f t="shared" si="12"/>
        <v>0</v>
      </c>
      <c r="I71" s="250">
        <f t="shared" si="13"/>
        <v>0</v>
      </c>
      <c r="J71" s="246" t="e">
        <f>'ANALISIS OCI'!AC69</f>
        <v>#DIV/0!</v>
      </c>
      <c r="K71" s="247" t="e">
        <f t="shared" si="9"/>
        <v>#DIV/0!</v>
      </c>
      <c r="L71" s="248" t="e">
        <f t="shared" si="6"/>
        <v>#DIV/0!</v>
      </c>
      <c r="M71" s="262"/>
      <c r="N71" s="263">
        <f t="shared" si="14"/>
        <v>0</v>
      </c>
      <c r="O71" s="264"/>
      <c r="P71" s="265">
        <f t="shared" si="15"/>
        <v>0</v>
      </c>
      <c r="Q71" s="251"/>
      <c r="R71" s="252">
        <f t="shared" si="16"/>
        <v>44196</v>
      </c>
      <c r="S71" s="266">
        <f t="shared" si="17"/>
        <v>0.3</v>
      </c>
      <c r="T71" s="191" t="e">
        <f t="shared" si="18"/>
        <v>#DIV/0!</v>
      </c>
      <c r="U71" s="206" t="e">
        <f t="shared" si="8"/>
        <v>#DIV/0!</v>
      </c>
    </row>
    <row r="72" spans="2:21" ht="63" customHeight="1" thickBot="1" x14ac:dyDescent="0.35">
      <c r="B72" s="192" t="s">
        <v>338</v>
      </c>
      <c r="C72" s="259">
        <f>+'ANALISIS OCI'!X70</f>
        <v>0</v>
      </c>
      <c r="D72" s="260">
        <f>+'ANALISIS OCI'!Y70</f>
        <v>0</v>
      </c>
      <c r="E72" s="260">
        <f>+'ANALISIS OCI'!Z70</f>
        <v>0</v>
      </c>
      <c r="F72" s="260">
        <f>+'ANALISIS OCI'!AA70</f>
        <v>0</v>
      </c>
      <c r="G72" s="261">
        <f t="shared" si="11"/>
        <v>0</v>
      </c>
      <c r="H72" s="249">
        <f t="shared" si="12"/>
        <v>0</v>
      </c>
      <c r="I72" s="250">
        <f t="shared" si="13"/>
        <v>0</v>
      </c>
      <c r="J72" s="246" t="e">
        <f>'ANALISIS OCI'!AC70</f>
        <v>#DIV/0!</v>
      </c>
      <c r="K72" s="247" t="e">
        <f t="shared" si="9"/>
        <v>#DIV/0!</v>
      </c>
      <c r="L72" s="248" t="e">
        <f t="shared" si="6"/>
        <v>#DIV/0!</v>
      </c>
      <c r="M72" s="262"/>
      <c r="N72" s="263">
        <f t="shared" si="14"/>
        <v>0</v>
      </c>
      <c r="O72" s="264"/>
      <c r="P72" s="265">
        <f t="shared" si="15"/>
        <v>0</v>
      </c>
      <c r="Q72" s="251"/>
      <c r="R72" s="252">
        <f t="shared" si="16"/>
        <v>44196</v>
      </c>
      <c r="S72" s="266">
        <f t="shared" si="17"/>
        <v>0.3</v>
      </c>
      <c r="T72" s="191" t="e">
        <f t="shared" si="18"/>
        <v>#DIV/0!</v>
      </c>
      <c r="U72" s="206" t="e">
        <f t="shared" si="8"/>
        <v>#DIV/0!</v>
      </c>
    </row>
    <row r="73" spans="2:21" ht="63" customHeight="1" thickBot="1" x14ac:dyDescent="0.35">
      <c r="B73" s="192" t="s">
        <v>339</v>
      </c>
      <c r="C73" s="259">
        <f>+'ANALISIS OCI'!X71</f>
        <v>0</v>
      </c>
      <c r="D73" s="260">
        <f>+'ANALISIS OCI'!Y71</f>
        <v>0</v>
      </c>
      <c r="E73" s="260">
        <f>+'ANALISIS OCI'!Z71</f>
        <v>0</v>
      </c>
      <c r="F73" s="260">
        <f>+'ANALISIS OCI'!AA71</f>
        <v>0</v>
      </c>
      <c r="G73" s="261">
        <f t="shared" si="11"/>
        <v>0</v>
      </c>
      <c r="H73" s="249">
        <f t="shared" si="12"/>
        <v>0</v>
      </c>
      <c r="I73" s="250">
        <f t="shared" si="13"/>
        <v>0</v>
      </c>
      <c r="J73" s="246" t="e">
        <f>'ANALISIS OCI'!AC71</f>
        <v>#DIV/0!</v>
      </c>
      <c r="K73" s="247" t="e">
        <f t="shared" si="9"/>
        <v>#DIV/0!</v>
      </c>
      <c r="L73" s="248" t="e">
        <f t="shared" si="6"/>
        <v>#DIV/0!</v>
      </c>
      <c r="M73" s="262"/>
      <c r="N73" s="263">
        <f t="shared" si="14"/>
        <v>0</v>
      </c>
      <c r="O73" s="264"/>
      <c r="P73" s="265">
        <f t="shared" si="15"/>
        <v>0</v>
      </c>
      <c r="Q73" s="251"/>
      <c r="R73" s="252">
        <f t="shared" si="16"/>
        <v>44196</v>
      </c>
      <c r="S73" s="266">
        <f t="shared" si="17"/>
        <v>0.3</v>
      </c>
      <c r="T73" s="191" t="e">
        <f t="shared" si="18"/>
        <v>#DIV/0!</v>
      </c>
      <c r="U73" s="206" t="e">
        <f t="shared" si="8"/>
        <v>#DIV/0!</v>
      </c>
    </row>
    <row r="74" spans="2:21" ht="63" customHeight="1" thickBot="1" x14ac:dyDescent="0.35">
      <c r="B74" s="192" t="s">
        <v>340</v>
      </c>
      <c r="C74" s="259">
        <f>+'ANALISIS OCI'!X72</f>
        <v>0</v>
      </c>
      <c r="D74" s="260">
        <f>+'ANALISIS OCI'!Y72</f>
        <v>0</v>
      </c>
      <c r="E74" s="260">
        <f>+'ANALISIS OCI'!Z72</f>
        <v>0</v>
      </c>
      <c r="F74" s="260">
        <f>+'ANALISIS OCI'!AA72</f>
        <v>0</v>
      </c>
      <c r="G74" s="261">
        <f t="shared" si="11"/>
        <v>0</v>
      </c>
      <c r="H74" s="249">
        <f t="shared" si="12"/>
        <v>0</v>
      </c>
      <c r="I74" s="250">
        <f t="shared" si="13"/>
        <v>0</v>
      </c>
      <c r="J74" s="246" t="e">
        <f>'ANALISIS OCI'!AC72</f>
        <v>#DIV/0!</v>
      </c>
      <c r="K74" s="247" t="e">
        <f t="shared" si="9"/>
        <v>#DIV/0!</v>
      </c>
      <c r="L74" s="248" t="e">
        <f t="shared" si="6"/>
        <v>#DIV/0!</v>
      </c>
      <c r="M74" s="262"/>
      <c r="N74" s="263">
        <f t="shared" si="14"/>
        <v>0</v>
      </c>
      <c r="O74" s="264"/>
      <c r="P74" s="265">
        <f t="shared" si="15"/>
        <v>0</v>
      </c>
      <c r="Q74" s="251"/>
      <c r="R74" s="252">
        <f t="shared" si="16"/>
        <v>44196</v>
      </c>
      <c r="S74" s="266">
        <f t="shared" si="17"/>
        <v>0.3</v>
      </c>
      <c r="T74" s="191" t="e">
        <f t="shared" si="18"/>
        <v>#DIV/0!</v>
      </c>
      <c r="U74" s="206" t="e">
        <f t="shared" si="8"/>
        <v>#DIV/0!</v>
      </c>
    </row>
    <row r="75" spans="2:21" ht="63" customHeight="1" thickBot="1" x14ac:dyDescent="0.35">
      <c r="B75" s="192" t="s">
        <v>341</v>
      </c>
      <c r="C75" s="259">
        <f>+'ANALISIS OCI'!X73</f>
        <v>0</v>
      </c>
      <c r="D75" s="260">
        <f>+'ANALISIS OCI'!Y73</f>
        <v>0</v>
      </c>
      <c r="E75" s="260">
        <f>+'ANALISIS OCI'!Z73</f>
        <v>0</v>
      </c>
      <c r="F75" s="260">
        <f>+'ANALISIS OCI'!AA73</f>
        <v>0</v>
      </c>
      <c r="G75" s="261">
        <f t="shared" si="11"/>
        <v>0</v>
      </c>
      <c r="H75" s="249">
        <f t="shared" si="12"/>
        <v>0</v>
      </c>
      <c r="I75" s="250">
        <f t="shared" si="13"/>
        <v>0</v>
      </c>
      <c r="J75" s="246" t="e">
        <f>'ANALISIS OCI'!AC73</f>
        <v>#DIV/0!</v>
      </c>
      <c r="K75" s="247" t="e">
        <f t="shared" si="9"/>
        <v>#DIV/0!</v>
      </c>
      <c r="L75" s="248" t="e">
        <f t="shared" si="6"/>
        <v>#DIV/0!</v>
      </c>
      <c r="M75" s="262"/>
      <c r="N75" s="263">
        <f t="shared" si="14"/>
        <v>0</v>
      </c>
      <c r="O75" s="264"/>
      <c r="P75" s="265">
        <f t="shared" si="15"/>
        <v>0</v>
      </c>
      <c r="Q75" s="251"/>
      <c r="R75" s="252">
        <f t="shared" si="16"/>
        <v>44196</v>
      </c>
      <c r="S75" s="266">
        <f t="shared" si="17"/>
        <v>0.3</v>
      </c>
      <c r="T75" s="191" t="e">
        <f t="shared" si="18"/>
        <v>#DIV/0!</v>
      </c>
      <c r="U75" s="206" t="e">
        <f t="shared" si="8"/>
        <v>#DIV/0!</v>
      </c>
    </row>
    <row r="76" spans="2:21" ht="63" customHeight="1" thickBot="1" x14ac:dyDescent="0.35">
      <c r="B76" s="192" t="s">
        <v>342</v>
      </c>
      <c r="C76" s="259">
        <f>+'ANALISIS OCI'!X74</f>
        <v>0</v>
      </c>
      <c r="D76" s="260">
        <f>+'ANALISIS OCI'!Y74</f>
        <v>0</v>
      </c>
      <c r="E76" s="260">
        <f>+'ANALISIS OCI'!Z74</f>
        <v>0</v>
      </c>
      <c r="F76" s="260">
        <f>+'ANALISIS OCI'!AA74</f>
        <v>0</v>
      </c>
      <c r="G76" s="261">
        <f t="shared" si="11"/>
        <v>0</v>
      </c>
      <c r="H76" s="249">
        <f t="shared" si="12"/>
        <v>0</v>
      </c>
      <c r="I76" s="250">
        <f t="shared" si="13"/>
        <v>0</v>
      </c>
      <c r="J76" s="246" t="e">
        <f>'ANALISIS OCI'!AC74</f>
        <v>#DIV/0!</v>
      </c>
      <c r="K76" s="247" t="e">
        <f t="shared" si="9"/>
        <v>#DIV/0!</v>
      </c>
      <c r="L76" s="248" t="e">
        <f t="shared" si="6"/>
        <v>#DIV/0!</v>
      </c>
      <c r="M76" s="262"/>
      <c r="N76" s="263">
        <f t="shared" si="14"/>
        <v>0</v>
      </c>
      <c r="O76" s="264"/>
      <c r="P76" s="265">
        <f t="shared" si="15"/>
        <v>0</v>
      </c>
      <c r="Q76" s="251"/>
      <c r="R76" s="252">
        <f t="shared" si="16"/>
        <v>44196</v>
      </c>
      <c r="S76" s="266">
        <f t="shared" si="17"/>
        <v>0.3</v>
      </c>
      <c r="T76" s="191" t="e">
        <f t="shared" si="18"/>
        <v>#DIV/0!</v>
      </c>
      <c r="U76" s="206" t="e">
        <f t="shared" si="8"/>
        <v>#DIV/0!</v>
      </c>
    </row>
    <row r="77" spans="2:21" ht="63" customHeight="1" thickBot="1" x14ac:dyDescent="0.35">
      <c r="B77" s="192" t="s">
        <v>343</v>
      </c>
      <c r="C77" s="259">
        <f>+'ANALISIS OCI'!X75</f>
        <v>0</v>
      </c>
      <c r="D77" s="260">
        <f>+'ANALISIS OCI'!Y75</f>
        <v>0</v>
      </c>
      <c r="E77" s="260">
        <f>+'ANALISIS OCI'!Z75</f>
        <v>0</v>
      </c>
      <c r="F77" s="260">
        <f>+'ANALISIS OCI'!AA75</f>
        <v>0</v>
      </c>
      <c r="G77" s="261">
        <f t="shared" si="11"/>
        <v>0</v>
      </c>
      <c r="H77" s="249">
        <f t="shared" si="12"/>
        <v>0</v>
      </c>
      <c r="I77" s="250">
        <f t="shared" si="13"/>
        <v>0</v>
      </c>
      <c r="J77" s="246" t="e">
        <f>'ANALISIS OCI'!AC75</f>
        <v>#DIV/0!</v>
      </c>
      <c r="K77" s="247" t="e">
        <f t="shared" si="9"/>
        <v>#DIV/0!</v>
      </c>
      <c r="L77" s="248" t="e">
        <f t="shared" si="6"/>
        <v>#DIV/0!</v>
      </c>
      <c r="M77" s="262"/>
      <c r="N77" s="263">
        <f t="shared" si="14"/>
        <v>0</v>
      </c>
      <c r="O77" s="264"/>
      <c r="P77" s="265">
        <f t="shared" si="15"/>
        <v>0</v>
      </c>
      <c r="Q77" s="251"/>
      <c r="R77" s="252">
        <f t="shared" si="16"/>
        <v>44196</v>
      </c>
      <c r="S77" s="266">
        <f t="shared" si="17"/>
        <v>0.3</v>
      </c>
      <c r="T77" s="191" t="e">
        <f t="shared" si="18"/>
        <v>#DIV/0!</v>
      </c>
      <c r="U77" s="206" t="e">
        <f t="shared" si="8"/>
        <v>#DIV/0!</v>
      </c>
    </row>
    <row r="78" spans="2:21" ht="63" customHeight="1" thickBot="1" x14ac:dyDescent="0.35">
      <c r="B78" s="192" t="s">
        <v>344</v>
      </c>
      <c r="C78" s="259">
        <f>+'ANALISIS OCI'!X76</f>
        <v>0</v>
      </c>
      <c r="D78" s="260">
        <f>+'ANALISIS OCI'!Y76</f>
        <v>0</v>
      </c>
      <c r="E78" s="260">
        <f>+'ANALISIS OCI'!Z76</f>
        <v>0</v>
      </c>
      <c r="F78" s="260">
        <f>+'ANALISIS OCI'!AA76</f>
        <v>0</v>
      </c>
      <c r="G78" s="261">
        <f t="shared" si="11"/>
        <v>0</v>
      </c>
      <c r="H78" s="249">
        <f t="shared" si="12"/>
        <v>0</v>
      </c>
      <c r="I78" s="250">
        <f t="shared" si="13"/>
        <v>0</v>
      </c>
      <c r="J78" s="246" t="e">
        <f>'ANALISIS OCI'!AC76</f>
        <v>#DIV/0!</v>
      </c>
      <c r="K78" s="247" t="e">
        <f t="shared" si="9"/>
        <v>#DIV/0!</v>
      </c>
      <c r="L78" s="248" t="e">
        <f t="shared" ref="L78:L92" si="19">IF(I78=0,K78,I78)</f>
        <v>#DIV/0!</v>
      </c>
      <c r="M78" s="262"/>
      <c r="N78" s="263">
        <f t="shared" si="14"/>
        <v>0</v>
      </c>
      <c r="O78" s="264"/>
      <c r="P78" s="265">
        <f t="shared" si="15"/>
        <v>0</v>
      </c>
      <c r="Q78" s="251"/>
      <c r="R78" s="252">
        <f t="shared" si="16"/>
        <v>44196</v>
      </c>
      <c r="S78" s="266">
        <f t="shared" si="17"/>
        <v>0.3</v>
      </c>
      <c r="T78" s="191" t="e">
        <f t="shared" si="18"/>
        <v>#DIV/0!</v>
      </c>
      <c r="U78" s="206" t="e">
        <f t="shared" ref="U78:U92" si="20">+IF(T78&gt;=85%,$AB$12,IF(AND( T78&gt;65%,T78&lt;85%),$AB$13,$AB$14))</f>
        <v>#DIV/0!</v>
      </c>
    </row>
    <row r="79" spans="2:21" ht="63" customHeight="1" thickBot="1" x14ac:dyDescent="0.35">
      <c r="B79" s="192" t="s">
        <v>345</v>
      </c>
      <c r="C79" s="259">
        <f>+'ANALISIS OCI'!X77</f>
        <v>0</v>
      </c>
      <c r="D79" s="260">
        <f>+'ANALISIS OCI'!Y77</f>
        <v>0</v>
      </c>
      <c r="E79" s="260">
        <f>+'ANALISIS OCI'!Z77</f>
        <v>0</v>
      </c>
      <c r="F79" s="260">
        <f>+'ANALISIS OCI'!AA77</f>
        <v>0</v>
      </c>
      <c r="G79" s="261">
        <f t="shared" si="11"/>
        <v>0</v>
      </c>
      <c r="H79" s="249">
        <f t="shared" si="12"/>
        <v>0</v>
      </c>
      <c r="I79" s="250">
        <f t="shared" si="13"/>
        <v>0</v>
      </c>
      <c r="J79" s="246" t="e">
        <f>'ANALISIS OCI'!AC77</f>
        <v>#DIV/0!</v>
      </c>
      <c r="K79" s="247" t="e">
        <f t="shared" ref="K79:K92" si="21">(IF(J79="Extremo",50%,(IF(J79="Alto",40%,IF(J79="Moderado",15%,IF(J79="Bajo",10%,0))))))</f>
        <v>#DIV/0!</v>
      </c>
      <c r="L79" s="248" t="e">
        <f t="shared" si="19"/>
        <v>#DIV/0!</v>
      </c>
      <c r="M79" s="262"/>
      <c r="N79" s="263">
        <f t="shared" si="14"/>
        <v>0</v>
      </c>
      <c r="O79" s="264"/>
      <c r="P79" s="265">
        <f t="shared" si="15"/>
        <v>0</v>
      </c>
      <c r="Q79" s="251"/>
      <c r="R79" s="252">
        <f t="shared" si="16"/>
        <v>44196</v>
      </c>
      <c r="S79" s="266">
        <f t="shared" si="17"/>
        <v>0.3</v>
      </c>
      <c r="T79" s="191" t="e">
        <f t="shared" si="18"/>
        <v>#DIV/0!</v>
      </c>
      <c r="U79" s="206" t="e">
        <f t="shared" si="20"/>
        <v>#DIV/0!</v>
      </c>
    </row>
    <row r="80" spans="2:21" ht="63" customHeight="1" thickBot="1" x14ac:dyDescent="0.35">
      <c r="B80" s="192" t="s">
        <v>346</v>
      </c>
      <c r="C80" s="259">
        <f>+'ANALISIS OCI'!X78</f>
        <v>0</v>
      </c>
      <c r="D80" s="260">
        <f>+'ANALISIS OCI'!Y78</f>
        <v>0</v>
      </c>
      <c r="E80" s="260">
        <f>+'ANALISIS OCI'!Z78</f>
        <v>0</v>
      </c>
      <c r="F80" s="260">
        <f>+'ANALISIS OCI'!AA78</f>
        <v>0</v>
      </c>
      <c r="G80" s="261">
        <f t="shared" si="11"/>
        <v>0</v>
      </c>
      <c r="H80" s="249">
        <f t="shared" si="12"/>
        <v>0</v>
      </c>
      <c r="I80" s="250">
        <f t="shared" si="13"/>
        <v>0</v>
      </c>
      <c r="J80" s="246" t="e">
        <f>'ANALISIS OCI'!AC78</f>
        <v>#DIV/0!</v>
      </c>
      <c r="K80" s="247" t="e">
        <f t="shared" si="21"/>
        <v>#DIV/0!</v>
      </c>
      <c r="L80" s="248" t="e">
        <f t="shared" si="19"/>
        <v>#DIV/0!</v>
      </c>
      <c r="M80" s="262"/>
      <c r="N80" s="263">
        <f t="shared" si="14"/>
        <v>0</v>
      </c>
      <c r="O80" s="264"/>
      <c r="P80" s="265">
        <f t="shared" si="15"/>
        <v>0</v>
      </c>
      <c r="Q80" s="251"/>
      <c r="R80" s="252">
        <f t="shared" si="16"/>
        <v>44196</v>
      </c>
      <c r="S80" s="266">
        <f t="shared" si="17"/>
        <v>0.3</v>
      </c>
      <c r="T80" s="191" t="e">
        <f t="shared" si="18"/>
        <v>#DIV/0!</v>
      </c>
      <c r="U80" s="206" t="e">
        <f t="shared" si="20"/>
        <v>#DIV/0!</v>
      </c>
    </row>
    <row r="81" spans="2:21" ht="63" customHeight="1" thickBot="1" x14ac:dyDescent="0.35">
      <c r="B81" s="192" t="s">
        <v>347</v>
      </c>
      <c r="C81" s="259">
        <f>+'ANALISIS OCI'!X79</f>
        <v>0</v>
      </c>
      <c r="D81" s="260">
        <f>+'ANALISIS OCI'!Y79</f>
        <v>0</v>
      </c>
      <c r="E81" s="260">
        <f>+'ANALISIS OCI'!Z79</f>
        <v>0</v>
      </c>
      <c r="F81" s="260">
        <f>+'ANALISIS OCI'!AA79</f>
        <v>0</v>
      </c>
      <c r="G81" s="261">
        <f t="shared" si="11"/>
        <v>0</v>
      </c>
      <c r="H81" s="249">
        <f t="shared" si="12"/>
        <v>0</v>
      </c>
      <c r="I81" s="250">
        <f t="shared" si="13"/>
        <v>0</v>
      </c>
      <c r="J81" s="246" t="e">
        <f>'ANALISIS OCI'!AC79</f>
        <v>#DIV/0!</v>
      </c>
      <c r="K81" s="247" t="e">
        <f t="shared" si="21"/>
        <v>#DIV/0!</v>
      </c>
      <c r="L81" s="248" t="e">
        <f t="shared" si="19"/>
        <v>#DIV/0!</v>
      </c>
      <c r="M81" s="262"/>
      <c r="N81" s="263">
        <f t="shared" si="14"/>
        <v>0</v>
      </c>
      <c r="O81" s="264"/>
      <c r="P81" s="265">
        <f t="shared" si="15"/>
        <v>0</v>
      </c>
      <c r="Q81" s="251"/>
      <c r="R81" s="252">
        <f t="shared" si="16"/>
        <v>44196</v>
      </c>
      <c r="S81" s="266">
        <f t="shared" si="17"/>
        <v>0.3</v>
      </c>
      <c r="T81" s="191" t="e">
        <f t="shared" si="18"/>
        <v>#DIV/0!</v>
      </c>
      <c r="U81" s="206" t="e">
        <f t="shared" si="20"/>
        <v>#DIV/0!</v>
      </c>
    </row>
    <row r="82" spans="2:21" ht="63" customHeight="1" thickBot="1" x14ac:dyDescent="0.35">
      <c r="B82" s="192" t="s">
        <v>348</v>
      </c>
      <c r="C82" s="259">
        <f>+'ANALISIS OCI'!X80</f>
        <v>0</v>
      </c>
      <c r="D82" s="260">
        <f>+'ANALISIS OCI'!Y80</f>
        <v>0</v>
      </c>
      <c r="E82" s="260">
        <f>+'ANALISIS OCI'!Z80</f>
        <v>0</v>
      </c>
      <c r="F82" s="260">
        <f>+'ANALISIS OCI'!AA80</f>
        <v>0</v>
      </c>
      <c r="G82" s="261">
        <f t="shared" si="11"/>
        <v>0</v>
      </c>
      <c r="H82" s="249">
        <f t="shared" si="12"/>
        <v>0</v>
      </c>
      <c r="I82" s="250">
        <f t="shared" si="13"/>
        <v>0</v>
      </c>
      <c r="J82" s="246" t="e">
        <f>'ANALISIS OCI'!AC80</f>
        <v>#DIV/0!</v>
      </c>
      <c r="K82" s="247" t="e">
        <f t="shared" si="21"/>
        <v>#DIV/0!</v>
      </c>
      <c r="L82" s="248" t="e">
        <f t="shared" si="19"/>
        <v>#DIV/0!</v>
      </c>
      <c r="M82" s="262"/>
      <c r="N82" s="263">
        <f t="shared" si="14"/>
        <v>0</v>
      </c>
      <c r="O82" s="264"/>
      <c r="P82" s="265">
        <f t="shared" si="15"/>
        <v>0</v>
      </c>
      <c r="Q82" s="251"/>
      <c r="R82" s="252">
        <f t="shared" si="16"/>
        <v>44196</v>
      </c>
      <c r="S82" s="266">
        <f t="shared" si="17"/>
        <v>0.3</v>
      </c>
      <c r="T82" s="191" t="e">
        <f t="shared" si="18"/>
        <v>#DIV/0!</v>
      </c>
      <c r="U82" s="206" t="e">
        <f t="shared" si="20"/>
        <v>#DIV/0!</v>
      </c>
    </row>
    <row r="83" spans="2:21" ht="63" customHeight="1" thickBot="1" x14ac:dyDescent="0.35">
      <c r="B83" s="192" t="s">
        <v>349</v>
      </c>
      <c r="C83" s="259">
        <f>+'ANALISIS OCI'!X81</f>
        <v>0</v>
      </c>
      <c r="D83" s="260">
        <f>+'ANALISIS OCI'!Y81</f>
        <v>0</v>
      </c>
      <c r="E83" s="260">
        <f>+'ANALISIS OCI'!Z81</f>
        <v>0</v>
      </c>
      <c r="F83" s="260">
        <f>+'ANALISIS OCI'!AA81</f>
        <v>0</v>
      </c>
      <c r="G83" s="261">
        <f t="shared" si="11"/>
        <v>0</v>
      </c>
      <c r="H83" s="249">
        <f t="shared" si="12"/>
        <v>0</v>
      </c>
      <c r="I83" s="250">
        <f t="shared" si="13"/>
        <v>0</v>
      </c>
      <c r="J83" s="246" t="e">
        <f>'ANALISIS OCI'!AC81</f>
        <v>#DIV/0!</v>
      </c>
      <c r="K83" s="247" t="e">
        <f t="shared" si="21"/>
        <v>#DIV/0!</v>
      </c>
      <c r="L83" s="248" t="e">
        <f t="shared" si="19"/>
        <v>#DIV/0!</v>
      </c>
      <c r="M83" s="262"/>
      <c r="N83" s="263">
        <f t="shared" si="14"/>
        <v>0</v>
      </c>
      <c r="O83" s="264"/>
      <c r="P83" s="265">
        <f t="shared" si="15"/>
        <v>0</v>
      </c>
      <c r="Q83" s="251"/>
      <c r="R83" s="252">
        <f t="shared" si="16"/>
        <v>44196</v>
      </c>
      <c r="S83" s="266">
        <f t="shared" si="17"/>
        <v>0.3</v>
      </c>
      <c r="T83" s="191" t="e">
        <f t="shared" si="18"/>
        <v>#DIV/0!</v>
      </c>
      <c r="U83" s="206" t="e">
        <f t="shared" si="20"/>
        <v>#DIV/0!</v>
      </c>
    </row>
    <row r="84" spans="2:21" ht="63" customHeight="1" thickBot="1" x14ac:dyDescent="0.35">
      <c r="B84" s="192" t="s">
        <v>350</v>
      </c>
      <c r="C84" s="259">
        <f>+'ANALISIS OCI'!X82</f>
        <v>0</v>
      </c>
      <c r="D84" s="260">
        <f>+'ANALISIS OCI'!Y82</f>
        <v>0</v>
      </c>
      <c r="E84" s="260">
        <f>+'ANALISIS OCI'!Z82</f>
        <v>0</v>
      </c>
      <c r="F84" s="260">
        <f>+'ANALISIS OCI'!AA82</f>
        <v>0</v>
      </c>
      <c r="G84" s="261">
        <f t="shared" si="11"/>
        <v>0</v>
      </c>
      <c r="H84" s="249">
        <f t="shared" si="12"/>
        <v>0</v>
      </c>
      <c r="I84" s="250">
        <f t="shared" si="13"/>
        <v>0</v>
      </c>
      <c r="J84" s="246" t="e">
        <f>'ANALISIS OCI'!AC82</f>
        <v>#DIV/0!</v>
      </c>
      <c r="K84" s="247" t="e">
        <f t="shared" si="21"/>
        <v>#DIV/0!</v>
      </c>
      <c r="L84" s="248" t="e">
        <f t="shared" si="19"/>
        <v>#DIV/0!</v>
      </c>
      <c r="M84" s="262"/>
      <c r="N84" s="263">
        <f t="shared" si="14"/>
        <v>0</v>
      </c>
      <c r="O84" s="264"/>
      <c r="P84" s="265">
        <f t="shared" si="15"/>
        <v>0</v>
      </c>
      <c r="Q84" s="251"/>
      <c r="R84" s="252">
        <f t="shared" si="16"/>
        <v>44196</v>
      </c>
      <c r="S84" s="266">
        <f t="shared" si="17"/>
        <v>0.3</v>
      </c>
      <c r="T84" s="191" t="e">
        <f t="shared" si="18"/>
        <v>#DIV/0!</v>
      </c>
      <c r="U84" s="206" t="e">
        <f t="shared" si="20"/>
        <v>#DIV/0!</v>
      </c>
    </row>
    <row r="85" spans="2:21" ht="63" customHeight="1" thickBot="1" x14ac:dyDescent="0.35">
      <c r="B85" s="192" t="s">
        <v>351</v>
      </c>
      <c r="C85" s="259">
        <f>+'ANALISIS OCI'!X83</f>
        <v>0</v>
      </c>
      <c r="D85" s="260">
        <f>+'ANALISIS OCI'!Y83</f>
        <v>0</v>
      </c>
      <c r="E85" s="260">
        <f>+'ANALISIS OCI'!Z83</f>
        <v>0</v>
      </c>
      <c r="F85" s="260">
        <f>+'ANALISIS OCI'!AA83</f>
        <v>0</v>
      </c>
      <c r="G85" s="261">
        <f t="shared" si="11"/>
        <v>0</v>
      </c>
      <c r="H85" s="249">
        <f t="shared" si="12"/>
        <v>0</v>
      </c>
      <c r="I85" s="250">
        <f t="shared" si="13"/>
        <v>0</v>
      </c>
      <c r="J85" s="246" t="e">
        <f>'ANALISIS OCI'!AC83</f>
        <v>#DIV/0!</v>
      </c>
      <c r="K85" s="247" t="e">
        <f t="shared" si="21"/>
        <v>#DIV/0!</v>
      </c>
      <c r="L85" s="248" t="e">
        <f t="shared" si="19"/>
        <v>#DIV/0!</v>
      </c>
      <c r="M85" s="262"/>
      <c r="N85" s="263">
        <f t="shared" si="14"/>
        <v>0</v>
      </c>
      <c r="O85" s="264"/>
      <c r="P85" s="265">
        <f t="shared" si="15"/>
        <v>0</v>
      </c>
      <c r="Q85" s="251"/>
      <c r="R85" s="252">
        <f t="shared" si="16"/>
        <v>44196</v>
      </c>
      <c r="S85" s="266">
        <f t="shared" si="17"/>
        <v>0.3</v>
      </c>
      <c r="T85" s="191" t="e">
        <f t="shared" si="18"/>
        <v>#DIV/0!</v>
      </c>
      <c r="U85" s="206" t="e">
        <f t="shared" si="20"/>
        <v>#DIV/0!</v>
      </c>
    </row>
    <row r="86" spans="2:21" ht="63" customHeight="1" thickBot="1" x14ac:dyDescent="0.35">
      <c r="B86" s="192" t="s">
        <v>352</v>
      </c>
      <c r="C86" s="259">
        <f>+'ANALISIS OCI'!X84</f>
        <v>0</v>
      </c>
      <c r="D86" s="260">
        <f>+'ANALISIS OCI'!Y84</f>
        <v>0</v>
      </c>
      <c r="E86" s="260">
        <f>+'ANALISIS OCI'!Z84</f>
        <v>0</v>
      </c>
      <c r="F86" s="260">
        <f>+'ANALISIS OCI'!AA84</f>
        <v>0</v>
      </c>
      <c r="G86" s="261">
        <f t="shared" si="11"/>
        <v>0</v>
      </c>
      <c r="H86" s="249">
        <f t="shared" si="12"/>
        <v>0</v>
      </c>
      <c r="I86" s="250">
        <f t="shared" si="13"/>
        <v>0</v>
      </c>
      <c r="J86" s="246" t="e">
        <f>'ANALISIS OCI'!AC84</f>
        <v>#DIV/0!</v>
      </c>
      <c r="K86" s="247" t="e">
        <f t="shared" si="21"/>
        <v>#DIV/0!</v>
      </c>
      <c r="L86" s="248" t="e">
        <f t="shared" si="19"/>
        <v>#DIV/0!</v>
      </c>
      <c r="M86" s="262"/>
      <c r="N86" s="263">
        <f t="shared" si="14"/>
        <v>0</v>
      </c>
      <c r="O86" s="264"/>
      <c r="P86" s="265">
        <f t="shared" si="15"/>
        <v>0</v>
      </c>
      <c r="Q86" s="251"/>
      <c r="R86" s="252">
        <f t="shared" si="16"/>
        <v>44196</v>
      </c>
      <c r="S86" s="266">
        <f t="shared" si="17"/>
        <v>0.3</v>
      </c>
      <c r="T86" s="191" t="e">
        <f t="shared" si="18"/>
        <v>#DIV/0!</v>
      </c>
      <c r="U86" s="206" t="e">
        <f t="shared" si="20"/>
        <v>#DIV/0!</v>
      </c>
    </row>
    <row r="87" spans="2:21" ht="63" customHeight="1" thickBot="1" x14ac:dyDescent="0.35">
      <c r="B87" s="192" t="s">
        <v>353</v>
      </c>
      <c r="C87" s="259">
        <f>+'ANALISIS OCI'!X85</f>
        <v>0</v>
      </c>
      <c r="D87" s="260">
        <f>+'ANALISIS OCI'!Y85</f>
        <v>0</v>
      </c>
      <c r="E87" s="260">
        <f>+'ANALISIS OCI'!Z85</f>
        <v>0</v>
      </c>
      <c r="F87" s="260">
        <f>+'ANALISIS OCI'!AA85</f>
        <v>0</v>
      </c>
      <c r="G87" s="261">
        <f t="shared" si="11"/>
        <v>0</v>
      </c>
      <c r="H87" s="249">
        <f t="shared" si="12"/>
        <v>0</v>
      </c>
      <c r="I87" s="250">
        <f t="shared" si="13"/>
        <v>0</v>
      </c>
      <c r="J87" s="246" t="e">
        <f>'ANALISIS OCI'!AC85</f>
        <v>#DIV/0!</v>
      </c>
      <c r="K87" s="247" t="e">
        <f t="shared" si="21"/>
        <v>#DIV/0!</v>
      </c>
      <c r="L87" s="248" t="e">
        <f t="shared" si="19"/>
        <v>#DIV/0!</v>
      </c>
      <c r="M87" s="262"/>
      <c r="N87" s="263">
        <f t="shared" si="14"/>
        <v>0</v>
      </c>
      <c r="O87" s="264"/>
      <c r="P87" s="265">
        <f t="shared" si="15"/>
        <v>0</v>
      </c>
      <c r="Q87" s="251"/>
      <c r="R87" s="252">
        <f t="shared" si="16"/>
        <v>44196</v>
      </c>
      <c r="S87" s="266">
        <f t="shared" si="17"/>
        <v>0.3</v>
      </c>
      <c r="T87" s="191" t="e">
        <f t="shared" si="18"/>
        <v>#DIV/0!</v>
      </c>
      <c r="U87" s="206" t="e">
        <f t="shared" si="20"/>
        <v>#DIV/0!</v>
      </c>
    </row>
    <row r="88" spans="2:21" ht="63" customHeight="1" thickBot="1" x14ac:dyDescent="0.35">
      <c r="B88" s="192" t="s">
        <v>354</v>
      </c>
      <c r="C88" s="259">
        <f>+'ANALISIS OCI'!X86</f>
        <v>0</v>
      </c>
      <c r="D88" s="260">
        <f>+'ANALISIS OCI'!Y86</f>
        <v>0</v>
      </c>
      <c r="E88" s="260">
        <f>+'ANALISIS OCI'!Z86</f>
        <v>0</v>
      </c>
      <c r="F88" s="260">
        <f>+'ANALISIS OCI'!AA86</f>
        <v>0</v>
      </c>
      <c r="G88" s="261">
        <f t="shared" si="11"/>
        <v>0</v>
      </c>
      <c r="H88" s="249">
        <f t="shared" si="12"/>
        <v>0</v>
      </c>
      <c r="I88" s="250">
        <f t="shared" si="13"/>
        <v>0</v>
      </c>
      <c r="J88" s="246" t="e">
        <f>'ANALISIS OCI'!AC86</f>
        <v>#DIV/0!</v>
      </c>
      <c r="K88" s="247" t="e">
        <f t="shared" si="21"/>
        <v>#DIV/0!</v>
      </c>
      <c r="L88" s="248" t="e">
        <f t="shared" si="19"/>
        <v>#DIV/0!</v>
      </c>
      <c r="M88" s="262"/>
      <c r="N88" s="263">
        <f t="shared" si="14"/>
        <v>0</v>
      </c>
      <c r="O88" s="264"/>
      <c r="P88" s="265">
        <f t="shared" si="15"/>
        <v>0</v>
      </c>
      <c r="Q88" s="251"/>
      <c r="R88" s="252">
        <f t="shared" si="16"/>
        <v>44196</v>
      </c>
      <c r="S88" s="266">
        <f t="shared" si="17"/>
        <v>0.3</v>
      </c>
      <c r="T88" s="191" t="e">
        <f t="shared" si="18"/>
        <v>#DIV/0!</v>
      </c>
      <c r="U88" s="206" t="e">
        <f t="shared" si="20"/>
        <v>#DIV/0!</v>
      </c>
    </row>
    <row r="89" spans="2:21" ht="63" customHeight="1" thickBot="1" x14ac:dyDescent="0.35">
      <c r="B89" s="192" t="s">
        <v>355</v>
      </c>
      <c r="C89" s="259">
        <f>+'ANALISIS OCI'!X87</f>
        <v>0</v>
      </c>
      <c r="D89" s="260">
        <f>+'ANALISIS OCI'!Y87</f>
        <v>0</v>
      </c>
      <c r="E89" s="260">
        <f>+'ANALISIS OCI'!Z87</f>
        <v>0</v>
      </c>
      <c r="F89" s="260">
        <f>+'ANALISIS OCI'!AA87</f>
        <v>0</v>
      </c>
      <c r="G89" s="261">
        <f t="shared" si="11"/>
        <v>0</v>
      </c>
      <c r="H89" s="249">
        <f t="shared" si="12"/>
        <v>0</v>
      </c>
      <c r="I89" s="250">
        <f t="shared" si="13"/>
        <v>0</v>
      </c>
      <c r="J89" s="246" t="e">
        <f>'ANALISIS OCI'!AC87</f>
        <v>#DIV/0!</v>
      </c>
      <c r="K89" s="247" t="e">
        <f t="shared" si="21"/>
        <v>#DIV/0!</v>
      </c>
      <c r="L89" s="248" t="e">
        <f t="shared" si="19"/>
        <v>#DIV/0!</v>
      </c>
      <c r="M89" s="262"/>
      <c r="N89" s="263">
        <f t="shared" si="14"/>
        <v>0</v>
      </c>
      <c r="O89" s="264"/>
      <c r="P89" s="265">
        <f t="shared" si="15"/>
        <v>0</v>
      </c>
      <c r="Q89" s="251"/>
      <c r="R89" s="252">
        <f t="shared" si="16"/>
        <v>44196</v>
      </c>
      <c r="S89" s="266">
        <f t="shared" si="17"/>
        <v>0.3</v>
      </c>
      <c r="T89" s="191" t="e">
        <f t="shared" si="18"/>
        <v>#DIV/0!</v>
      </c>
      <c r="U89" s="206" t="e">
        <f t="shared" si="20"/>
        <v>#DIV/0!</v>
      </c>
    </row>
    <row r="90" spans="2:21" ht="63" customHeight="1" thickBot="1" x14ac:dyDescent="0.35">
      <c r="B90" s="192" t="s">
        <v>356</v>
      </c>
      <c r="C90" s="259">
        <f>+'ANALISIS OCI'!X88</f>
        <v>0</v>
      </c>
      <c r="D90" s="260">
        <f>+'ANALISIS OCI'!Y88</f>
        <v>0</v>
      </c>
      <c r="E90" s="260">
        <f>+'ANALISIS OCI'!Z88</f>
        <v>0</v>
      </c>
      <c r="F90" s="260">
        <f>+'ANALISIS OCI'!AA88</f>
        <v>0</v>
      </c>
      <c r="G90" s="261">
        <f t="shared" si="11"/>
        <v>0</v>
      </c>
      <c r="H90" s="249">
        <f t="shared" si="12"/>
        <v>0</v>
      </c>
      <c r="I90" s="250">
        <f t="shared" si="13"/>
        <v>0</v>
      </c>
      <c r="J90" s="246" t="e">
        <f>'ANALISIS OCI'!AC88</f>
        <v>#DIV/0!</v>
      </c>
      <c r="K90" s="247" t="e">
        <f t="shared" si="21"/>
        <v>#DIV/0!</v>
      </c>
      <c r="L90" s="248" t="e">
        <f t="shared" si="19"/>
        <v>#DIV/0!</v>
      </c>
      <c r="M90" s="262"/>
      <c r="N90" s="263">
        <f t="shared" si="14"/>
        <v>0</v>
      </c>
      <c r="O90" s="264"/>
      <c r="P90" s="265">
        <f t="shared" si="15"/>
        <v>0</v>
      </c>
      <c r="Q90" s="251"/>
      <c r="R90" s="252">
        <f t="shared" si="16"/>
        <v>44196</v>
      </c>
      <c r="S90" s="266">
        <f t="shared" si="17"/>
        <v>0.3</v>
      </c>
      <c r="T90" s="191" t="e">
        <f t="shared" si="18"/>
        <v>#DIV/0!</v>
      </c>
      <c r="U90" s="206" t="e">
        <f t="shared" si="20"/>
        <v>#DIV/0!</v>
      </c>
    </row>
    <row r="91" spans="2:21" ht="63" customHeight="1" thickBot="1" x14ac:dyDescent="0.35">
      <c r="B91" s="192" t="s">
        <v>357</v>
      </c>
      <c r="C91" s="259">
        <f>+'ANALISIS OCI'!X89</f>
        <v>0</v>
      </c>
      <c r="D91" s="260">
        <f>+'ANALISIS OCI'!Y89</f>
        <v>0</v>
      </c>
      <c r="E91" s="260">
        <f>+'ANALISIS OCI'!Z89</f>
        <v>0</v>
      </c>
      <c r="F91" s="260">
        <f>+'ANALISIS OCI'!AA89</f>
        <v>0</v>
      </c>
      <c r="G91" s="261">
        <f t="shared" si="11"/>
        <v>0</v>
      </c>
      <c r="H91" s="249">
        <f t="shared" si="12"/>
        <v>0</v>
      </c>
      <c r="I91" s="250">
        <f t="shared" si="13"/>
        <v>0</v>
      </c>
      <c r="J91" s="246">
        <f>'ANALISIS OCI'!AC89</f>
        <v>0</v>
      </c>
      <c r="K91" s="247">
        <f t="shared" si="21"/>
        <v>0</v>
      </c>
      <c r="L91" s="248">
        <f t="shared" si="19"/>
        <v>0</v>
      </c>
      <c r="M91" s="262"/>
      <c r="N91" s="263">
        <f t="shared" si="14"/>
        <v>0</v>
      </c>
      <c r="O91" s="264"/>
      <c r="P91" s="265">
        <f t="shared" si="15"/>
        <v>0</v>
      </c>
      <c r="Q91" s="251"/>
      <c r="R91" s="252">
        <f t="shared" si="16"/>
        <v>44196</v>
      </c>
      <c r="S91" s="266">
        <f t="shared" si="17"/>
        <v>0.3</v>
      </c>
      <c r="T91" s="191">
        <f t="shared" si="18"/>
        <v>0.3</v>
      </c>
      <c r="U91" s="206" t="str">
        <f t="shared" si="20"/>
        <v>Incluir en ciclos posteriores de auditoría</v>
      </c>
    </row>
    <row r="92" spans="2:21" ht="63" customHeight="1" thickBot="1" x14ac:dyDescent="0.35">
      <c r="B92" s="192" t="s">
        <v>358</v>
      </c>
      <c r="C92" s="259">
        <f>+'ANALISIS OCI'!X90</f>
        <v>0</v>
      </c>
      <c r="D92" s="260">
        <f>+'ANALISIS OCI'!Y90</f>
        <v>0</v>
      </c>
      <c r="E92" s="260">
        <f>+'ANALISIS OCI'!Z90</f>
        <v>0</v>
      </c>
      <c r="F92" s="260">
        <f>+'ANALISIS OCI'!AA90</f>
        <v>0</v>
      </c>
      <c r="G92" s="261">
        <f t="shared" si="11"/>
        <v>0</v>
      </c>
      <c r="H92" s="249">
        <f t="shared" si="12"/>
        <v>0</v>
      </c>
      <c r="I92" s="250">
        <f t="shared" si="13"/>
        <v>0</v>
      </c>
      <c r="J92" s="246">
        <f>'ANALISIS OCI'!AC90</f>
        <v>0</v>
      </c>
      <c r="K92" s="247">
        <f t="shared" si="21"/>
        <v>0</v>
      </c>
      <c r="L92" s="248">
        <f t="shared" si="19"/>
        <v>0</v>
      </c>
      <c r="M92" s="262"/>
      <c r="N92" s="263">
        <f t="shared" si="14"/>
        <v>0</v>
      </c>
      <c r="O92" s="264"/>
      <c r="P92" s="265">
        <f t="shared" si="15"/>
        <v>0</v>
      </c>
      <c r="Q92" s="251"/>
      <c r="R92" s="252">
        <f t="shared" si="16"/>
        <v>44196</v>
      </c>
      <c r="S92" s="266">
        <f t="shared" si="17"/>
        <v>0.3</v>
      </c>
      <c r="T92" s="191">
        <f t="shared" si="18"/>
        <v>0.3</v>
      </c>
      <c r="U92" s="206" t="str">
        <f t="shared" si="20"/>
        <v>Incluir en ciclos posteriores de auditoría</v>
      </c>
    </row>
    <row r="93" spans="2:21" ht="15.75" customHeight="1" x14ac:dyDescent="0.3"/>
    <row r="94" spans="2:21" ht="15.75" customHeight="1" x14ac:dyDescent="0.3"/>
    <row r="95" spans="2:21" ht="15.75" customHeight="1" x14ac:dyDescent="0.3"/>
    <row r="96" spans="2:21" ht="15.75" customHeight="1" x14ac:dyDescent="0.3"/>
    <row r="97" ht="15.75" customHeight="1" x14ac:dyDescent="0.3"/>
    <row r="98" ht="15.75" customHeight="1" x14ac:dyDescent="0.3"/>
    <row r="99" ht="15.75" customHeight="1" x14ac:dyDescent="0.3"/>
    <row r="100" ht="15.75" customHeight="1" x14ac:dyDescent="0.3"/>
  </sheetData>
  <mergeCells count="23">
    <mergeCell ref="T9:U10"/>
    <mergeCell ref="T8:U8"/>
    <mergeCell ref="C8:J8"/>
    <mergeCell ref="J9:L10"/>
    <mergeCell ref="M8:N8"/>
    <mergeCell ref="O8:P8"/>
    <mergeCell ref="Q8:S8"/>
    <mergeCell ref="Q9:Q10"/>
    <mergeCell ref="R9:R10"/>
    <mergeCell ref="S9:S10"/>
    <mergeCell ref="B9:B10"/>
    <mergeCell ref="C9:G9"/>
    <mergeCell ref="H9:I10"/>
    <mergeCell ref="M9:N10"/>
    <mergeCell ref="O9:P10"/>
    <mergeCell ref="C6:D6"/>
    <mergeCell ref="B2:B5"/>
    <mergeCell ref="C2:Q5"/>
    <mergeCell ref="R2:S2"/>
    <mergeCell ref="T2:T5"/>
    <mergeCell ref="R3:S3"/>
    <mergeCell ref="R4:S4"/>
    <mergeCell ref="R5:S5"/>
  </mergeCells>
  <phoneticPr fontId="59" type="noConversion"/>
  <conditionalFormatting sqref="H11">
    <cfRule type="containsText" dxfId="173" priority="45" operator="containsText" text="Moderado">
      <formula>NOT(ISERROR(SEARCH(("Moderado"),(H11))))</formula>
    </cfRule>
  </conditionalFormatting>
  <conditionalFormatting sqref="H11">
    <cfRule type="containsText" dxfId="172" priority="46" operator="containsText" text="Alto">
      <formula>NOT(ISERROR(SEARCH(("Alto"),(H11))))</formula>
    </cfRule>
  </conditionalFormatting>
  <conditionalFormatting sqref="H11">
    <cfRule type="containsText" dxfId="171" priority="47" operator="containsText" text="Muy Alto">
      <formula>NOT(ISERROR(SEARCH(("Muy Alto"),(H11))))</formula>
    </cfRule>
  </conditionalFormatting>
  <conditionalFormatting sqref="H11">
    <cfRule type="containsText" dxfId="170" priority="48" operator="containsText" text="Muy Bajo">
      <formula>NOT(ISERROR(SEARCH(("Muy Bajo"),(H11))))</formula>
    </cfRule>
  </conditionalFormatting>
  <conditionalFormatting sqref="H11">
    <cfRule type="containsText" dxfId="169" priority="49" operator="containsText" text="Bajo">
      <formula>NOT(ISERROR(SEARCH(("Bajo"),(H11))))</formula>
    </cfRule>
  </conditionalFormatting>
  <conditionalFormatting sqref="H11">
    <cfRule type="containsText" dxfId="168" priority="50" operator="containsText" text="Extremo">
      <formula>NOT(ISERROR(SEARCH(("Extremo"),(H11))))</formula>
    </cfRule>
  </conditionalFormatting>
  <conditionalFormatting sqref="T11:T19 T22:T92">
    <cfRule type="colorScale" priority="87">
      <colorScale>
        <cfvo type="min"/>
        <cfvo type="percentile" val="50"/>
        <cfvo type="max"/>
        <color rgb="FF63BE7B"/>
        <color rgb="FFFFEB84"/>
        <color rgb="FFF8696B"/>
      </colorScale>
    </cfRule>
  </conditionalFormatting>
  <conditionalFormatting sqref="G11">
    <cfRule type="containsText" dxfId="167" priority="28" operator="containsText" text="Muy Alto">
      <formula>NOT(ISERROR(SEARCH(("Muy Alto"),(G11))))</formula>
    </cfRule>
  </conditionalFormatting>
  <conditionalFormatting sqref="T20">
    <cfRule type="colorScale" priority="44">
      <colorScale>
        <cfvo type="min"/>
        <cfvo type="percentile" val="50"/>
        <cfvo type="max"/>
        <color rgb="FF63BE7B"/>
        <color rgb="FFFFEB84"/>
        <color rgb="FFF8696B"/>
      </colorScale>
    </cfRule>
  </conditionalFormatting>
  <conditionalFormatting sqref="T21">
    <cfRule type="colorScale" priority="37">
      <colorScale>
        <cfvo type="min"/>
        <cfvo type="percentile" val="50"/>
        <cfvo type="max"/>
        <color rgb="FF63BE7B"/>
        <color rgb="FFFFEB84"/>
        <color rgb="FFF8696B"/>
      </colorScale>
    </cfRule>
  </conditionalFormatting>
  <conditionalFormatting sqref="G11">
    <cfRule type="containsText" dxfId="166" priority="30" operator="containsText" text="Moderado">
      <formula>NOT(ISERROR(SEARCH(("Moderado"),(G11))))</formula>
    </cfRule>
  </conditionalFormatting>
  <conditionalFormatting sqref="G11">
    <cfRule type="containsText" dxfId="165" priority="29" operator="containsText" text="Alto">
      <formula>NOT(ISERROR(SEARCH(("Alto"),(G11))))</formula>
    </cfRule>
  </conditionalFormatting>
  <conditionalFormatting sqref="G11">
    <cfRule type="containsText" dxfId="164" priority="88" operator="containsText" text="Muy Bajo">
      <formula>NOT(ISERROR(SEARCH(("Muy Bajo"),(G11))))</formula>
    </cfRule>
  </conditionalFormatting>
  <conditionalFormatting sqref="G11">
    <cfRule type="containsText" dxfId="163" priority="89" operator="containsText" text="Bajo">
      <formula>NOT(ISERROR(SEARCH(("Bajo"),(G11))))</formula>
    </cfRule>
  </conditionalFormatting>
  <conditionalFormatting sqref="G11">
    <cfRule type="containsText" dxfId="162" priority="90" operator="containsText" text="Extremo">
      <formula>NOT(ISERROR(SEARCH(("Extremo"),(G11))))</formula>
    </cfRule>
  </conditionalFormatting>
  <conditionalFormatting sqref="H12:H92">
    <cfRule type="containsText" dxfId="161" priority="12" operator="containsText" text="Moderado">
      <formula>NOT(ISERROR(SEARCH(("Moderado"),(H12))))</formula>
    </cfRule>
  </conditionalFormatting>
  <conditionalFormatting sqref="H12:H92">
    <cfRule type="containsText" dxfId="160" priority="11" operator="containsText" text="Alto">
      <formula>NOT(ISERROR(SEARCH(("Alto"),(H12))))</formula>
    </cfRule>
  </conditionalFormatting>
  <conditionalFormatting sqref="H12:H92">
    <cfRule type="containsText" dxfId="159" priority="10" operator="containsText" text="Muy Alto">
      <formula>NOT(ISERROR(SEARCH(("Muy Alto"),(H12))))</formula>
    </cfRule>
  </conditionalFormatting>
  <conditionalFormatting sqref="H12:H92">
    <cfRule type="containsText" dxfId="158" priority="91" operator="containsText" text="Muy Bajo">
      <formula>NOT(ISERROR(SEARCH(("Muy Bajo"),(H12))))</formula>
    </cfRule>
  </conditionalFormatting>
  <conditionalFormatting sqref="H12:H92">
    <cfRule type="containsText" dxfId="157" priority="92" operator="containsText" text="Bajo">
      <formula>NOT(ISERROR(SEARCH(("Bajo"),(H12))))</formula>
    </cfRule>
  </conditionalFormatting>
  <conditionalFormatting sqref="H12:H92">
    <cfRule type="containsText" dxfId="156" priority="93" operator="containsText" text="Extremo">
      <formula>NOT(ISERROR(SEARCH(("Extremo"),(H12))))</formula>
    </cfRule>
  </conditionalFormatting>
  <conditionalFormatting sqref="G12:G92">
    <cfRule type="containsText" dxfId="155" priority="6" operator="containsText" text="Moderado">
      <formula>NOT(ISERROR(SEARCH(("Moderado"),(G12))))</formula>
    </cfRule>
  </conditionalFormatting>
  <conditionalFormatting sqref="G12:G92">
    <cfRule type="containsText" dxfId="154" priority="5" operator="containsText" text="Alto">
      <formula>NOT(ISERROR(SEARCH(("Alto"),(G12))))</formula>
    </cfRule>
  </conditionalFormatting>
  <conditionalFormatting sqref="G12:G92">
    <cfRule type="containsText" dxfId="153" priority="4" operator="containsText" text="Muy Alto">
      <formula>NOT(ISERROR(SEARCH(("Muy Alto"),(G12))))</formula>
    </cfRule>
  </conditionalFormatting>
  <conditionalFormatting sqref="G12:G92">
    <cfRule type="containsText" dxfId="152" priority="94" operator="containsText" text="Muy Bajo">
      <formula>NOT(ISERROR(SEARCH(("Muy Bajo"),(G12))))</formula>
    </cfRule>
  </conditionalFormatting>
  <conditionalFormatting sqref="G12:G92">
    <cfRule type="containsText" dxfId="151" priority="95" operator="containsText" text="Bajo">
      <formula>NOT(ISERROR(SEARCH(("Bajo"),(G12))))</formula>
    </cfRule>
  </conditionalFormatting>
  <conditionalFormatting sqref="G12:G92">
    <cfRule type="containsText" dxfId="150" priority="96" operator="containsText" text="Extremo">
      <formula>NOT(ISERROR(SEARCH(("Extremo"),(G12))))</formula>
    </cfRule>
  </conditionalFormatting>
  <dataValidations count="1">
    <dataValidation type="list" allowBlank="1" showErrorMessage="1" sqref="M11:M92 O11:O92">
      <formula1>"Si,No"</formula1>
    </dataValidation>
  </dataValidations>
  <pageMargins left="0.7" right="0.7" top="0.75" bottom="0.75" header="0" footer="0"/>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15"/>
  <sheetViews>
    <sheetView workbookViewId="0">
      <selection activeCell="C9" sqref="C9:K9"/>
    </sheetView>
  </sheetViews>
  <sheetFormatPr baseColWidth="10" defaultColWidth="11.42578125" defaultRowHeight="15" x14ac:dyDescent="0.25"/>
  <cols>
    <col min="1" max="2" width="11.42578125" style="26"/>
    <col min="3" max="3" width="16.85546875" style="26" customWidth="1"/>
    <col min="4" max="16384" width="11.42578125" style="26"/>
  </cols>
  <sheetData>
    <row r="4" spans="3:11" ht="15.75" thickBot="1" x14ac:dyDescent="0.3"/>
    <row r="5" spans="3:11" x14ac:dyDescent="0.25">
      <c r="C5" s="157" t="s">
        <v>244</v>
      </c>
      <c r="D5" s="158"/>
      <c r="E5" s="158"/>
      <c r="F5" s="158"/>
      <c r="G5" s="158"/>
      <c r="H5" s="158"/>
      <c r="I5" s="158"/>
      <c r="J5" s="158"/>
      <c r="K5" s="159"/>
    </row>
    <row r="6" spans="3:11" ht="15.75" thickBot="1" x14ac:dyDescent="0.3">
      <c r="C6" s="160" t="s">
        <v>280</v>
      </c>
      <c r="D6" s="161" t="s">
        <v>287</v>
      </c>
      <c r="E6" s="161"/>
      <c r="F6" s="161"/>
      <c r="G6" s="161"/>
      <c r="H6" s="161"/>
      <c r="I6" s="161"/>
      <c r="J6" s="161"/>
      <c r="K6" s="162"/>
    </row>
    <row r="7" spans="3:11" x14ac:dyDescent="0.25">
      <c r="C7" s="156"/>
      <c r="D7" s="156"/>
      <c r="E7" s="156"/>
      <c r="F7" s="156"/>
      <c r="G7" s="156"/>
      <c r="H7" s="156"/>
      <c r="I7" s="156"/>
      <c r="J7" s="156"/>
      <c r="K7" s="156"/>
    </row>
    <row r="9" spans="3:11" ht="236.25" customHeight="1" x14ac:dyDescent="0.25">
      <c r="C9" s="502" t="s">
        <v>281</v>
      </c>
      <c r="D9" s="502"/>
      <c r="E9" s="502"/>
      <c r="F9" s="502"/>
      <c r="G9" s="502"/>
      <c r="H9" s="502"/>
      <c r="I9" s="502"/>
      <c r="J9" s="502"/>
      <c r="K9" s="502"/>
    </row>
    <row r="10" spans="3:11" ht="326.25" customHeight="1" x14ac:dyDescent="0.25">
      <c r="C10" s="502" t="s">
        <v>282</v>
      </c>
      <c r="D10" s="502"/>
      <c r="E10" s="502"/>
      <c r="F10" s="502"/>
      <c r="G10" s="502"/>
      <c r="H10" s="502"/>
      <c r="I10" s="502"/>
      <c r="J10" s="502"/>
      <c r="K10" s="502"/>
    </row>
    <row r="11" spans="3:11" ht="205.5" customHeight="1" x14ac:dyDescent="0.25">
      <c r="C11" s="502" t="s">
        <v>284</v>
      </c>
      <c r="D11" s="502"/>
      <c r="E11" s="502"/>
      <c r="F11" s="502"/>
      <c r="G11" s="502"/>
      <c r="H11" s="502"/>
      <c r="I11" s="502"/>
      <c r="J11" s="502"/>
      <c r="K11" s="502"/>
    </row>
    <row r="12" spans="3:11" ht="269.25" customHeight="1" x14ac:dyDescent="0.25">
      <c r="C12" s="502" t="s">
        <v>285</v>
      </c>
      <c r="D12" s="502"/>
      <c r="E12" s="502"/>
      <c r="F12" s="502"/>
      <c r="G12" s="502"/>
      <c r="H12" s="502"/>
      <c r="I12" s="502"/>
      <c r="J12" s="502"/>
      <c r="K12" s="502"/>
    </row>
    <row r="13" spans="3:11" ht="249" customHeight="1" x14ac:dyDescent="0.25">
      <c r="C13" s="502" t="s">
        <v>286</v>
      </c>
      <c r="D13" s="502"/>
      <c r="E13" s="502"/>
      <c r="F13" s="502"/>
      <c r="G13" s="502"/>
      <c r="H13" s="502"/>
      <c r="I13" s="502"/>
      <c r="J13" s="502"/>
      <c r="K13" s="502"/>
    </row>
    <row r="14" spans="3:11" ht="167.25" customHeight="1" x14ac:dyDescent="0.25">
      <c r="C14" s="502" t="s">
        <v>283</v>
      </c>
      <c r="D14" s="502"/>
      <c r="E14" s="502"/>
      <c r="F14" s="502"/>
      <c r="G14" s="502"/>
      <c r="H14" s="502"/>
      <c r="I14" s="502"/>
      <c r="J14" s="502"/>
      <c r="K14" s="502"/>
    </row>
    <row r="15" spans="3:11" ht="39.75" customHeight="1" x14ac:dyDescent="0.25">
      <c r="C15" s="503" t="s">
        <v>254</v>
      </c>
      <c r="D15" s="503"/>
      <c r="E15" s="503"/>
      <c r="F15" s="503"/>
      <c r="G15" s="503"/>
      <c r="H15" s="503"/>
      <c r="I15" s="503"/>
      <c r="J15" s="503"/>
      <c r="K15" s="503"/>
    </row>
  </sheetData>
  <mergeCells count="7">
    <mergeCell ref="C9:K9"/>
    <mergeCell ref="C10:K10"/>
    <mergeCell ref="C15:K15"/>
    <mergeCell ref="C11:K11"/>
    <mergeCell ref="C12:K12"/>
    <mergeCell ref="C14:K14"/>
    <mergeCell ref="C13:K13"/>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
  <sheetViews>
    <sheetView topLeftCell="C7" workbookViewId="0">
      <pane ySplit="2" topLeftCell="A9" activePane="bottomLeft" state="frozen"/>
      <selection activeCell="A7" sqref="A7"/>
      <selection pane="bottomLeft" activeCell="C1" sqref="C1"/>
    </sheetView>
  </sheetViews>
  <sheetFormatPr baseColWidth="10" defaultColWidth="11.42578125" defaultRowHeight="15" x14ac:dyDescent="0.25"/>
  <cols>
    <col min="1" max="2" width="38.5703125" customWidth="1"/>
    <col min="3" max="3" width="25.7109375" customWidth="1"/>
    <col min="4" max="4" width="9.5703125" hidden="1" customWidth="1"/>
    <col min="5" max="5" width="20" customWidth="1"/>
    <col min="6" max="6" width="20" hidden="1" customWidth="1"/>
    <col min="7" max="7" width="22.5703125" customWidth="1"/>
    <col min="8" max="8" width="22.5703125" hidden="1" customWidth="1"/>
    <col min="9" max="9" width="23.5703125" customWidth="1"/>
    <col min="10" max="10" width="23.5703125" hidden="1" customWidth="1"/>
    <col min="11" max="11" width="33.5703125" customWidth="1"/>
    <col min="12" max="12" width="11.42578125" hidden="1" customWidth="1"/>
    <col min="13" max="13" width="24.5703125" customWidth="1"/>
    <col min="14" max="14" width="11.42578125" hidden="1" customWidth="1"/>
    <col min="15" max="15" width="17.28515625" customWidth="1"/>
    <col min="16" max="16" width="17.28515625" hidden="1" customWidth="1"/>
    <col min="17" max="23" width="3.140625" customWidth="1"/>
    <col min="29" max="29" width="14.28515625" bestFit="1" customWidth="1"/>
  </cols>
  <sheetData>
    <row r="1" spans="1:35" ht="15.75" thickBot="1" x14ac:dyDescent="0.3"/>
    <row r="2" spans="1:35" x14ac:dyDescent="0.25">
      <c r="A2" s="561"/>
      <c r="B2" s="207"/>
      <c r="C2" s="564" t="s">
        <v>301</v>
      </c>
      <c r="D2" s="565"/>
      <c r="E2" s="565"/>
      <c r="F2" s="565"/>
      <c r="G2" s="565"/>
      <c r="H2" s="565"/>
      <c r="I2" s="565"/>
      <c r="J2" s="565"/>
      <c r="K2" s="565"/>
      <c r="L2" s="565"/>
      <c r="M2" s="565"/>
      <c r="N2" s="565"/>
      <c r="O2" s="565"/>
      <c r="P2" s="195"/>
      <c r="Q2" s="565"/>
      <c r="R2" s="565"/>
      <c r="S2" s="565"/>
      <c r="T2" s="565"/>
      <c r="U2" s="565"/>
      <c r="V2" s="565"/>
      <c r="W2" s="565"/>
      <c r="X2" s="565"/>
      <c r="Y2" s="565"/>
      <c r="Z2" s="565"/>
      <c r="AA2" s="568"/>
      <c r="AB2" s="568"/>
      <c r="AC2" s="569"/>
    </row>
    <row r="3" spans="1:35" x14ac:dyDescent="0.25">
      <c r="A3" s="562"/>
      <c r="B3" s="208"/>
      <c r="C3" s="566"/>
      <c r="D3" s="566"/>
      <c r="E3" s="566"/>
      <c r="F3" s="566"/>
      <c r="G3" s="566"/>
      <c r="H3" s="566"/>
      <c r="I3" s="566"/>
      <c r="J3" s="566"/>
      <c r="K3" s="566"/>
      <c r="L3" s="566"/>
      <c r="M3" s="566"/>
      <c r="N3" s="566"/>
      <c r="O3" s="566"/>
      <c r="P3" s="196"/>
      <c r="Q3" s="566"/>
      <c r="R3" s="566"/>
      <c r="S3" s="566"/>
      <c r="T3" s="566"/>
      <c r="U3" s="566"/>
      <c r="V3" s="566"/>
      <c r="W3" s="566"/>
      <c r="X3" s="566"/>
      <c r="Y3" s="566"/>
      <c r="Z3" s="566"/>
      <c r="AA3" s="570"/>
      <c r="AB3" s="570"/>
      <c r="AC3" s="571"/>
    </row>
    <row r="4" spans="1:35" x14ac:dyDescent="0.25">
      <c r="A4" s="562"/>
      <c r="B4" s="208"/>
      <c r="C4" s="566"/>
      <c r="D4" s="566"/>
      <c r="E4" s="566"/>
      <c r="F4" s="566"/>
      <c r="G4" s="566"/>
      <c r="H4" s="566"/>
      <c r="I4" s="566"/>
      <c r="J4" s="566"/>
      <c r="K4" s="566"/>
      <c r="L4" s="566"/>
      <c r="M4" s="566"/>
      <c r="N4" s="566"/>
      <c r="O4" s="566"/>
      <c r="P4" s="196"/>
      <c r="Q4" s="566"/>
      <c r="R4" s="566"/>
      <c r="S4" s="566"/>
      <c r="T4" s="566"/>
      <c r="U4" s="566"/>
      <c r="V4" s="566"/>
      <c r="W4" s="566"/>
      <c r="X4" s="566"/>
      <c r="Y4" s="566"/>
      <c r="Z4" s="566"/>
      <c r="AA4" s="570"/>
      <c r="AB4" s="570"/>
      <c r="AC4" s="571"/>
    </row>
    <row r="5" spans="1:35" ht="15.75" thickBot="1" x14ac:dyDescent="0.3">
      <c r="A5" s="563"/>
      <c r="B5" s="209"/>
      <c r="C5" s="567"/>
      <c r="D5" s="567"/>
      <c r="E5" s="567"/>
      <c r="F5" s="567"/>
      <c r="G5" s="567"/>
      <c r="H5" s="567"/>
      <c r="I5" s="567"/>
      <c r="J5" s="567"/>
      <c r="K5" s="567"/>
      <c r="L5" s="567"/>
      <c r="M5" s="567"/>
      <c r="N5" s="567"/>
      <c r="O5" s="567"/>
      <c r="P5" s="197"/>
      <c r="Q5" s="567"/>
      <c r="R5" s="567"/>
      <c r="S5" s="567"/>
      <c r="T5" s="567"/>
      <c r="U5" s="567"/>
      <c r="V5" s="567"/>
      <c r="W5" s="567"/>
      <c r="X5" s="567"/>
      <c r="Y5" s="567"/>
      <c r="Z5" s="567"/>
      <c r="AA5" s="572"/>
      <c r="AB5" s="572"/>
      <c r="AC5" s="573"/>
    </row>
    <row r="6" spans="1:35" ht="15.75" thickBot="1" x14ac:dyDescent="0.3"/>
    <row r="7" spans="1:35" x14ac:dyDescent="0.25">
      <c r="A7" s="576" t="s">
        <v>15</v>
      </c>
      <c r="B7" s="576" t="s">
        <v>361</v>
      </c>
      <c r="C7" s="578">
        <v>1</v>
      </c>
      <c r="D7" s="579"/>
      <c r="E7" s="579">
        <v>2</v>
      </c>
      <c r="F7" s="579"/>
      <c r="G7" s="579">
        <v>3</v>
      </c>
      <c r="H7" s="579"/>
      <c r="I7" s="579">
        <v>4</v>
      </c>
      <c r="J7" s="579"/>
      <c r="K7" s="579">
        <v>5</v>
      </c>
      <c r="L7" s="579"/>
      <c r="M7" s="579">
        <v>6</v>
      </c>
      <c r="N7" s="579"/>
      <c r="O7" s="579">
        <v>7</v>
      </c>
      <c r="P7" s="580"/>
      <c r="Q7" s="574">
        <v>1</v>
      </c>
      <c r="R7" s="574">
        <v>2</v>
      </c>
      <c r="S7" s="574">
        <v>3</v>
      </c>
      <c r="T7" s="574">
        <v>4</v>
      </c>
      <c r="U7" s="574">
        <v>5</v>
      </c>
      <c r="V7" s="574">
        <v>6</v>
      </c>
      <c r="W7" s="574">
        <v>7</v>
      </c>
      <c r="X7" s="591" t="s">
        <v>1</v>
      </c>
      <c r="Y7" s="593" t="s">
        <v>2</v>
      </c>
      <c r="Z7" s="595" t="s">
        <v>3</v>
      </c>
      <c r="AA7" s="582" t="s">
        <v>4</v>
      </c>
      <c r="AB7" s="584" t="s">
        <v>302</v>
      </c>
      <c r="AC7" s="586" t="s">
        <v>303</v>
      </c>
    </row>
    <row r="8" spans="1:35" s="198" customFormat="1" ht="45" customHeight="1" thickBot="1" x14ac:dyDescent="0.3">
      <c r="A8" s="577"/>
      <c r="B8" s="581"/>
      <c r="C8" s="588" t="s">
        <v>304</v>
      </c>
      <c r="D8" s="589"/>
      <c r="E8" s="589" t="s">
        <v>305</v>
      </c>
      <c r="F8" s="589"/>
      <c r="G8" s="589" t="s">
        <v>306</v>
      </c>
      <c r="H8" s="589"/>
      <c r="I8" s="589" t="s">
        <v>307</v>
      </c>
      <c r="J8" s="589"/>
      <c r="K8" s="589" t="s">
        <v>308</v>
      </c>
      <c r="L8" s="589"/>
      <c r="M8" s="589" t="s">
        <v>309</v>
      </c>
      <c r="N8" s="589"/>
      <c r="O8" s="589" t="s">
        <v>310</v>
      </c>
      <c r="P8" s="590"/>
      <c r="Q8" s="575"/>
      <c r="R8" s="575"/>
      <c r="S8" s="575"/>
      <c r="T8" s="575"/>
      <c r="U8" s="575"/>
      <c r="V8" s="575"/>
      <c r="W8" s="575"/>
      <c r="X8" s="592"/>
      <c r="Y8" s="594"/>
      <c r="Z8" s="596"/>
      <c r="AA8" s="583"/>
      <c r="AB8" s="585"/>
      <c r="AC8" s="587"/>
    </row>
    <row r="9" spans="1:35" ht="45" x14ac:dyDescent="0.25">
      <c r="A9" s="420" t="str">
        <f>+'PRIORIZACIÓN (2)'!B11</f>
        <v>Factores de Gestión Prioritarias para la Empresa (análisis OCI) y Fortalecimiento Institucional</v>
      </c>
      <c r="B9" s="210" t="str">
        <f>+IF('PRIORIZACIÓN (2)'!I11&gt;0%,"YA CUENTA CON PONDERACIÓN DE RIESGOS, NO DILIGENCIAR ANALISIS OCI", "DILIGENCIE ANALISIS OCI PARA ESTA UNIDAD AUDITABLE")</f>
        <v>YA CUENTA CON PONDERACIÓN DE RIESGOS, NO DILIGENCIAR ANALISIS OCI</v>
      </c>
      <c r="C9" s="203" t="s">
        <v>375</v>
      </c>
      <c r="D9" s="1"/>
      <c r="E9" s="1" t="s">
        <v>381</v>
      </c>
      <c r="F9" s="1"/>
      <c r="G9" s="204" t="s">
        <v>375</v>
      </c>
      <c r="H9" s="1"/>
      <c r="I9" s="204" t="s">
        <v>375</v>
      </c>
      <c r="J9" s="1"/>
      <c r="K9" s="1" t="s">
        <v>386</v>
      </c>
      <c r="L9" s="1"/>
      <c r="M9" s="1" t="s">
        <v>374</v>
      </c>
      <c r="N9" s="1"/>
      <c r="O9" s="1" t="s">
        <v>383</v>
      </c>
      <c r="P9" s="200" t="str">
        <f>IF($O9="Critica no recuperable","E",IF($O9="Critica con recuperación parcial","A",IF($O9="Falta de oportunidad para atención usuarios","M",IF($O9="Falta de oportunidad para gestión de los procesos","B",0))))</f>
        <v>M</v>
      </c>
      <c r="Q9" s="1">
        <f>IF($C9="EXTREMA","E",IF($C9="ALTA","A",IF($C9="MEDIA","M",IF($C9="BAJA","B",0))))</f>
        <v>0</v>
      </c>
      <c r="R9" s="1" t="str">
        <f t="shared" ref="R9:R72" si="0">IF($E9="3 días","E",IF($E9="2 días","A",IF($E9="1 días","M",IF($E9="Varias horas","B",0))))</f>
        <v>B</v>
      </c>
      <c r="S9" s="1">
        <f>IF($G9="EXTREMA","E",IF($G9="ALTA","A",IF($G9="MEDIA","M",IF($G9="BAJA","B",0))))</f>
        <v>0</v>
      </c>
      <c r="T9" s="1">
        <f>IF($I9="EXTREMA","E",IF($I9="ALTA","A",IF($I9="MEDIA","M",IF($I9="BAJA","B",0))))</f>
        <v>0</v>
      </c>
      <c r="U9" s="1" t="str">
        <f t="shared" ref="U9:U72" si="1">IF($K9="Hechos de Corrupción","E",IF($K9="Incumplimiento de servicios","A",IF($K9="Retrasos en los servicios","M",IF($K9="Quejas por incumplimientos o retrasos","B",0))))</f>
        <v>E</v>
      </c>
      <c r="V9" s="1" t="str">
        <f>IF($M9="EXTREMA","E",IF($M9="ALTA","A",IF($M9="MEDIA","M",IF($M9="BAJA","B",0))))</f>
        <v>M</v>
      </c>
      <c r="W9" s="200" t="str">
        <f>IF($O9="Critica no recuperable","E",IF($O9="Critica con recuperación parcial","A",IF($O9="Falta de oportunidad para atención usuarios","M",IF($O9="Falta de oportunidad para gestión de los procesos","B",0))))</f>
        <v>M</v>
      </c>
      <c r="X9" s="5">
        <f>COUNTIFS(Q9:W9,"E")</f>
        <v>1</v>
      </c>
      <c r="Y9" s="1">
        <f>COUNTIF(Q9:W9,"A")</f>
        <v>0</v>
      </c>
      <c r="Z9" s="1">
        <f>COUNTIF(Q9:W9,"M")</f>
        <v>2</v>
      </c>
      <c r="AA9" s="201">
        <f>COUNTIF(Q9:W9,"B")</f>
        <v>1</v>
      </c>
      <c r="AB9" s="5">
        <f>SUM(X9:AA9)</f>
        <v>4</v>
      </c>
      <c r="AC9" s="202" t="str">
        <f>+IF((X9/AB9)&gt;=0.2,"Extremo",+IF(((X9/AB9)+(Y9/AB9))&gt;=0.3,"Alto",+IF(((X9/AB9)+(Y9/AB9)+(Z9/AB9))&gt;=0.4,"Moderado",+IF((X9/AB9)+(Y9/AB9)+(Z9/AB9)+(AA9/AB9)&gt;=0.5,"Bajo",""))))</f>
        <v>Extremo</v>
      </c>
      <c r="AI9" t="s">
        <v>362</v>
      </c>
    </row>
    <row r="10" spans="1:35" ht="30" x14ac:dyDescent="0.25">
      <c r="A10" s="420" t="str">
        <f>+'PRIORIZACIÓN (2)'!B12</f>
        <v>Auditoria de Fiducias. Alcance por muestra confiable.</v>
      </c>
      <c r="B10" s="210" t="str">
        <f>+IF('PRIORIZACIÓN (2)'!I12&gt;0%,"YA CUENTA CON PONDERACIÓN DE RIESGOS, NO DILIGENCIAR ANALISIS OCI", "DILIGENCIE ANALISIS OCI PARA ESTA UNIDAD AUDITABLE")</f>
        <v>YA CUENTA CON PONDERACIÓN DE RIESGOS, NO DILIGENCIAR ANALISIS OCI</v>
      </c>
      <c r="C10" s="203" t="s">
        <v>375</v>
      </c>
      <c r="D10" s="1"/>
      <c r="E10" s="1" t="s">
        <v>381</v>
      </c>
      <c r="F10" s="1"/>
      <c r="G10" s="204" t="s">
        <v>375</v>
      </c>
      <c r="H10" s="1"/>
      <c r="I10" s="204" t="s">
        <v>375</v>
      </c>
      <c r="J10" s="1"/>
      <c r="K10" s="1" t="s">
        <v>382</v>
      </c>
      <c r="L10" s="1"/>
      <c r="M10" s="1" t="s">
        <v>375</v>
      </c>
      <c r="N10" s="1"/>
      <c r="O10" s="1" t="s">
        <v>383</v>
      </c>
      <c r="P10" s="201" t="str">
        <f t="shared" ref="P10:P17" si="2">IF($O10="Critica no recuperable","E",IF($O10="Critica con recuperación parcial","A",IF($O10="Falta de oportunidad para atención usuarios","M",IF($O10="Falta de oportunidad para gestión de los procesos","B",0))))</f>
        <v>M</v>
      </c>
      <c r="Q10" s="1">
        <f t="shared" ref="Q10:Q73" si="3">IF($C10="EXTREMA","E",IF($C10="ALTA","A",IF($C10="MEDIA","M",IF($C10="BAJA","B",0))))</f>
        <v>0</v>
      </c>
      <c r="R10" s="1" t="str">
        <f t="shared" si="0"/>
        <v>B</v>
      </c>
      <c r="S10" s="1">
        <f t="shared" ref="S10:S73" si="4">IF($G10="EXTREMA","E",IF($G10="ALTA","A",IF($G10="MEDIA","M",IF($G10="BAJA","B",0))))</f>
        <v>0</v>
      </c>
      <c r="T10" s="1">
        <f t="shared" ref="T10:T73" si="5">IF($I10="EXTREMA","E",IF($I10="ALTA","A",IF($I10="MEDIA","M",IF($I10="BAJA","B",0))))</f>
        <v>0</v>
      </c>
      <c r="U10" s="1" t="str">
        <f t="shared" si="1"/>
        <v>A</v>
      </c>
      <c r="V10" s="1">
        <f t="shared" ref="V10:V73" si="6">IF($M10="EXTREMA","E",IF($M10="ALTA","A",IF($M10="MEDIA","M",IF($M10="BAJA","B",0))))</f>
        <v>0</v>
      </c>
      <c r="W10" s="200" t="str">
        <f t="shared" ref="W10:W73" si="7">IF($O10="Critica no recuperable","E",IF($O10="Critica con recuperación parcial","A",IF($O10="Falta de oportunidad para atención usuarios","M",IF($O10="Falta de oportunidad para gestión de los procesos","B",0))))</f>
        <v>M</v>
      </c>
      <c r="X10" s="5">
        <f t="shared" ref="X10:X17" si="8">COUNTIFS(Q10:W10,"E")</f>
        <v>0</v>
      </c>
      <c r="Y10" s="1">
        <f t="shared" ref="Y10:Y17" si="9">COUNTIF(Q10:W10,"A")</f>
        <v>1</v>
      </c>
      <c r="Z10" s="1">
        <f t="shared" ref="Z10:Z17" si="10">COUNTIF(Q10:W10,"M")</f>
        <v>1</v>
      </c>
      <c r="AA10" s="201">
        <f t="shared" ref="AA10:AA17" si="11">COUNTIF(Q10:W10,"B")</f>
        <v>1</v>
      </c>
      <c r="AB10" s="5">
        <f t="shared" ref="AB10:AB17" si="12">SUM(X10:AA10)</f>
        <v>3</v>
      </c>
      <c r="AC10" s="202" t="str">
        <f t="shared" ref="AC10:AC17" si="13">+IF((X10/AB10)&gt;=0.2,"Extremo",+IF(((X10/AB10)+(Y10/AB10))&gt;=0.3,"Alto",+IF(((X10/AB10)+(Y10/AB10)+(Z10/AB10))&gt;=0.4,"Moderado",+IF((X10/AB10)+(Y10/AB10)+(Z10/AB10)+(AA10/AB10)&gt;=0.5,"Bajo",""))))</f>
        <v>Alto</v>
      </c>
      <c r="AI10" t="s">
        <v>363</v>
      </c>
    </row>
    <row r="11" spans="1:35" ht="30" x14ac:dyDescent="0.25">
      <c r="A11" s="420" t="str">
        <f>+'PRIORIZACIÓN (2)'!B13</f>
        <v>Auditoria Plan estratégico y gestión Tecnología y Comunicaciones</v>
      </c>
      <c r="B11" s="210" t="str">
        <f>+IF('PRIORIZACIÓN (2)'!I13&gt;0%,"YA CUENTA CON PONDERACIÓN DE RIESGOS, NO DILIGENCIAR ANALISIS OCI", "DILIGENCIE ANALISIS OCI PARA ESTA UNIDAD AUDITABLE")</f>
        <v>YA CUENTA CON PONDERACIÓN DE RIESGOS, NO DILIGENCIAR ANALISIS OCI</v>
      </c>
      <c r="C11" s="203" t="s">
        <v>373</v>
      </c>
      <c r="D11" s="1"/>
      <c r="E11" s="1" t="s">
        <v>492</v>
      </c>
      <c r="F11" s="1"/>
      <c r="G11" s="204" t="s">
        <v>375</v>
      </c>
      <c r="H11" s="1"/>
      <c r="I11" s="204" t="s">
        <v>373</v>
      </c>
      <c r="J11" s="1"/>
      <c r="K11" s="1" t="s">
        <v>382</v>
      </c>
      <c r="L11" s="1"/>
      <c r="M11" s="1" t="s">
        <v>374</v>
      </c>
      <c r="N11" s="1"/>
      <c r="O11" s="1" t="s">
        <v>383</v>
      </c>
      <c r="P11" s="201" t="str">
        <f t="shared" si="2"/>
        <v>M</v>
      </c>
      <c r="Q11" s="1" t="str">
        <f t="shared" si="3"/>
        <v>B</v>
      </c>
      <c r="R11" s="1" t="str">
        <f t="shared" si="0"/>
        <v>A</v>
      </c>
      <c r="S11" s="1">
        <f t="shared" si="4"/>
        <v>0</v>
      </c>
      <c r="T11" s="1" t="str">
        <f t="shared" si="5"/>
        <v>B</v>
      </c>
      <c r="U11" s="1" t="str">
        <f t="shared" si="1"/>
        <v>A</v>
      </c>
      <c r="V11" s="1" t="str">
        <f t="shared" si="6"/>
        <v>M</v>
      </c>
      <c r="W11" s="200" t="str">
        <f t="shared" si="7"/>
        <v>M</v>
      </c>
      <c r="X11" s="5">
        <f t="shared" si="8"/>
        <v>0</v>
      </c>
      <c r="Y11" s="1">
        <f t="shared" si="9"/>
        <v>2</v>
      </c>
      <c r="Z11" s="1">
        <f t="shared" si="10"/>
        <v>2</v>
      </c>
      <c r="AA11" s="201">
        <f t="shared" si="11"/>
        <v>2</v>
      </c>
      <c r="AB11" s="5">
        <f t="shared" si="12"/>
        <v>6</v>
      </c>
      <c r="AC11" s="202" t="str">
        <f t="shared" si="13"/>
        <v>Alto</v>
      </c>
    </row>
    <row r="12" spans="1:35" ht="60" x14ac:dyDescent="0.25">
      <c r="A12" s="420" t="str">
        <f>+'PRIORIZACIÓN (2)'!B14</f>
        <v>Proyecto: Formulación, Gestión y Estructuración de Proyectos de Desarrollo, Revitalización o Renovación Urbana. Incluido aspecto contractual</v>
      </c>
      <c r="B12" s="210" t="str">
        <f>+IF('PRIORIZACIÓN (2)'!I14&gt;0%,"YA CUENTA CON PONDERACIÓN DE RIESGOS, NO DILIGENCIAR ANALISIS OCI", "DILIGENCIE ANALISIS OCI PARA ESTA UNIDAD AUDITABLE")</f>
        <v>YA CUENTA CON PONDERACIÓN DE RIESGOS, NO DILIGENCIAR ANALISIS OCI</v>
      </c>
      <c r="C12" s="203" t="s">
        <v>375</v>
      </c>
      <c r="D12" s="1"/>
      <c r="E12" s="1" t="s">
        <v>381</v>
      </c>
      <c r="F12" s="1"/>
      <c r="G12" s="204" t="s">
        <v>375</v>
      </c>
      <c r="H12" s="1"/>
      <c r="I12" s="204" t="s">
        <v>375</v>
      </c>
      <c r="J12" s="1"/>
      <c r="K12" s="1" t="s">
        <v>386</v>
      </c>
      <c r="L12" s="1"/>
      <c r="M12" s="1" t="s">
        <v>375</v>
      </c>
      <c r="N12" s="1"/>
      <c r="O12" s="1" t="s">
        <v>383</v>
      </c>
      <c r="P12" s="201" t="str">
        <f t="shared" si="2"/>
        <v>M</v>
      </c>
      <c r="Q12" s="1">
        <f t="shared" si="3"/>
        <v>0</v>
      </c>
      <c r="R12" s="1" t="str">
        <f t="shared" si="0"/>
        <v>B</v>
      </c>
      <c r="S12" s="1">
        <f t="shared" si="4"/>
        <v>0</v>
      </c>
      <c r="T12" s="1">
        <f t="shared" si="5"/>
        <v>0</v>
      </c>
      <c r="U12" s="1" t="str">
        <f t="shared" si="1"/>
        <v>E</v>
      </c>
      <c r="V12" s="1">
        <f t="shared" si="6"/>
        <v>0</v>
      </c>
      <c r="W12" s="200" t="str">
        <f t="shared" si="7"/>
        <v>M</v>
      </c>
      <c r="X12" s="5">
        <f t="shared" si="8"/>
        <v>1</v>
      </c>
      <c r="Y12" s="1">
        <f t="shared" si="9"/>
        <v>0</v>
      </c>
      <c r="Z12" s="1">
        <f t="shared" si="10"/>
        <v>1</v>
      </c>
      <c r="AA12" s="201">
        <f t="shared" si="11"/>
        <v>1</v>
      </c>
      <c r="AB12" s="5">
        <f t="shared" si="12"/>
        <v>3</v>
      </c>
      <c r="AC12" s="202" t="str">
        <f t="shared" si="13"/>
        <v>Extremo</v>
      </c>
    </row>
    <row r="13" spans="1:35" ht="30" x14ac:dyDescent="0.25">
      <c r="A13" s="420" t="str">
        <f>+'PRIORIZACIÓN (2)'!B15</f>
        <v>Auditoria Gestión Social asociada a la Adquisición Predial y grupos de interés</v>
      </c>
      <c r="B13" s="210" t="str">
        <f>+IF('PRIORIZACIÓN (2)'!I15&gt;0%,"YA CUENTA CON PONDERACIÓN DE RIESGOS, NO DILIGENCIAR ANALISIS OCI", "DILIGENCIE ANALISIS OCI PARA ESTA UNIDAD AUDITABLE")</f>
        <v>YA CUENTA CON PONDERACIÓN DE RIESGOS, NO DILIGENCIAR ANALISIS OCI</v>
      </c>
      <c r="C13" s="203" t="s">
        <v>373</v>
      </c>
      <c r="D13" s="1"/>
      <c r="E13" s="1" t="s">
        <v>381</v>
      </c>
      <c r="F13" s="1"/>
      <c r="G13" s="204" t="s">
        <v>375</v>
      </c>
      <c r="H13" s="1"/>
      <c r="I13" s="204" t="s">
        <v>373</v>
      </c>
      <c r="J13" s="1"/>
      <c r="K13" s="1" t="s">
        <v>382</v>
      </c>
      <c r="L13" s="1"/>
      <c r="M13" s="1" t="s">
        <v>373</v>
      </c>
      <c r="N13" s="1"/>
      <c r="O13" s="1" t="s">
        <v>385</v>
      </c>
      <c r="P13" s="201" t="str">
        <f t="shared" si="2"/>
        <v>A</v>
      </c>
      <c r="Q13" s="1" t="str">
        <f t="shared" si="3"/>
        <v>B</v>
      </c>
      <c r="R13" s="1" t="str">
        <f t="shared" si="0"/>
        <v>B</v>
      </c>
      <c r="S13" s="1">
        <f t="shared" si="4"/>
        <v>0</v>
      </c>
      <c r="T13" s="1" t="str">
        <f t="shared" si="5"/>
        <v>B</v>
      </c>
      <c r="U13" s="1" t="str">
        <f t="shared" si="1"/>
        <v>A</v>
      </c>
      <c r="V13" s="1" t="str">
        <f t="shared" si="6"/>
        <v>B</v>
      </c>
      <c r="W13" s="200" t="str">
        <f t="shared" si="7"/>
        <v>A</v>
      </c>
      <c r="X13" s="5">
        <f t="shared" si="8"/>
        <v>0</v>
      </c>
      <c r="Y13" s="1">
        <f t="shared" si="9"/>
        <v>2</v>
      </c>
      <c r="Z13" s="1">
        <f t="shared" si="10"/>
        <v>0</v>
      </c>
      <c r="AA13" s="201">
        <f t="shared" si="11"/>
        <v>4</v>
      </c>
      <c r="AB13" s="5">
        <f t="shared" si="12"/>
        <v>6</v>
      </c>
      <c r="AC13" s="202" t="str">
        <f t="shared" si="13"/>
        <v>Alto</v>
      </c>
    </row>
    <row r="14" spans="1:35" ht="60" x14ac:dyDescent="0.25">
      <c r="A14" s="420" t="str">
        <f>+'PRIORIZACIÓN (2)'!B16</f>
        <v>Auditoria Proceso Evaluación y seguimiento - Normas Internacionales de Auditoria - Oficina PAD
Auditorias cruzadas OCI - Alcaldia.</v>
      </c>
      <c r="B14" s="210" t="str">
        <f>+IF('PRIORIZACIÓN (2)'!I16&gt;0%,"YA CUENTA CON PONDERACIÓN DE RIESGOS, NO DILIGENCIAR ANALISIS OCI", "DILIGENCIE ANALISIS OCI PARA ESTA UNIDAD AUDITABLE")</f>
        <v>YA CUENTA CON PONDERACIÓN DE RIESGOS, NO DILIGENCIAR ANALISIS OCI</v>
      </c>
      <c r="C14" s="203" t="s">
        <v>376</v>
      </c>
      <c r="D14" s="1"/>
      <c r="E14" s="1" t="s">
        <v>381</v>
      </c>
      <c r="F14" s="1"/>
      <c r="G14" s="204" t="s">
        <v>376</v>
      </c>
      <c r="H14" s="1"/>
      <c r="I14" s="204" t="s">
        <v>375</v>
      </c>
      <c r="J14" s="1"/>
      <c r="K14" s="1" t="s">
        <v>386</v>
      </c>
      <c r="L14" s="1"/>
      <c r="M14" s="1" t="s">
        <v>375</v>
      </c>
      <c r="N14" s="1"/>
      <c r="O14" s="1" t="s">
        <v>383</v>
      </c>
      <c r="P14" s="201" t="str">
        <f t="shared" si="2"/>
        <v>M</v>
      </c>
      <c r="Q14" s="1" t="str">
        <f t="shared" si="3"/>
        <v>E</v>
      </c>
      <c r="R14" s="1" t="str">
        <f t="shared" si="0"/>
        <v>B</v>
      </c>
      <c r="S14" s="1" t="str">
        <f t="shared" si="4"/>
        <v>E</v>
      </c>
      <c r="T14" s="1">
        <f t="shared" si="5"/>
        <v>0</v>
      </c>
      <c r="U14" s="1" t="str">
        <f t="shared" si="1"/>
        <v>E</v>
      </c>
      <c r="V14" s="1">
        <f t="shared" si="6"/>
        <v>0</v>
      </c>
      <c r="W14" s="200" t="str">
        <f t="shared" si="7"/>
        <v>M</v>
      </c>
      <c r="X14" s="5">
        <f t="shared" si="8"/>
        <v>3</v>
      </c>
      <c r="Y14" s="1">
        <f t="shared" si="9"/>
        <v>0</v>
      </c>
      <c r="Z14" s="1">
        <f t="shared" si="10"/>
        <v>1</v>
      </c>
      <c r="AA14" s="201">
        <f t="shared" si="11"/>
        <v>1</v>
      </c>
      <c r="AB14" s="5">
        <f t="shared" si="12"/>
        <v>5</v>
      </c>
      <c r="AC14" s="202" t="str">
        <f t="shared" si="13"/>
        <v>Extremo</v>
      </c>
    </row>
    <row r="15" spans="1:35" ht="30" x14ac:dyDescent="0.25">
      <c r="A15" s="420" t="str">
        <f>+'PRIORIZACIÓN (2)'!B17</f>
        <v>Auditoria Misional - Predios Administrados por la ERU</v>
      </c>
      <c r="B15" s="210" t="str">
        <f>+IF('PRIORIZACIÓN (2)'!I17&gt;0%,"YA CUENTA CON PONDERACIÓN DE RIESGOS, NO DILIGENCIAR ANALISIS OCI", "DILIGENCIE ANALISIS OCI PARA ESTA UNIDAD AUDITABLE")</f>
        <v>YA CUENTA CON PONDERACIÓN DE RIESGOS, NO DILIGENCIAR ANALISIS OCI</v>
      </c>
      <c r="C15" s="203" t="s">
        <v>375</v>
      </c>
      <c r="D15" s="1">
        <f>IF($C15="EXTREMA","E",IF($C15="ALTA","A",IF($C15="MEDIA","M",IF($C15="BAJA","B",0))))</f>
        <v>0</v>
      </c>
      <c r="E15" s="1" t="s">
        <v>381</v>
      </c>
      <c r="F15" s="1" t="str">
        <f t="shared" ref="F15:F22" si="14">IF($E15="3 días","E",IF($E15="2 días","A",IF($E15="1 días","M",IF($E15="Varias horas","B",0))))</f>
        <v>B</v>
      </c>
      <c r="G15" s="204" t="s">
        <v>375</v>
      </c>
      <c r="H15" s="1">
        <f>IF($G15="EXTREMA","E",IF($G15="ALTA","A",IF($G15="MEDIA","M",IF($G15="BAJA","B",0))))</f>
        <v>0</v>
      </c>
      <c r="I15" s="204" t="s">
        <v>375</v>
      </c>
      <c r="J15" s="1">
        <f>IF($I15="EXTREMA","E",IF($I15="ALTA","A",IF($I15="MEDIA","M",IF($I15="BAJA","B",0))))</f>
        <v>0</v>
      </c>
      <c r="K15" s="1" t="s">
        <v>382</v>
      </c>
      <c r="L15" s="1" t="str">
        <f t="shared" ref="L15:L22" si="15">IF($K15="Hechos de Corrupción","E",IF($K15="Incumplimiento de servicios","A",IF($K15="Retrasos en los servicios","M",IF($K15="Quejas por incumplimientos o retrasos","B",0))))</f>
        <v>A</v>
      </c>
      <c r="M15" s="1" t="s">
        <v>373</v>
      </c>
      <c r="N15" s="1" t="str">
        <f>IF($M15="EXTREMA","E",IF($M15="ALTA","A",IF($M15="MEDIA","M",IF($M15="BAJA","B",0))))</f>
        <v>B</v>
      </c>
      <c r="O15" s="1" t="s">
        <v>383</v>
      </c>
      <c r="P15" s="201" t="str">
        <f t="shared" si="2"/>
        <v>M</v>
      </c>
      <c r="Q15" s="1">
        <f t="shared" si="3"/>
        <v>0</v>
      </c>
      <c r="R15" s="1" t="str">
        <f t="shared" si="0"/>
        <v>B</v>
      </c>
      <c r="S15" s="1">
        <f t="shared" si="4"/>
        <v>0</v>
      </c>
      <c r="T15" s="1">
        <f t="shared" si="5"/>
        <v>0</v>
      </c>
      <c r="U15" s="1" t="str">
        <f t="shared" si="1"/>
        <v>A</v>
      </c>
      <c r="V15" s="1" t="str">
        <f t="shared" si="6"/>
        <v>B</v>
      </c>
      <c r="W15" s="200" t="str">
        <f t="shared" si="7"/>
        <v>M</v>
      </c>
      <c r="X15" s="5">
        <f t="shared" si="8"/>
        <v>0</v>
      </c>
      <c r="Y15" s="1">
        <f t="shared" si="9"/>
        <v>1</v>
      </c>
      <c r="Z15" s="1">
        <f t="shared" si="10"/>
        <v>1</v>
      </c>
      <c r="AA15" s="201">
        <f t="shared" si="11"/>
        <v>2</v>
      </c>
      <c r="AB15" s="5">
        <f t="shared" si="12"/>
        <v>4</v>
      </c>
      <c r="AC15" s="202" t="str">
        <f t="shared" si="13"/>
        <v>Moderado</v>
      </c>
    </row>
    <row r="16" spans="1:35" ht="45" x14ac:dyDescent="0.25">
      <c r="A16" s="420" t="str">
        <f>+'PRIORIZACIÓN (2)'!B18</f>
        <v xml:space="preserve">Auditoria Voto Nacional - Contratos Asociados (Auditoria de Gestión Contractual)  </v>
      </c>
      <c r="B16" s="210" t="str">
        <f>+IF('PRIORIZACIÓN (2)'!I18&gt;0%,"YA CUENTA CON PONDERACIÓN DE RIESGOS, NO DILIGENCIAR ANALISIS OCI", "DILIGENCIE ANALISIS OCI PARA ESTA UNIDAD AUDITABLE")</f>
        <v>YA CUENTA CON PONDERACIÓN DE RIESGOS, NO DILIGENCIAR ANALISIS OCI</v>
      </c>
      <c r="C16" s="203" t="s">
        <v>375</v>
      </c>
      <c r="D16" s="1">
        <f>IF($C16="EXTREMA","E",IF($C16="ALTA","A",IF($C16="MEDIA","M",IF($C16="BAJA","B",0))))</f>
        <v>0</v>
      </c>
      <c r="E16" s="1" t="s">
        <v>381</v>
      </c>
      <c r="F16" s="1" t="str">
        <f t="shared" si="14"/>
        <v>B</v>
      </c>
      <c r="G16" s="204" t="s">
        <v>375</v>
      </c>
      <c r="H16" s="1">
        <f>IF($G16="EXTREMA","E",IF($G16="ALTA","A",IF($G16="MEDIA","M",IF($G16="BAJA","B",0))))</f>
        <v>0</v>
      </c>
      <c r="I16" s="204" t="s">
        <v>375</v>
      </c>
      <c r="J16" s="1">
        <f>IF($I16="EXTREMA","E",IF($I16="ALTA","A",IF($I16="MEDIA","M",IF($I16="BAJA","B",0))))</f>
        <v>0</v>
      </c>
      <c r="K16" s="1" t="s">
        <v>382</v>
      </c>
      <c r="L16" s="1" t="str">
        <f t="shared" si="15"/>
        <v>A</v>
      </c>
      <c r="M16" s="1" t="s">
        <v>373</v>
      </c>
      <c r="N16" s="1" t="str">
        <f>IF($M16="EXTREMA","E",IF($M16="ALTA","A",IF($M16="MEDIA","M",IF($M16="BAJA","B",0))))</f>
        <v>B</v>
      </c>
      <c r="O16" s="1" t="s">
        <v>383</v>
      </c>
      <c r="P16" s="201" t="str">
        <f t="shared" si="2"/>
        <v>M</v>
      </c>
      <c r="Q16" s="1">
        <f t="shared" si="3"/>
        <v>0</v>
      </c>
      <c r="R16" s="1" t="str">
        <f t="shared" si="0"/>
        <v>B</v>
      </c>
      <c r="S16" s="1">
        <f t="shared" si="4"/>
        <v>0</v>
      </c>
      <c r="T16" s="1">
        <f t="shared" si="5"/>
        <v>0</v>
      </c>
      <c r="U16" s="1" t="str">
        <f t="shared" si="1"/>
        <v>A</v>
      </c>
      <c r="V16" s="1" t="str">
        <f t="shared" si="6"/>
        <v>B</v>
      </c>
      <c r="W16" s="200" t="str">
        <f t="shared" si="7"/>
        <v>M</v>
      </c>
      <c r="X16" s="5">
        <f t="shared" si="8"/>
        <v>0</v>
      </c>
      <c r="Y16" s="1">
        <f t="shared" si="9"/>
        <v>1</v>
      </c>
      <c r="Z16" s="1">
        <f t="shared" si="10"/>
        <v>1</v>
      </c>
      <c r="AA16" s="201">
        <f t="shared" si="11"/>
        <v>2</v>
      </c>
      <c r="AB16" s="5">
        <f t="shared" si="12"/>
        <v>4</v>
      </c>
      <c r="AC16" s="202" t="str">
        <f t="shared" si="13"/>
        <v>Moderado</v>
      </c>
    </row>
    <row r="17" spans="1:29" ht="30" x14ac:dyDescent="0.25">
      <c r="A17" s="420" t="str">
        <f>+'PRIORIZACIÓN (2)'!B19</f>
        <v>Auditoria Procesos Ejecución Proyectos de Obras</v>
      </c>
      <c r="B17" s="210" t="str">
        <f>+IF('PRIORIZACIÓN (2)'!I19&gt;0%,"YA CUENTA CON PONDERACIÓN DE RIESGOS, NO DILIGENCIAR ANALISIS OCI", "DILIGENCIE ANALISIS OCI PARA ESTA UNIDAD AUDITABLE")</f>
        <v>YA CUENTA CON PONDERACIÓN DE RIESGOS, NO DILIGENCIAR ANALISIS OCI</v>
      </c>
      <c r="C17" s="203" t="s">
        <v>375</v>
      </c>
      <c r="D17" s="1">
        <f t="shared" ref="D17:D73" si="16">IF($C17="EXTREMA","E",IF($C17="ALTA","A",IF($C17="MEDIA","M",IF($C17="BAJA","B",0))))</f>
        <v>0</v>
      </c>
      <c r="E17" s="1" t="s">
        <v>381</v>
      </c>
      <c r="F17" s="1" t="str">
        <f t="shared" si="14"/>
        <v>B</v>
      </c>
      <c r="G17" s="204" t="s">
        <v>375</v>
      </c>
      <c r="H17" s="1">
        <f t="shared" ref="H17:H73" si="17">IF($G17="EXTREMA","E",IF($G17="ALTA","A",IF($G17="MEDIA","M",IF($G17="BAJA","B",0))))</f>
        <v>0</v>
      </c>
      <c r="I17" s="204" t="s">
        <v>375</v>
      </c>
      <c r="J17" s="1">
        <f t="shared" ref="J17:J73" si="18">IF($I17="EXTREMA","E",IF($I17="ALTA","A",IF($I17="MEDIA","M",IF($I17="BAJA","B",0))))</f>
        <v>0</v>
      </c>
      <c r="K17" s="1" t="s">
        <v>382</v>
      </c>
      <c r="L17" s="1" t="str">
        <f t="shared" si="15"/>
        <v>A</v>
      </c>
      <c r="M17" s="1" t="s">
        <v>373</v>
      </c>
      <c r="N17" s="1" t="str">
        <f t="shared" ref="N17:N73" si="19">IF($M17="EXTREMA","E",IF($M17="ALTA","A",IF($M17="MEDIA","M",IF($M17="BAJA","B",0))))</f>
        <v>B</v>
      </c>
      <c r="O17" s="1" t="s">
        <v>383</v>
      </c>
      <c r="P17" s="201" t="str">
        <f t="shared" si="2"/>
        <v>M</v>
      </c>
      <c r="Q17" s="1">
        <f t="shared" si="3"/>
        <v>0</v>
      </c>
      <c r="R17" s="1" t="str">
        <f t="shared" si="0"/>
        <v>B</v>
      </c>
      <c r="S17" s="1">
        <f t="shared" si="4"/>
        <v>0</v>
      </c>
      <c r="T17" s="1">
        <f t="shared" si="5"/>
        <v>0</v>
      </c>
      <c r="U17" s="1" t="str">
        <f t="shared" si="1"/>
        <v>A</v>
      </c>
      <c r="V17" s="1" t="str">
        <f t="shared" si="6"/>
        <v>B</v>
      </c>
      <c r="W17" s="200" t="str">
        <f t="shared" si="7"/>
        <v>M</v>
      </c>
      <c r="X17" s="5">
        <f t="shared" si="8"/>
        <v>0</v>
      </c>
      <c r="Y17" s="1">
        <f t="shared" si="9"/>
        <v>1</v>
      </c>
      <c r="Z17" s="1">
        <f t="shared" si="10"/>
        <v>1</v>
      </c>
      <c r="AA17" s="201">
        <f t="shared" si="11"/>
        <v>2</v>
      </c>
      <c r="AB17" s="5">
        <f t="shared" si="12"/>
        <v>4</v>
      </c>
      <c r="AC17" s="202" t="str">
        <f t="shared" si="13"/>
        <v>Moderado</v>
      </c>
    </row>
    <row r="18" spans="1:29" ht="30" x14ac:dyDescent="0.25">
      <c r="A18" s="420" t="str">
        <f>+'PRIORIZACIÓN (2)'!B20</f>
        <v>Activos de Información y Funcionamiento Software que maneja la Empresa</v>
      </c>
      <c r="B18" s="210" t="str">
        <f>+IF('PRIORIZACIÓN (2)'!I20&gt;0%,"YA CUENTA CON PONDERACIÓN DE RIESGOS, NO DILIGENCIAR ANALISIS OCI", "DILIGENCIE ANALISIS OCI PARA ESTA UNIDAD AUDITABLE")</f>
        <v>YA CUENTA CON PONDERACIÓN DE RIESGOS, NO DILIGENCIAR ANALISIS OCI</v>
      </c>
      <c r="C18" s="203" t="s">
        <v>373</v>
      </c>
      <c r="D18" s="1" t="str">
        <f t="shared" si="16"/>
        <v>B</v>
      </c>
      <c r="E18" s="1" t="s">
        <v>381</v>
      </c>
      <c r="F18" s="1" t="str">
        <f t="shared" si="14"/>
        <v>B</v>
      </c>
      <c r="G18" s="204" t="s">
        <v>375</v>
      </c>
      <c r="H18" s="1">
        <f t="shared" si="17"/>
        <v>0</v>
      </c>
      <c r="I18" s="204" t="s">
        <v>373</v>
      </c>
      <c r="J18" s="1" t="str">
        <f t="shared" si="18"/>
        <v>B</v>
      </c>
      <c r="K18" s="1" t="s">
        <v>457</v>
      </c>
      <c r="L18" s="1" t="str">
        <f t="shared" si="15"/>
        <v>M</v>
      </c>
      <c r="M18" s="1" t="s">
        <v>373</v>
      </c>
      <c r="N18" s="1" t="str">
        <f t="shared" si="19"/>
        <v>B</v>
      </c>
      <c r="O18" s="1" t="s">
        <v>385</v>
      </c>
      <c r="P18" s="201" t="str">
        <f t="shared" ref="P18:P35" si="20">IF($O18="Critica no recuperable","E",IF($O18="Critica con recuperación parcial","A",IF($O18="Falta de oportunidad para atención usuarios","M",IF($O18="Falta de oportunidad para gestión de los procesos","B",0))))</f>
        <v>A</v>
      </c>
      <c r="Q18" s="1" t="str">
        <f t="shared" si="3"/>
        <v>B</v>
      </c>
      <c r="R18" s="1" t="str">
        <f t="shared" si="0"/>
        <v>B</v>
      </c>
      <c r="S18" s="1">
        <f t="shared" si="4"/>
        <v>0</v>
      </c>
      <c r="T18" s="1" t="str">
        <f t="shared" si="5"/>
        <v>B</v>
      </c>
      <c r="U18" s="1" t="str">
        <f t="shared" si="1"/>
        <v>M</v>
      </c>
      <c r="V18" s="1" t="str">
        <f t="shared" si="6"/>
        <v>B</v>
      </c>
      <c r="W18" s="200" t="str">
        <f t="shared" si="7"/>
        <v>A</v>
      </c>
      <c r="X18" s="5">
        <f t="shared" ref="X18:X23" si="21">COUNTIFS(Q18:W18,"E")</f>
        <v>0</v>
      </c>
      <c r="Y18" s="1">
        <f t="shared" ref="Y18:Y23" si="22">COUNTIF(Q18:W18,"A")</f>
        <v>1</v>
      </c>
      <c r="Z18" s="1">
        <f t="shared" ref="Z18:Z23" si="23">COUNTIF(Q18:W18,"M")</f>
        <v>1</v>
      </c>
      <c r="AA18" s="201">
        <f t="shared" ref="AA18:AA23" si="24">COUNTIF(Q18:W18,"B")</f>
        <v>4</v>
      </c>
      <c r="AB18" s="5">
        <f t="shared" ref="AB18:AB23" si="25">SUM(X18:AA18)</f>
        <v>6</v>
      </c>
      <c r="AC18" s="202" t="str">
        <f t="shared" ref="AC18:AC23" si="26">+IF((X18/AB18)&gt;=0.2,"Extremo",+IF(((X18/AB18)+(Y18/AB18))&gt;=0.3,"Alto",+IF(((X18/AB18)+(Y18/AB18)+(Z18/AB18))&gt;=0.4,"Moderado",+IF((X18/AB18)+(Y18/AB18)+(Z18/AB18)+(AA18/AB18)&gt;=0.5,"Bajo",""))))</f>
        <v>Bajo</v>
      </c>
    </row>
    <row r="19" spans="1:29" ht="30" x14ac:dyDescent="0.25">
      <c r="A19" s="420" t="str">
        <f>+'PRIORIZACIÓN (2)'!B21</f>
        <v>Auditoria Proceso Gestión Financiera y Contable</v>
      </c>
      <c r="B19" s="210" t="str">
        <f>+IF('PRIORIZACIÓN (2)'!I21&gt;0%,"YA CUENTA CON PONDERACIÓN DE RIESGOS, NO DILIGENCIAR ANALISIS OCI", "DILIGENCIE ANALISIS OCI PARA ESTA UNIDAD AUDITABLE")</f>
        <v>YA CUENTA CON PONDERACIÓN DE RIESGOS, NO DILIGENCIAR ANALISIS OCI</v>
      </c>
      <c r="C19" s="203" t="s">
        <v>373</v>
      </c>
      <c r="D19" s="1" t="str">
        <f t="shared" si="16"/>
        <v>B</v>
      </c>
      <c r="E19" s="1" t="s">
        <v>381</v>
      </c>
      <c r="F19" s="1" t="str">
        <f t="shared" si="14"/>
        <v>B</v>
      </c>
      <c r="G19" s="204" t="s">
        <v>375</v>
      </c>
      <c r="H19" s="1">
        <f t="shared" si="17"/>
        <v>0</v>
      </c>
      <c r="I19" s="204" t="s">
        <v>375</v>
      </c>
      <c r="J19" s="1">
        <f t="shared" si="18"/>
        <v>0</v>
      </c>
      <c r="K19" s="1" t="s">
        <v>457</v>
      </c>
      <c r="L19" s="1" t="str">
        <f t="shared" si="15"/>
        <v>M</v>
      </c>
      <c r="M19" s="1" t="s">
        <v>374</v>
      </c>
      <c r="N19" s="1" t="str">
        <f t="shared" si="19"/>
        <v>M</v>
      </c>
      <c r="O19" s="1" t="s">
        <v>385</v>
      </c>
      <c r="P19" s="201" t="str">
        <f t="shared" si="20"/>
        <v>A</v>
      </c>
      <c r="Q19" s="1" t="str">
        <f t="shared" si="3"/>
        <v>B</v>
      </c>
      <c r="R19" s="1" t="str">
        <f t="shared" si="0"/>
        <v>B</v>
      </c>
      <c r="S19" s="1">
        <f t="shared" si="4"/>
        <v>0</v>
      </c>
      <c r="T19" s="1">
        <f t="shared" si="5"/>
        <v>0</v>
      </c>
      <c r="U19" s="1" t="str">
        <f t="shared" si="1"/>
        <v>M</v>
      </c>
      <c r="V19" s="1" t="str">
        <f t="shared" si="6"/>
        <v>M</v>
      </c>
      <c r="W19" s="200" t="str">
        <f t="shared" si="7"/>
        <v>A</v>
      </c>
      <c r="X19" s="5">
        <f t="shared" si="21"/>
        <v>0</v>
      </c>
      <c r="Y19" s="1">
        <f t="shared" si="22"/>
        <v>1</v>
      </c>
      <c r="Z19" s="1">
        <f t="shared" si="23"/>
        <v>2</v>
      </c>
      <c r="AA19" s="201">
        <f t="shared" si="24"/>
        <v>2</v>
      </c>
      <c r="AB19" s="5">
        <f t="shared" si="25"/>
        <v>5</v>
      </c>
      <c r="AC19" s="202" t="str">
        <f t="shared" si="26"/>
        <v>Moderado</v>
      </c>
    </row>
    <row r="20" spans="1:29" ht="60" x14ac:dyDescent="0.25">
      <c r="A20" s="199" t="str">
        <f>+'PRIORIZACIÓN (2)'!B22</f>
        <v>Proyecto San Victorino  (Alto volumen de información - terminación Contrato de dos auditores - aun en proceso de contratación)</v>
      </c>
      <c r="B20" s="210" t="str">
        <f>+IF('PRIORIZACIÓN (2)'!I22&gt;0%,"YA CUENTA CON PONDERACIÓN DE RIESGOS, NO DILIGENCIAR ANALISIS OCI", "DILIGENCIE ANALISIS OCI PARA ESTA UNIDAD AUDITABLE")</f>
        <v>YA CUENTA CON PONDERACIÓN DE RIESGOS, NO DILIGENCIAR ANALISIS OCI</v>
      </c>
      <c r="C20" s="203" t="s">
        <v>375</v>
      </c>
      <c r="D20" s="1">
        <f t="shared" si="16"/>
        <v>0</v>
      </c>
      <c r="E20" s="1" t="s">
        <v>381</v>
      </c>
      <c r="F20" s="1" t="str">
        <f t="shared" si="14"/>
        <v>B</v>
      </c>
      <c r="G20" s="204" t="s">
        <v>375</v>
      </c>
      <c r="H20" s="1">
        <f t="shared" si="17"/>
        <v>0</v>
      </c>
      <c r="I20" s="204" t="s">
        <v>375</v>
      </c>
      <c r="J20" s="1">
        <f t="shared" si="18"/>
        <v>0</v>
      </c>
      <c r="K20" s="1" t="s">
        <v>457</v>
      </c>
      <c r="L20" s="1" t="str">
        <f t="shared" si="15"/>
        <v>M</v>
      </c>
      <c r="M20" s="1" t="s">
        <v>373</v>
      </c>
      <c r="N20" s="1" t="str">
        <f t="shared" si="19"/>
        <v>B</v>
      </c>
      <c r="O20" s="1" t="s">
        <v>383</v>
      </c>
      <c r="P20" s="201" t="str">
        <f t="shared" si="20"/>
        <v>M</v>
      </c>
      <c r="Q20" s="1">
        <f t="shared" si="3"/>
        <v>0</v>
      </c>
      <c r="R20" s="1" t="str">
        <f t="shared" si="0"/>
        <v>B</v>
      </c>
      <c r="S20" s="1">
        <f t="shared" si="4"/>
        <v>0</v>
      </c>
      <c r="T20" s="1">
        <f t="shared" si="5"/>
        <v>0</v>
      </c>
      <c r="U20" s="1" t="str">
        <f t="shared" si="1"/>
        <v>M</v>
      </c>
      <c r="V20" s="1" t="str">
        <f t="shared" si="6"/>
        <v>B</v>
      </c>
      <c r="W20" s="200" t="str">
        <f t="shared" si="7"/>
        <v>M</v>
      </c>
      <c r="X20" s="5">
        <f t="shared" si="21"/>
        <v>0</v>
      </c>
      <c r="Y20" s="1">
        <f t="shared" si="22"/>
        <v>0</v>
      </c>
      <c r="Z20" s="1">
        <f t="shared" si="23"/>
        <v>2</v>
      </c>
      <c r="AA20" s="201">
        <f t="shared" si="24"/>
        <v>2</v>
      </c>
      <c r="AB20" s="5">
        <f t="shared" si="25"/>
        <v>4</v>
      </c>
      <c r="AC20" s="202" t="str">
        <f t="shared" si="26"/>
        <v>Moderado</v>
      </c>
    </row>
    <row r="21" spans="1:29" ht="45" x14ac:dyDescent="0.25">
      <c r="A21" s="199" t="str">
        <f>+'PRIORIZACIÓN (2)'!B23</f>
        <v>Auditoria a la Implementación del Modelo Integrado de Planeación y Gestión MIPG</v>
      </c>
      <c r="B21" s="210" t="str">
        <f>+IF('PRIORIZACIÓN (2)'!I23&gt;0%,"YA CUENTA CON PONDERACIÓN DE RIESGOS, NO DILIGENCIAR ANALISIS OCI", "DILIGENCIE ANALISIS OCI PARA ESTA UNIDAD AUDITABLE")</f>
        <v>YA CUENTA CON PONDERACIÓN DE RIESGOS, NO DILIGENCIAR ANALISIS OCI</v>
      </c>
      <c r="C21" s="203" t="s">
        <v>373</v>
      </c>
      <c r="D21" s="1" t="str">
        <f t="shared" si="16"/>
        <v>B</v>
      </c>
      <c r="E21" s="1" t="s">
        <v>381</v>
      </c>
      <c r="F21" s="1" t="str">
        <f t="shared" si="14"/>
        <v>B</v>
      </c>
      <c r="G21" s="204" t="s">
        <v>375</v>
      </c>
      <c r="H21" s="1">
        <f t="shared" si="17"/>
        <v>0</v>
      </c>
      <c r="I21" s="204" t="s">
        <v>375</v>
      </c>
      <c r="J21" s="1">
        <f t="shared" si="18"/>
        <v>0</v>
      </c>
      <c r="K21" s="1" t="s">
        <v>457</v>
      </c>
      <c r="L21" s="1" t="str">
        <f t="shared" si="15"/>
        <v>M</v>
      </c>
      <c r="M21" s="1" t="s">
        <v>375</v>
      </c>
      <c r="N21" s="1">
        <f t="shared" si="19"/>
        <v>0</v>
      </c>
      <c r="O21" s="1" t="s">
        <v>385</v>
      </c>
      <c r="P21" s="201" t="str">
        <f t="shared" si="20"/>
        <v>A</v>
      </c>
      <c r="Q21" s="1" t="str">
        <f t="shared" si="3"/>
        <v>B</v>
      </c>
      <c r="R21" s="1" t="str">
        <f t="shared" si="0"/>
        <v>B</v>
      </c>
      <c r="S21" s="1">
        <f t="shared" si="4"/>
        <v>0</v>
      </c>
      <c r="T21" s="1">
        <f t="shared" si="5"/>
        <v>0</v>
      </c>
      <c r="U21" s="1" t="str">
        <f t="shared" si="1"/>
        <v>M</v>
      </c>
      <c r="V21" s="1">
        <f t="shared" si="6"/>
        <v>0</v>
      </c>
      <c r="W21" s="200" t="str">
        <f t="shared" si="7"/>
        <v>A</v>
      </c>
      <c r="X21" s="5">
        <f t="shared" si="21"/>
        <v>0</v>
      </c>
      <c r="Y21" s="1">
        <f t="shared" si="22"/>
        <v>1</v>
      </c>
      <c r="Z21" s="1">
        <f t="shared" si="23"/>
        <v>1</v>
      </c>
      <c r="AA21" s="201">
        <f t="shared" si="24"/>
        <v>2</v>
      </c>
      <c r="AB21" s="5">
        <f t="shared" si="25"/>
        <v>4</v>
      </c>
      <c r="AC21" s="202" t="str">
        <f t="shared" si="26"/>
        <v>Moderado</v>
      </c>
    </row>
    <row r="22" spans="1:29" ht="43.5" customHeight="1" x14ac:dyDescent="0.25">
      <c r="A22" s="199" t="str">
        <f>+'PRIORIZACIÓN (2)'!B24</f>
        <v>Seguimiento implementación acciones de mejora a raíz de auditorias externas e internas</v>
      </c>
      <c r="B22" s="210" t="str">
        <f>+IF('PRIORIZACIÓN (2)'!I24&gt;0%,"YA CUENTA CON PONDERACIÓN DE RIESGOS, NO DILIGENCIAR ANALISIS OCI", "DILIGENCIE ANALISIS OCI PARA ESTA UNIDAD AUDITABLE")</f>
        <v>YA CUENTA CON PONDERACIÓN DE RIESGOS, NO DILIGENCIAR ANALISIS OCI</v>
      </c>
      <c r="C22" s="203" t="s">
        <v>373</v>
      </c>
      <c r="D22" s="1" t="str">
        <f t="shared" si="16"/>
        <v>B</v>
      </c>
      <c r="E22" s="1" t="s">
        <v>381</v>
      </c>
      <c r="F22" s="1" t="str">
        <f t="shared" si="14"/>
        <v>B</v>
      </c>
      <c r="G22" s="204" t="s">
        <v>373</v>
      </c>
      <c r="H22" s="1" t="str">
        <f t="shared" si="17"/>
        <v>B</v>
      </c>
      <c r="I22" s="204" t="s">
        <v>373</v>
      </c>
      <c r="J22" s="1" t="str">
        <f t="shared" si="18"/>
        <v>B</v>
      </c>
      <c r="K22" s="1" t="s">
        <v>457</v>
      </c>
      <c r="L22" s="1" t="str">
        <f t="shared" si="15"/>
        <v>M</v>
      </c>
      <c r="M22" s="1" t="s">
        <v>375</v>
      </c>
      <c r="N22" s="1">
        <f t="shared" si="19"/>
        <v>0</v>
      </c>
      <c r="O22" s="1" t="s">
        <v>384</v>
      </c>
      <c r="P22" s="201" t="str">
        <f t="shared" si="20"/>
        <v>B</v>
      </c>
      <c r="Q22" s="1" t="str">
        <f t="shared" si="3"/>
        <v>B</v>
      </c>
      <c r="R22" s="1" t="str">
        <f t="shared" si="0"/>
        <v>B</v>
      </c>
      <c r="S22" s="1" t="str">
        <f t="shared" si="4"/>
        <v>B</v>
      </c>
      <c r="T22" s="1" t="str">
        <f t="shared" si="5"/>
        <v>B</v>
      </c>
      <c r="U22" s="1" t="str">
        <f t="shared" si="1"/>
        <v>M</v>
      </c>
      <c r="V22" s="1">
        <f t="shared" si="6"/>
        <v>0</v>
      </c>
      <c r="W22" s="200" t="str">
        <f t="shared" si="7"/>
        <v>B</v>
      </c>
      <c r="X22" s="5">
        <f t="shared" si="21"/>
        <v>0</v>
      </c>
      <c r="Y22" s="1">
        <f t="shared" si="22"/>
        <v>0</v>
      </c>
      <c r="Z22" s="1">
        <f t="shared" si="23"/>
        <v>1</v>
      </c>
      <c r="AA22" s="201">
        <f t="shared" si="24"/>
        <v>5</v>
      </c>
      <c r="AB22" s="5">
        <f t="shared" si="25"/>
        <v>6</v>
      </c>
      <c r="AC22" s="202" t="str">
        <f t="shared" si="26"/>
        <v>Bajo</v>
      </c>
    </row>
    <row r="23" spans="1:29" ht="30" x14ac:dyDescent="0.25">
      <c r="A23" s="199" t="str">
        <f>+'PRIORIZACIÓN (2)'!B25</f>
        <v>Unidad Auditable 13</v>
      </c>
      <c r="B23" s="210" t="str">
        <f>+IF('PRIORIZACIÓN (2)'!I25&gt;0%,"YA CUENTA CON PONDERACIÓN DE RIESGOS, NO DILIGENCIAR ANALISIS OCI", "DILIGENCIE ANALISIS OCI PARA ESTA UNIDAD AUDITABLE")</f>
        <v>DILIGENCIE ANALISIS OCI PARA ESTA UNIDAD AUDITABLE</v>
      </c>
      <c r="C23" s="203"/>
      <c r="D23" s="1"/>
      <c r="E23" s="1"/>
      <c r="F23" s="1"/>
      <c r="G23" s="204"/>
      <c r="H23" s="1"/>
      <c r="I23" s="204"/>
      <c r="J23" s="1"/>
      <c r="K23" s="1"/>
      <c r="L23" s="1"/>
      <c r="M23" s="1"/>
      <c r="N23" s="1"/>
      <c r="O23" s="1"/>
      <c r="P23" s="201">
        <f t="shared" si="20"/>
        <v>0</v>
      </c>
      <c r="Q23" s="1">
        <f t="shared" si="3"/>
        <v>0</v>
      </c>
      <c r="R23" s="1">
        <f t="shared" si="0"/>
        <v>0</v>
      </c>
      <c r="S23" s="1">
        <f t="shared" si="4"/>
        <v>0</v>
      </c>
      <c r="T23" s="1">
        <f t="shared" si="5"/>
        <v>0</v>
      </c>
      <c r="U23" s="1">
        <f t="shared" si="1"/>
        <v>0</v>
      </c>
      <c r="V23" s="1">
        <f t="shared" si="6"/>
        <v>0</v>
      </c>
      <c r="W23" s="200">
        <f t="shared" si="7"/>
        <v>0</v>
      </c>
      <c r="X23" s="5">
        <f t="shared" si="21"/>
        <v>0</v>
      </c>
      <c r="Y23" s="1">
        <f t="shared" si="22"/>
        <v>0</v>
      </c>
      <c r="Z23" s="1">
        <f t="shared" si="23"/>
        <v>0</v>
      </c>
      <c r="AA23" s="201">
        <f t="shared" si="24"/>
        <v>0</v>
      </c>
      <c r="AB23" s="5">
        <f t="shared" si="25"/>
        <v>0</v>
      </c>
      <c r="AC23" s="202" t="e">
        <f t="shared" si="26"/>
        <v>#DIV/0!</v>
      </c>
    </row>
    <row r="24" spans="1:29" ht="42" customHeight="1" x14ac:dyDescent="0.25">
      <c r="A24" s="199" t="str">
        <f>+'PRIORIZACIÓN (2)'!B26</f>
        <v>Unidad Auditable 14</v>
      </c>
      <c r="B24" s="210" t="str">
        <f>+IF('PRIORIZACIÓN (2)'!I26&gt;0%,"YA CUENTA CON PONDERACIÓN DE RIESGOS, NO DILIGENCIAR ANALISIS OCI", "DILIGENCIE ANALISIS OCI PARA ESTA UNIDAD AUDITABLE")</f>
        <v>DILIGENCIE ANALISIS OCI PARA ESTA UNIDAD AUDITABLE</v>
      </c>
      <c r="C24" s="203"/>
      <c r="D24" s="1"/>
      <c r="E24" s="1"/>
      <c r="F24" s="1"/>
      <c r="G24" s="204"/>
      <c r="H24" s="1"/>
      <c r="I24" s="204"/>
      <c r="J24" s="1"/>
      <c r="K24" s="1"/>
      <c r="L24" s="1"/>
      <c r="M24" s="1"/>
      <c r="N24" s="1"/>
      <c r="O24" s="1"/>
      <c r="P24" s="201">
        <f t="shared" si="20"/>
        <v>0</v>
      </c>
      <c r="Q24" s="1">
        <f t="shared" si="3"/>
        <v>0</v>
      </c>
      <c r="R24" s="1">
        <f t="shared" si="0"/>
        <v>0</v>
      </c>
      <c r="S24" s="1">
        <f t="shared" si="4"/>
        <v>0</v>
      </c>
      <c r="T24" s="1">
        <f t="shared" si="5"/>
        <v>0</v>
      </c>
      <c r="U24" s="1">
        <f t="shared" si="1"/>
        <v>0</v>
      </c>
      <c r="V24" s="1">
        <f t="shared" si="6"/>
        <v>0</v>
      </c>
      <c r="W24" s="200">
        <f t="shared" si="7"/>
        <v>0</v>
      </c>
      <c r="X24" s="5">
        <f t="shared" ref="X24:X33" si="27">COUNTIFS(Q24:W24,"E")</f>
        <v>0</v>
      </c>
      <c r="Y24" s="1">
        <f t="shared" ref="Y24:Y33" si="28">COUNTIF(Q24:W24,"A")</f>
        <v>0</v>
      </c>
      <c r="Z24" s="1">
        <f t="shared" ref="Z24:Z33" si="29">COUNTIF(Q24:W24,"M")</f>
        <v>0</v>
      </c>
      <c r="AA24" s="201">
        <f t="shared" ref="AA24:AA33" si="30">COUNTIF(Q24:W24,"B")</f>
        <v>0</v>
      </c>
      <c r="AB24" s="5">
        <f t="shared" ref="AB24:AB33" si="31">SUM(X24:AA24)</f>
        <v>0</v>
      </c>
      <c r="AC24" s="202" t="e">
        <f t="shared" ref="AC24:AC33" si="32">+IF((X24/AB24)&gt;=0.2,"Extremo",+IF(((X24/AB24)+(Y24/AB24))&gt;=0.3,"Alto",+IF(((X24/AB24)+(Y24/AB24)+(Z24/AB24))&gt;=0.4,"Moderado",+IF((X24/AB24)+(Y24/AB24)+(Z24/AB24)+(AA24/AB24)&gt;=0.5,"Bajo",""))))</f>
        <v>#DIV/0!</v>
      </c>
    </row>
    <row r="25" spans="1:29" ht="30" x14ac:dyDescent="0.25">
      <c r="A25" s="199" t="str">
        <f>+'PRIORIZACIÓN (2)'!B27</f>
        <v>Unidad Auditable 15</v>
      </c>
      <c r="B25" s="210" t="str">
        <f>+IF('PRIORIZACIÓN (2)'!I27&gt;0%,"YA CUENTA CON PONDERACIÓN DE RIESGOS, NO DILIGENCIAR ANALISIS OCI", "DILIGENCIE ANALISIS OCI PARA ESTA UNIDAD AUDITABLE")</f>
        <v>DILIGENCIE ANALISIS OCI PARA ESTA UNIDAD AUDITABLE</v>
      </c>
      <c r="C25" s="203"/>
      <c r="D25" s="1"/>
      <c r="E25" s="1"/>
      <c r="F25" s="1"/>
      <c r="G25" s="204"/>
      <c r="H25" s="1"/>
      <c r="I25" s="204"/>
      <c r="J25" s="1"/>
      <c r="K25" s="1"/>
      <c r="L25" s="1"/>
      <c r="M25" s="1"/>
      <c r="N25" s="1"/>
      <c r="O25" s="1"/>
      <c r="P25" s="201">
        <f t="shared" si="20"/>
        <v>0</v>
      </c>
      <c r="Q25" s="1">
        <f t="shared" si="3"/>
        <v>0</v>
      </c>
      <c r="R25" s="1">
        <f t="shared" si="0"/>
        <v>0</v>
      </c>
      <c r="S25" s="1">
        <f t="shared" si="4"/>
        <v>0</v>
      </c>
      <c r="T25" s="1">
        <f t="shared" si="5"/>
        <v>0</v>
      </c>
      <c r="U25" s="1">
        <f t="shared" si="1"/>
        <v>0</v>
      </c>
      <c r="V25" s="1">
        <f t="shared" si="6"/>
        <v>0</v>
      </c>
      <c r="W25" s="200">
        <f t="shared" si="7"/>
        <v>0</v>
      </c>
      <c r="X25" s="5">
        <f t="shared" si="27"/>
        <v>0</v>
      </c>
      <c r="Y25" s="1">
        <f t="shared" si="28"/>
        <v>0</v>
      </c>
      <c r="Z25" s="1">
        <f t="shared" si="29"/>
        <v>0</v>
      </c>
      <c r="AA25" s="201">
        <f t="shared" si="30"/>
        <v>0</v>
      </c>
      <c r="AB25" s="5">
        <f t="shared" si="31"/>
        <v>0</v>
      </c>
      <c r="AC25" s="202" t="e">
        <f t="shared" si="32"/>
        <v>#DIV/0!</v>
      </c>
    </row>
    <row r="26" spans="1:29" ht="42" customHeight="1" x14ac:dyDescent="0.25">
      <c r="A26" s="199" t="str">
        <f>+'PRIORIZACIÓN (2)'!B28</f>
        <v>Unidad Auditable 16</v>
      </c>
      <c r="B26" s="210" t="str">
        <f>+IF('PRIORIZACIÓN (2)'!I28&gt;0%,"YA CUENTA CON PONDERACIÓN DE RIESGOS, NO DILIGENCIAR ANALISIS OCI", "DILIGENCIE ANALISIS OCI PARA ESTA UNIDAD AUDITABLE")</f>
        <v>DILIGENCIE ANALISIS OCI PARA ESTA UNIDAD AUDITABLE</v>
      </c>
      <c r="C26" s="203"/>
      <c r="D26" s="1"/>
      <c r="E26" s="1"/>
      <c r="F26" s="1"/>
      <c r="G26" s="204"/>
      <c r="H26" s="1"/>
      <c r="I26" s="204"/>
      <c r="J26" s="1"/>
      <c r="K26" s="1"/>
      <c r="L26" s="1"/>
      <c r="M26" s="1"/>
      <c r="N26" s="1"/>
      <c r="O26" s="1"/>
      <c r="P26" s="201">
        <f t="shared" si="20"/>
        <v>0</v>
      </c>
      <c r="Q26" s="1">
        <f t="shared" si="3"/>
        <v>0</v>
      </c>
      <c r="R26" s="1">
        <f t="shared" si="0"/>
        <v>0</v>
      </c>
      <c r="S26" s="1">
        <f t="shared" si="4"/>
        <v>0</v>
      </c>
      <c r="T26" s="1">
        <f t="shared" si="5"/>
        <v>0</v>
      </c>
      <c r="U26" s="1">
        <f t="shared" si="1"/>
        <v>0</v>
      </c>
      <c r="V26" s="1">
        <f t="shared" si="6"/>
        <v>0</v>
      </c>
      <c r="W26" s="200">
        <f t="shared" si="7"/>
        <v>0</v>
      </c>
      <c r="X26" s="5">
        <f t="shared" si="27"/>
        <v>0</v>
      </c>
      <c r="Y26" s="1">
        <f t="shared" si="28"/>
        <v>0</v>
      </c>
      <c r="Z26" s="1">
        <f t="shared" si="29"/>
        <v>0</v>
      </c>
      <c r="AA26" s="201">
        <f t="shared" si="30"/>
        <v>0</v>
      </c>
      <c r="AB26" s="5">
        <f t="shared" si="31"/>
        <v>0</v>
      </c>
      <c r="AC26" s="202" t="e">
        <f t="shared" si="32"/>
        <v>#DIV/0!</v>
      </c>
    </row>
    <row r="27" spans="1:29" ht="30" x14ac:dyDescent="0.25">
      <c r="A27" s="199" t="str">
        <f>+'PRIORIZACIÓN (2)'!B29</f>
        <v>Unidad Auditable 17</v>
      </c>
      <c r="B27" s="210" t="str">
        <f>+IF('PRIORIZACIÓN (2)'!I29&gt;0%,"YA CUENTA CON PONDERACIÓN DE RIESGOS, NO DILIGENCIAR ANALISIS OCI", "DILIGENCIE ANALISIS OCI PARA ESTA UNIDAD AUDITABLE")</f>
        <v>DILIGENCIE ANALISIS OCI PARA ESTA UNIDAD AUDITABLE</v>
      </c>
      <c r="C27" s="203"/>
      <c r="D27" s="1"/>
      <c r="E27" s="1"/>
      <c r="F27" s="1"/>
      <c r="G27" s="204"/>
      <c r="H27" s="1"/>
      <c r="I27" s="204"/>
      <c r="J27" s="1"/>
      <c r="K27" s="1"/>
      <c r="L27" s="1"/>
      <c r="M27" s="1"/>
      <c r="N27" s="1"/>
      <c r="O27" s="1"/>
      <c r="P27" s="201">
        <f t="shared" si="20"/>
        <v>0</v>
      </c>
      <c r="Q27" s="1">
        <f t="shared" si="3"/>
        <v>0</v>
      </c>
      <c r="R27" s="1">
        <f t="shared" si="0"/>
        <v>0</v>
      </c>
      <c r="S27" s="1">
        <f t="shared" si="4"/>
        <v>0</v>
      </c>
      <c r="T27" s="1">
        <f t="shared" si="5"/>
        <v>0</v>
      </c>
      <c r="U27" s="1">
        <f t="shared" si="1"/>
        <v>0</v>
      </c>
      <c r="V27" s="1">
        <f t="shared" si="6"/>
        <v>0</v>
      </c>
      <c r="W27" s="200">
        <f t="shared" si="7"/>
        <v>0</v>
      </c>
      <c r="X27" s="5">
        <f t="shared" si="27"/>
        <v>0</v>
      </c>
      <c r="Y27" s="1">
        <f t="shared" si="28"/>
        <v>0</v>
      </c>
      <c r="Z27" s="1">
        <f t="shared" si="29"/>
        <v>0</v>
      </c>
      <c r="AA27" s="201">
        <f t="shared" si="30"/>
        <v>0</v>
      </c>
      <c r="AB27" s="5">
        <f t="shared" si="31"/>
        <v>0</v>
      </c>
      <c r="AC27" s="202" t="e">
        <f t="shared" si="32"/>
        <v>#DIV/0!</v>
      </c>
    </row>
    <row r="28" spans="1:29" ht="30" x14ac:dyDescent="0.25">
      <c r="A28" s="199" t="str">
        <f>+'PRIORIZACIÓN (2)'!B30</f>
        <v>Unidad Auditable 18</v>
      </c>
      <c r="B28" s="210" t="str">
        <f>+IF('PRIORIZACIÓN (2)'!I30&gt;0%,"YA CUENTA CON PONDERACIÓN DE RIESGOS, NO DILIGENCIAR ANALISIS OCI", "DILIGENCIE ANALISIS OCI PARA ESTA UNIDAD AUDITABLE")</f>
        <v>DILIGENCIE ANALISIS OCI PARA ESTA UNIDAD AUDITABLE</v>
      </c>
      <c r="C28" s="203"/>
      <c r="D28" s="1"/>
      <c r="E28" s="1"/>
      <c r="F28" s="1"/>
      <c r="G28" s="204"/>
      <c r="H28" s="1"/>
      <c r="I28" s="204"/>
      <c r="J28" s="1"/>
      <c r="K28" s="1"/>
      <c r="L28" s="1"/>
      <c r="M28" s="1"/>
      <c r="N28" s="1"/>
      <c r="O28" s="1"/>
      <c r="P28" s="201">
        <f t="shared" si="20"/>
        <v>0</v>
      </c>
      <c r="Q28" s="1">
        <f t="shared" si="3"/>
        <v>0</v>
      </c>
      <c r="R28" s="1">
        <f t="shared" si="0"/>
        <v>0</v>
      </c>
      <c r="S28" s="1">
        <f t="shared" si="4"/>
        <v>0</v>
      </c>
      <c r="T28" s="1">
        <f t="shared" si="5"/>
        <v>0</v>
      </c>
      <c r="U28" s="1">
        <f t="shared" si="1"/>
        <v>0</v>
      </c>
      <c r="V28" s="1">
        <f t="shared" si="6"/>
        <v>0</v>
      </c>
      <c r="W28" s="200">
        <f t="shared" si="7"/>
        <v>0</v>
      </c>
      <c r="X28" s="5">
        <f t="shared" si="27"/>
        <v>0</v>
      </c>
      <c r="Y28" s="1">
        <f t="shared" si="28"/>
        <v>0</v>
      </c>
      <c r="Z28" s="1">
        <f t="shared" si="29"/>
        <v>0</v>
      </c>
      <c r="AA28" s="201">
        <f t="shared" si="30"/>
        <v>0</v>
      </c>
      <c r="AB28" s="5">
        <f t="shared" si="31"/>
        <v>0</v>
      </c>
      <c r="AC28" s="202" t="e">
        <f t="shared" si="32"/>
        <v>#DIV/0!</v>
      </c>
    </row>
    <row r="29" spans="1:29" ht="30" x14ac:dyDescent="0.25">
      <c r="A29" s="199" t="str">
        <f>+'PRIORIZACIÓN (2)'!B31</f>
        <v>Unidad Auditable 19</v>
      </c>
      <c r="B29" s="210" t="str">
        <f>+IF('PRIORIZACIÓN (2)'!I31&gt;0%,"YA CUENTA CON PONDERACIÓN DE RIESGOS, NO DILIGENCIAR ANALISIS OCI", "DILIGENCIE ANALISIS OCI PARA ESTA UNIDAD AUDITABLE")</f>
        <v>DILIGENCIE ANALISIS OCI PARA ESTA UNIDAD AUDITABLE</v>
      </c>
      <c r="C29" s="203"/>
      <c r="D29" s="1"/>
      <c r="E29" s="1"/>
      <c r="F29" s="1"/>
      <c r="G29" s="204"/>
      <c r="H29" s="1"/>
      <c r="I29" s="204"/>
      <c r="J29" s="1"/>
      <c r="K29" s="1"/>
      <c r="L29" s="1"/>
      <c r="M29" s="1"/>
      <c r="N29" s="1"/>
      <c r="O29" s="1"/>
      <c r="P29" s="201">
        <f t="shared" si="20"/>
        <v>0</v>
      </c>
      <c r="Q29" s="1">
        <f t="shared" si="3"/>
        <v>0</v>
      </c>
      <c r="R29" s="1">
        <f t="shared" si="0"/>
        <v>0</v>
      </c>
      <c r="S29" s="1">
        <f t="shared" si="4"/>
        <v>0</v>
      </c>
      <c r="T29" s="1">
        <f t="shared" si="5"/>
        <v>0</v>
      </c>
      <c r="U29" s="1">
        <f t="shared" si="1"/>
        <v>0</v>
      </c>
      <c r="V29" s="1">
        <f t="shared" si="6"/>
        <v>0</v>
      </c>
      <c r="W29" s="200">
        <f t="shared" si="7"/>
        <v>0</v>
      </c>
      <c r="X29" s="5">
        <f t="shared" si="27"/>
        <v>0</v>
      </c>
      <c r="Y29" s="1">
        <f t="shared" si="28"/>
        <v>0</v>
      </c>
      <c r="Z29" s="1">
        <f t="shared" si="29"/>
        <v>0</v>
      </c>
      <c r="AA29" s="201">
        <f t="shared" si="30"/>
        <v>0</v>
      </c>
      <c r="AB29" s="5">
        <f t="shared" si="31"/>
        <v>0</v>
      </c>
      <c r="AC29" s="202" t="e">
        <f t="shared" si="32"/>
        <v>#DIV/0!</v>
      </c>
    </row>
    <row r="30" spans="1:29" ht="30" x14ac:dyDescent="0.25">
      <c r="A30" s="199" t="str">
        <f>+'PRIORIZACIÓN (2)'!B32</f>
        <v>Unidad Auditable 20</v>
      </c>
      <c r="B30" s="210" t="str">
        <f>+IF('PRIORIZACIÓN (2)'!I32&gt;0%,"YA CUENTA CON PONDERACIÓN DE RIESGOS, NO DILIGENCIAR ANALISIS OCI", "DILIGENCIE ANALISIS OCI PARA ESTA UNIDAD AUDITABLE")</f>
        <v>DILIGENCIE ANALISIS OCI PARA ESTA UNIDAD AUDITABLE</v>
      </c>
      <c r="C30" s="203"/>
      <c r="D30" s="1">
        <f t="shared" si="16"/>
        <v>0</v>
      </c>
      <c r="E30" s="1"/>
      <c r="F30" s="1">
        <f t="shared" ref="F30:F35" si="33">IF($E30="3 días","E",IF($E30="2 días","A",IF($E30="1 días","M",IF($E30="Varias horas","B",0))))</f>
        <v>0</v>
      </c>
      <c r="G30" s="204"/>
      <c r="H30" s="1">
        <f t="shared" si="17"/>
        <v>0</v>
      </c>
      <c r="I30" s="204"/>
      <c r="J30" s="1">
        <f t="shared" si="18"/>
        <v>0</v>
      </c>
      <c r="K30" s="1"/>
      <c r="L30" s="1">
        <f t="shared" ref="L30:L35" si="34">IF($K30="Hechos de Corrupción","E",IF($K30="Incumplimiento de servicios","A",IF($K30="Retrasos en los servicios","M",IF($K30="Quejas por incumplimientos o retrasos","B",0))))</f>
        <v>0</v>
      </c>
      <c r="M30" s="1"/>
      <c r="N30" s="1">
        <f t="shared" si="19"/>
        <v>0</v>
      </c>
      <c r="O30" s="1"/>
      <c r="P30" s="201">
        <f t="shared" si="20"/>
        <v>0</v>
      </c>
      <c r="Q30" s="1">
        <f t="shared" si="3"/>
        <v>0</v>
      </c>
      <c r="R30" s="1">
        <f t="shared" si="0"/>
        <v>0</v>
      </c>
      <c r="S30" s="1">
        <f t="shared" si="4"/>
        <v>0</v>
      </c>
      <c r="T30" s="1">
        <f t="shared" si="5"/>
        <v>0</v>
      </c>
      <c r="U30" s="1">
        <f t="shared" si="1"/>
        <v>0</v>
      </c>
      <c r="V30" s="1">
        <f t="shared" si="6"/>
        <v>0</v>
      </c>
      <c r="W30" s="200">
        <f t="shared" si="7"/>
        <v>0</v>
      </c>
      <c r="X30" s="5">
        <f t="shared" si="27"/>
        <v>0</v>
      </c>
      <c r="Y30" s="1">
        <f t="shared" si="28"/>
        <v>0</v>
      </c>
      <c r="Z30" s="1">
        <f t="shared" si="29"/>
        <v>0</v>
      </c>
      <c r="AA30" s="201">
        <f t="shared" si="30"/>
        <v>0</v>
      </c>
      <c r="AB30" s="5">
        <f t="shared" si="31"/>
        <v>0</v>
      </c>
      <c r="AC30" s="202" t="e">
        <f t="shared" si="32"/>
        <v>#DIV/0!</v>
      </c>
    </row>
    <row r="31" spans="1:29" ht="30" x14ac:dyDescent="0.25">
      <c r="A31" s="199" t="str">
        <f>+'PRIORIZACIÓN (2)'!B33</f>
        <v>Unidad Auditable 21</v>
      </c>
      <c r="B31" s="210" t="str">
        <f>+IF('PRIORIZACIÓN (2)'!I33&gt;0%,"YA CUENTA CON PONDERACIÓN DE RIESGOS, NO DILIGENCIAR ANALISIS OCI", "DILIGENCIE ANALISIS OCI PARA ESTA UNIDAD AUDITABLE")</f>
        <v>DILIGENCIE ANALISIS OCI PARA ESTA UNIDAD AUDITABLE</v>
      </c>
      <c r="C31" s="203"/>
      <c r="D31" s="1">
        <f t="shared" si="16"/>
        <v>0</v>
      </c>
      <c r="E31" s="1"/>
      <c r="F31" s="1">
        <f t="shared" si="33"/>
        <v>0</v>
      </c>
      <c r="G31" s="204"/>
      <c r="H31" s="1">
        <f t="shared" si="17"/>
        <v>0</v>
      </c>
      <c r="I31" s="204"/>
      <c r="J31" s="1">
        <f t="shared" si="18"/>
        <v>0</v>
      </c>
      <c r="K31" s="1"/>
      <c r="L31" s="1">
        <f t="shared" si="34"/>
        <v>0</v>
      </c>
      <c r="M31" s="1"/>
      <c r="N31" s="1">
        <f t="shared" si="19"/>
        <v>0</v>
      </c>
      <c r="O31" s="1"/>
      <c r="P31" s="201">
        <f t="shared" si="20"/>
        <v>0</v>
      </c>
      <c r="Q31" s="1">
        <f t="shared" si="3"/>
        <v>0</v>
      </c>
      <c r="R31" s="1">
        <f t="shared" si="0"/>
        <v>0</v>
      </c>
      <c r="S31" s="1">
        <f t="shared" si="4"/>
        <v>0</v>
      </c>
      <c r="T31" s="1">
        <f t="shared" si="5"/>
        <v>0</v>
      </c>
      <c r="U31" s="1">
        <f t="shared" si="1"/>
        <v>0</v>
      </c>
      <c r="V31" s="1">
        <f t="shared" si="6"/>
        <v>0</v>
      </c>
      <c r="W31" s="200">
        <f t="shared" si="7"/>
        <v>0</v>
      </c>
      <c r="X31" s="5">
        <f t="shared" si="27"/>
        <v>0</v>
      </c>
      <c r="Y31" s="1">
        <f t="shared" si="28"/>
        <v>0</v>
      </c>
      <c r="Z31" s="1">
        <f t="shared" si="29"/>
        <v>0</v>
      </c>
      <c r="AA31" s="201">
        <f t="shared" si="30"/>
        <v>0</v>
      </c>
      <c r="AB31" s="5">
        <f t="shared" si="31"/>
        <v>0</v>
      </c>
      <c r="AC31" s="202" t="e">
        <f t="shared" si="32"/>
        <v>#DIV/0!</v>
      </c>
    </row>
    <row r="32" spans="1:29" ht="30" x14ac:dyDescent="0.25">
      <c r="A32" s="199" t="str">
        <f>+'PRIORIZACIÓN (2)'!B34</f>
        <v>Unidad Auditable 22</v>
      </c>
      <c r="B32" s="210" t="str">
        <f>+IF('PRIORIZACIÓN (2)'!I34&gt;0%,"YA CUENTA CON PONDERACIÓN DE RIESGOS, NO DILIGENCIAR ANALISIS OCI", "DILIGENCIE ANALISIS OCI PARA ESTA UNIDAD AUDITABLE")</f>
        <v>DILIGENCIE ANALISIS OCI PARA ESTA UNIDAD AUDITABLE</v>
      </c>
      <c r="C32" s="203"/>
      <c r="D32" s="1">
        <f t="shared" si="16"/>
        <v>0</v>
      </c>
      <c r="E32" s="1"/>
      <c r="F32" s="1">
        <f t="shared" si="33"/>
        <v>0</v>
      </c>
      <c r="G32" s="204"/>
      <c r="H32" s="1">
        <f t="shared" si="17"/>
        <v>0</v>
      </c>
      <c r="I32" s="204"/>
      <c r="J32" s="1">
        <f t="shared" si="18"/>
        <v>0</v>
      </c>
      <c r="K32" s="1"/>
      <c r="L32" s="1">
        <f t="shared" si="34"/>
        <v>0</v>
      </c>
      <c r="M32" s="1"/>
      <c r="N32" s="1">
        <f t="shared" si="19"/>
        <v>0</v>
      </c>
      <c r="O32" s="1"/>
      <c r="P32" s="201">
        <f t="shared" si="20"/>
        <v>0</v>
      </c>
      <c r="Q32" s="1">
        <f t="shared" si="3"/>
        <v>0</v>
      </c>
      <c r="R32" s="1">
        <f t="shared" si="0"/>
        <v>0</v>
      </c>
      <c r="S32" s="1">
        <f t="shared" si="4"/>
        <v>0</v>
      </c>
      <c r="T32" s="1">
        <f t="shared" si="5"/>
        <v>0</v>
      </c>
      <c r="U32" s="1">
        <f t="shared" si="1"/>
        <v>0</v>
      </c>
      <c r="V32" s="1">
        <f t="shared" si="6"/>
        <v>0</v>
      </c>
      <c r="W32" s="200">
        <f t="shared" si="7"/>
        <v>0</v>
      </c>
      <c r="X32" s="5">
        <f t="shared" si="27"/>
        <v>0</v>
      </c>
      <c r="Y32" s="1">
        <f t="shared" si="28"/>
        <v>0</v>
      </c>
      <c r="Z32" s="1">
        <f t="shared" si="29"/>
        <v>0</v>
      </c>
      <c r="AA32" s="201">
        <f t="shared" si="30"/>
        <v>0</v>
      </c>
      <c r="AB32" s="5">
        <f t="shared" si="31"/>
        <v>0</v>
      </c>
      <c r="AC32" s="202" t="e">
        <f t="shared" si="32"/>
        <v>#DIV/0!</v>
      </c>
    </row>
    <row r="33" spans="1:29" ht="30" x14ac:dyDescent="0.25">
      <c r="A33" s="199" t="str">
        <f>+'PRIORIZACIÓN (2)'!B35</f>
        <v>Unidad Auditable 23</v>
      </c>
      <c r="B33" s="210" t="str">
        <f>+IF('PRIORIZACIÓN (2)'!I35&gt;0%,"YA CUENTA CON PONDERACIÓN DE RIESGOS, NO DILIGENCIAR ANALISIS OCI", "DILIGENCIE ANALISIS OCI PARA ESTA UNIDAD AUDITABLE")</f>
        <v>DILIGENCIE ANALISIS OCI PARA ESTA UNIDAD AUDITABLE</v>
      </c>
      <c r="C33" s="203"/>
      <c r="D33" s="1">
        <f t="shared" si="16"/>
        <v>0</v>
      </c>
      <c r="E33" s="1"/>
      <c r="F33" s="1">
        <f t="shared" si="33"/>
        <v>0</v>
      </c>
      <c r="G33" s="204"/>
      <c r="H33" s="1">
        <f t="shared" si="17"/>
        <v>0</v>
      </c>
      <c r="I33" s="204"/>
      <c r="J33" s="1">
        <f t="shared" si="18"/>
        <v>0</v>
      </c>
      <c r="K33" s="1"/>
      <c r="L33" s="1">
        <f t="shared" si="34"/>
        <v>0</v>
      </c>
      <c r="M33" s="1"/>
      <c r="N33" s="1">
        <f t="shared" si="19"/>
        <v>0</v>
      </c>
      <c r="O33" s="1"/>
      <c r="P33" s="201">
        <f t="shared" si="20"/>
        <v>0</v>
      </c>
      <c r="Q33" s="1">
        <f t="shared" si="3"/>
        <v>0</v>
      </c>
      <c r="R33" s="1">
        <f t="shared" si="0"/>
        <v>0</v>
      </c>
      <c r="S33" s="1">
        <f t="shared" si="4"/>
        <v>0</v>
      </c>
      <c r="T33" s="1">
        <f t="shared" si="5"/>
        <v>0</v>
      </c>
      <c r="U33" s="1">
        <f t="shared" si="1"/>
        <v>0</v>
      </c>
      <c r="V33" s="1">
        <f t="shared" si="6"/>
        <v>0</v>
      </c>
      <c r="W33" s="200">
        <f t="shared" si="7"/>
        <v>0</v>
      </c>
      <c r="X33" s="5">
        <f t="shared" si="27"/>
        <v>0</v>
      </c>
      <c r="Y33" s="1">
        <f t="shared" si="28"/>
        <v>0</v>
      </c>
      <c r="Z33" s="1">
        <f t="shared" si="29"/>
        <v>0</v>
      </c>
      <c r="AA33" s="201">
        <f t="shared" si="30"/>
        <v>0</v>
      </c>
      <c r="AB33" s="5">
        <f t="shared" si="31"/>
        <v>0</v>
      </c>
      <c r="AC33" s="202" t="e">
        <f t="shared" si="32"/>
        <v>#DIV/0!</v>
      </c>
    </row>
    <row r="34" spans="1:29" ht="30" x14ac:dyDescent="0.25">
      <c r="A34" s="199" t="str">
        <f>+'PRIORIZACIÓN (2)'!B36</f>
        <v>Unidad Auditable 24</v>
      </c>
      <c r="B34" s="210" t="str">
        <f>+IF('PRIORIZACIÓN (2)'!I36&gt;0%,"YA CUENTA CON PONDERACIÓN DE RIESGOS, NO DILIGENCIAR ANALISIS OCI", "DILIGENCIE ANALISIS OCI PARA ESTA UNIDAD AUDITABLE")</f>
        <v>DILIGENCIE ANALISIS OCI PARA ESTA UNIDAD AUDITABLE</v>
      </c>
      <c r="C34" s="203"/>
      <c r="D34" s="1">
        <f t="shared" si="16"/>
        <v>0</v>
      </c>
      <c r="E34" s="1"/>
      <c r="F34" s="1">
        <f t="shared" si="33"/>
        <v>0</v>
      </c>
      <c r="G34" s="204"/>
      <c r="H34" s="1">
        <f t="shared" si="17"/>
        <v>0</v>
      </c>
      <c r="I34" s="204"/>
      <c r="J34" s="1">
        <f t="shared" si="18"/>
        <v>0</v>
      </c>
      <c r="K34" s="1"/>
      <c r="L34" s="1">
        <f t="shared" si="34"/>
        <v>0</v>
      </c>
      <c r="M34" s="1"/>
      <c r="N34" s="1">
        <f t="shared" si="19"/>
        <v>0</v>
      </c>
      <c r="O34" s="1"/>
      <c r="P34" s="201">
        <f t="shared" si="20"/>
        <v>0</v>
      </c>
      <c r="Q34" s="1">
        <f t="shared" si="3"/>
        <v>0</v>
      </c>
      <c r="R34" s="1">
        <f t="shared" si="0"/>
        <v>0</v>
      </c>
      <c r="S34" s="1">
        <f t="shared" si="4"/>
        <v>0</v>
      </c>
      <c r="T34" s="1">
        <f t="shared" si="5"/>
        <v>0</v>
      </c>
      <c r="U34" s="1">
        <f t="shared" si="1"/>
        <v>0</v>
      </c>
      <c r="V34" s="1">
        <f t="shared" si="6"/>
        <v>0</v>
      </c>
      <c r="W34" s="200">
        <f t="shared" si="7"/>
        <v>0</v>
      </c>
      <c r="X34" s="5">
        <f>COUNTIFS(Q34:W34,"E")</f>
        <v>0</v>
      </c>
      <c r="Y34" s="1">
        <f>COUNTIF(Q34:W34,"A")</f>
        <v>0</v>
      </c>
      <c r="Z34" s="1">
        <f>COUNTIF(Q34:W34,"M")</f>
        <v>0</v>
      </c>
      <c r="AA34" s="201">
        <f>COUNTIF(Q34:W34,"B")</f>
        <v>0</v>
      </c>
      <c r="AB34" s="5">
        <f>SUM(X34:AA34)</f>
        <v>0</v>
      </c>
      <c r="AC34" s="202" t="e">
        <f>+IF((X34/AB34)&gt;=0.2,"Extremo",+IF(((X34/AB34)+(Y34/AB34))&gt;=0.3,"Alto",+IF(((X34/AB34)+(Y34/AB34)+(Z34/AB34))&gt;=0.4,"Moderado",+IF((X34/AB34)+(Y34/AB34)+(Z34/AB34)+(AA34/AB34)&gt;=0.5,"Bajo",""))))</f>
        <v>#DIV/0!</v>
      </c>
    </row>
    <row r="35" spans="1:29" ht="30" x14ac:dyDescent="0.25">
      <c r="A35" s="199" t="str">
        <f>+'PRIORIZACIÓN (2)'!B37</f>
        <v>Unidad Auditable 25</v>
      </c>
      <c r="B35" s="210" t="str">
        <f>+IF('PRIORIZACIÓN (2)'!I37&gt;0%,"YA CUENTA CON PONDERACIÓN DE RIESGOS, NO DILIGENCIAR ANALISIS OCI", "DILIGENCIE ANALISIS OCI PARA ESTA UNIDAD AUDITABLE")</f>
        <v>DILIGENCIE ANALISIS OCI PARA ESTA UNIDAD AUDITABLE</v>
      </c>
      <c r="C35" s="203"/>
      <c r="D35" s="1">
        <f t="shared" si="16"/>
        <v>0</v>
      </c>
      <c r="E35" s="1"/>
      <c r="F35" s="1">
        <f t="shared" si="33"/>
        <v>0</v>
      </c>
      <c r="G35" s="204"/>
      <c r="H35" s="1">
        <f t="shared" si="17"/>
        <v>0</v>
      </c>
      <c r="I35" s="204"/>
      <c r="J35" s="1">
        <f t="shared" si="18"/>
        <v>0</v>
      </c>
      <c r="K35" s="1"/>
      <c r="L35" s="1">
        <f t="shared" si="34"/>
        <v>0</v>
      </c>
      <c r="M35" s="1"/>
      <c r="N35" s="1">
        <f t="shared" si="19"/>
        <v>0</v>
      </c>
      <c r="O35" s="1"/>
      <c r="P35" s="201">
        <f t="shared" si="20"/>
        <v>0</v>
      </c>
      <c r="Q35" s="1">
        <f t="shared" si="3"/>
        <v>0</v>
      </c>
      <c r="R35" s="1">
        <f t="shared" si="0"/>
        <v>0</v>
      </c>
      <c r="S35" s="1">
        <f t="shared" si="4"/>
        <v>0</v>
      </c>
      <c r="T35" s="1">
        <f t="shared" si="5"/>
        <v>0</v>
      </c>
      <c r="U35" s="1">
        <f t="shared" si="1"/>
        <v>0</v>
      </c>
      <c r="V35" s="1">
        <f t="shared" si="6"/>
        <v>0</v>
      </c>
      <c r="W35" s="200">
        <f t="shared" si="7"/>
        <v>0</v>
      </c>
      <c r="X35" s="5">
        <f>COUNTIFS(Q35:W35,"E")</f>
        <v>0</v>
      </c>
      <c r="Y35" s="1">
        <f>COUNTIF(Q35:W35,"A")</f>
        <v>0</v>
      </c>
      <c r="Z35" s="1">
        <f>COUNTIF(Q35:W35,"M")</f>
        <v>0</v>
      </c>
      <c r="AA35" s="201">
        <f>COUNTIF(Q35:W35,"B")</f>
        <v>0</v>
      </c>
      <c r="AB35" s="5">
        <f>SUM(X35:AA35)</f>
        <v>0</v>
      </c>
      <c r="AC35" s="202" t="e">
        <f>+IF((X35/AB35)&gt;=0.2,"Extremo",+IF(((X35/AB35)+(Y35/AB35))&gt;=0.3,"Alto",+IF(((X35/AB35)+(Y35/AB35)+(Z35/AB35))&gt;=0.4,"Moderado",+IF((X35/AB35)+(Y35/AB35)+(Z35/AB35)+(AA35/AB35)&gt;=0.5,"Bajo",""))))</f>
        <v>#DIV/0!</v>
      </c>
    </row>
    <row r="36" spans="1:29" ht="30" x14ac:dyDescent="0.25">
      <c r="A36" s="199" t="str">
        <f>+'PRIORIZACIÓN (2)'!B38</f>
        <v>Unidad Auditable 26</v>
      </c>
      <c r="B36" s="210" t="str">
        <f>+IF('PRIORIZACIÓN (2)'!I38&gt;0%,"YA CUENTA CON PONDERACIÓN DE RIESGOS, NO DILIGENCIAR ANALISIS OCI", "DILIGENCIE ANALISIS OCI PARA ESTA UNIDAD AUDITABLE")</f>
        <v>DILIGENCIE ANALISIS OCI PARA ESTA UNIDAD AUDITABLE</v>
      </c>
      <c r="C36" s="203"/>
      <c r="D36" s="1">
        <f t="shared" si="16"/>
        <v>0</v>
      </c>
      <c r="E36" s="1"/>
      <c r="F36" s="1">
        <f t="shared" ref="F36:F88" si="35">IF($E36="3 días","E",IF($E36="2 días","A",IF($E36="1 días","M",IF($E36="Varias horas","B",0))))</f>
        <v>0</v>
      </c>
      <c r="G36" s="204"/>
      <c r="H36" s="1">
        <f t="shared" si="17"/>
        <v>0</v>
      </c>
      <c r="I36" s="204"/>
      <c r="J36" s="1">
        <f t="shared" si="18"/>
        <v>0</v>
      </c>
      <c r="K36" s="1"/>
      <c r="L36" s="1">
        <f t="shared" ref="L36:L88" si="36">IF($K36="Hechos de Corrupción","E",IF($K36="Incumplimiento de servicios","A",IF($K36="Retrasos en los servicios","M",IF($K36="Quejas por incumplimientos o retrasos","B",0))))</f>
        <v>0</v>
      </c>
      <c r="M36" s="1"/>
      <c r="N36" s="1">
        <f t="shared" si="19"/>
        <v>0</v>
      </c>
      <c r="O36" s="1"/>
      <c r="P36" s="201">
        <f t="shared" ref="P36:P88" si="37">IF($O36="Critica no recuperable","E",IF($O36="Critica con recuperación parcial","A",IF($O36="Falta de oportunidad para atención usuarios","M",IF($O36="Falta de oportunidad para gestión de los procesos","B",0))))</f>
        <v>0</v>
      </c>
      <c r="Q36" s="1">
        <f t="shared" si="3"/>
        <v>0</v>
      </c>
      <c r="R36" s="1">
        <f t="shared" si="0"/>
        <v>0</v>
      </c>
      <c r="S36" s="1">
        <f t="shared" si="4"/>
        <v>0</v>
      </c>
      <c r="T36" s="1">
        <f t="shared" si="5"/>
        <v>0</v>
      </c>
      <c r="U36" s="1">
        <f t="shared" si="1"/>
        <v>0</v>
      </c>
      <c r="V36" s="1">
        <f t="shared" si="6"/>
        <v>0</v>
      </c>
      <c r="W36" s="200">
        <f t="shared" si="7"/>
        <v>0</v>
      </c>
      <c r="X36" s="5">
        <f t="shared" ref="X36:X43" si="38">COUNTIFS(Q36:W36,"E")</f>
        <v>0</v>
      </c>
      <c r="Y36" s="1">
        <f t="shared" ref="Y36:Y43" si="39">COUNTIF(Q36:W36,"A")</f>
        <v>0</v>
      </c>
      <c r="Z36" s="1">
        <f t="shared" ref="Z36:Z43" si="40">COUNTIF(Q36:W36,"M")</f>
        <v>0</v>
      </c>
      <c r="AA36" s="201">
        <f t="shared" ref="AA36:AA43" si="41">COUNTIF(Q36:W36,"B")</f>
        <v>0</v>
      </c>
      <c r="AB36" s="5">
        <f t="shared" ref="AB36:AB43" si="42">SUM(X36:AA36)</f>
        <v>0</v>
      </c>
      <c r="AC36" s="202" t="e">
        <f t="shared" ref="AC36:AC43" si="43">+IF((X36/AB36)&gt;=0.2,"Extremo",+IF(((X36/AB36)+(Y36/AB36))&gt;=0.3,"Alto",+IF(((X36/AB36)+(Y36/AB36)+(Z36/AB36))&gt;=0.4,"Moderado",+IF((X36/AB36)+(Y36/AB36)+(Z36/AB36)+(AA36/AB36)&gt;=0.5,"Bajo",""))))</f>
        <v>#DIV/0!</v>
      </c>
    </row>
    <row r="37" spans="1:29" ht="30" x14ac:dyDescent="0.25">
      <c r="A37" s="199" t="str">
        <f>+'PRIORIZACIÓN (2)'!B39</f>
        <v>Unidad Auditable 27</v>
      </c>
      <c r="B37" s="210" t="str">
        <f>+IF('PRIORIZACIÓN (2)'!I39&gt;0%,"YA CUENTA CON PONDERACIÓN DE RIESGOS, NO DILIGENCIAR ANALISIS OCI", "DILIGENCIE ANALISIS OCI PARA ESTA UNIDAD AUDITABLE")</f>
        <v>DILIGENCIE ANALISIS OCI PARA ESTA UNIDAD AUDITABLE</v>
      </c>
      <c r="C37" s="203"/>
      <c r="D37" s="1">
        <f t="shared" si="16"/>
        <v>0</v>
      </c>
      <c r="E37" s="1"/>
      <c r="F37" s="1">
        <f t="shared" si="35"/>
        <v>0</v>
      </c>
      <c r="G37" s="204"/>
      <c r="H37" s="1">
        <f t="shared" si="17"/>
        <v>0</v>
      </c>
      <c r="I37" s="204"/>
      <c r="J37" s="1">
        <f t="shared" si="18"/>
        <v>0</v>
      </c>
      <c r="K37" s="1"/>
      <c r="L37" s="1">
        <f t="shared" si="36"/>
        <v>0</v>
      </c>
      <c r="M37" s="1"/>
      <c r="N37" s="1">
        <f t="shared" si="19"/>
        <v>0</v>
      </c>
      <c r="O37" s="1"/>
      <c r="P37" s="201">
        <f t="shared" si="37"/>
        <v>0</v>
      </c>
      <c r="Q37" s="1">
        <f t="shared" si="3"/>
        <v>0</v>
      </c>
      <c r="R37" s="1">
        <f t="shared" si="0"/>
        <v>0</v>
      </c>
      <c r="S37" s="1">
        <f t="shared" si="4"/>
        <v>0</v>
      </c>
      <c r="T37" s="1">
        <f t="shared" si="5"/>
        <v>0</v>
      </c>
      <c r="U37" s="1">
        <f t="shared" si="1"/>
        <v>0</v>
      </c>
      <c r="V37" s="1">
        <f t="shared" si="6"/>
        <v>0</v>
      </c>
      <c r="W37" s="200">
        <f t="shared" si="7"/>
        <v>0</v>
      </c>
      <c r="X37" s="5">
        <f t="shared" si="38"/>
        <v>0</v>
      </c>
      <c r="Y37" s="1">
        <f t="shared" si="39"/>
        <v>0</v>
      </c>
      <c r="Z37" s="1">
        <f t="shared" si="40"/>
        <v>0</v>
      </c>
      <c r="AA37" s="201">
        <f t="shared" si="41"/>
        <v>0</v>
      </c>
      <c r="AB37" s="5">
        <f t="shared" si="42"/>
        <v>0</v>
      </c>
      <c r="AC37" s="202" t="e">
        <f t="shared" si="43"/>
        <v>#DIV/0!</v>
      </c>
    </row>
    <row r="38" spans="1:29" ht="30" x14ac:dyDescent="0.25">
      <c r="A38" s="199" t="str">
        <f>+'PRIORIZACIÓN (2)'!B40</f>
        <v>Unidad Auditable 28</v>
      </c>
      <c r="B38" s="210" t="str">
        <f>+IF('PRIORIZACIÓN (2)'!I40&gt;0%,"YA CUENTA CON PONDERACIÓN DE RIESGOS, NO DILIGENCIAR ANALISIS OCI", "DILIGENCIE ANALISIS OCI PARA ESTA UNIDAD AUDITABLE")</f>
        <v>DILIGENCIE ANALISIS OCI PARA ESTA UNIDAD AUDITABLE</v>
      </c>
      <c r="C38" s="203"/>
      <c r="D38" s="1">
        <f t="shared" si="16"/>
        <v>0</v>
      </c>
      <c r="E38" s="1"/>
      <c r="F38" s="1">
        <f t="shared" si="35"/>
        <v>0</v>
      </c>
      <c r="G38" s="204"/>
      <c r="H38" s="1">
        <f t="shared" si="17"/>
        <v>0</v>
      </c>
      <c r="I38" s="204"/>
      <c r="J38" s="1">
        <f t="shared" si="18"/>
        <v>0</v>
      </c>
      <c r="K38" s="1"/>
      <c r="L38" s="1">
        <f t="shared" si="36"/>
        <v>0</v>
      </c>
      <c r="M38" s="1"/>
      <c r="N38" s="1">
        <f t="shared" si="19"/>
        <v>0</v>
      </c>
      <c r="O38" s="1"/>
      <c r="P38" s="201">
        <f t="shared" si="37"/>
        <v>0</v>
      </c>
      <c r="Q38" s="1">
        <f t="shared" si="3"/>
        <v>0</v>
      </c>
      <c r="R38" s="1">
        <f t="shared" si="0"/>
        <v>0</v>
      </c>
      <c r="S38" s="1">
        <f t="shared" si="4"/>
        <v>0</v>
      </c>
      <c r="T38" s="1">
        <f t="shared" si="5"/>
        <v>0</v>
      </c>
      <c r="U38" s="1">
        <f t="shared" si="1"/>
        <v>0</v>
      </c>
      <c r="V38" s="1">
        <f t="shared" si="6"/>
        <v>0</v>
      </c>
      <c r="W38" s="200">
        <f t="shared" si="7"/>
        <v>0</v>
      </c>
      <c r="X38" s="5">
        <f t="shared" si="38"/>
        <v>0</v>
      </c>
      <c r="Y38" s="1">
        <f t="shared" si="39"/>
        <v>0</v>
      </c>
      <c r="Z38" s="1">
        <f t="shared" si="40"/>
        <v>0</v>
      </c>
      <c r="AA38" s="201">
        <f t="shared" si="41"/>
        <v>0</v>
      </c>
      <c r="AB38" s="5">
        <f t="shared" si="42"/>
        <v>0</v>
      </c>
      <c r="AC38" s="202" t="e">
        <f t="shared" si="43"/>
        <v>#DIV/0!</v>
      </c>
    </row>
    <row r="39" spans="1:29" ht="30" x14ac:dyDescent="0.25">
      <c r="A39" s="199" t="str">
        <f>+'PRIORIZACIÓN (2)'!B41</f>
        <v>Unidad Auditable 29</v>
      </c>
      <c r="B39" s="210" t="str">
        <f>+IF('PRIORIZACIÓN (2)'!I41&gt;0%,"YA CUENTA CON PONDERACIÓN DE RIESGOS, NO DILIGENCIAR ANALISIS OCI", "DILIGENCIE ANALISIS OCI PARA ESTA UNIDAD AUDITABLE")</f>
        <v>DILIGENCIE ANALISIS OCI PARA ESTA UNIDAD AUDITABLE</v>
      </c>
      <c r="C39" s="203"/>
      <c r="D39" s="1">
        <f t="shared" si="16"/>
        <v>0</v>
      </c>
      <c r="E39" s="1"/>
      <c r="F39" s="1">
        <f t="shared" si="35"/>
        <v>0</v>
      </c>
      <c r="G39" s="204"/>
      <c r="H39" s="1">
        <f t="shared" si="17"/>
        <v>0</v>
      </c>
      <c r="I39" s="204"/>
      <c r="J39" s="1">
        <f t="shared" si="18"/>
        <v>0</v>
      </c>
      <c r="K39" s="1"/>
      <c r="L39" s="1">
        <f t="shared" si="36"/>
        <v>0</v>
      </c>
      <c r="M39" s="1"/>
      <c r="N39" s="1">
        <f t="shared" si="19"/>
        <v>0</v>
      </c>
      <c r="O39" s="1"/>
      <c r="P39" s="201">
        <f t="shared" si="37"/>
        <v>0</v>
      </c>
      <c r="Q39" s="1">
        <f t="shared" si="3"/>
        <v>0</v>
      </c>
      <c r="R39" s="1">
        <f t="shared" si="0"/>
        <v>0</v>
      </c>
      <c r="S39" s="1">
        <f t="shared" si="4"/>
        <v>0</v>
      </c>
      <c r="T39" s="1">
        <f t="shared" si="5"/>
        <v>0</v>
      </c>
      <c r="U39" s="1">
        <f t="shared" si="1"/>
        <v>0</v>
      </c>
      <c r="V39" s="1">
        <f t="shared" si="6"/>
        <v>0</v>
      </c>
      <c r="W39" s="200">
        <f t="shared" si="7"/>
        <v>0</v>
      </c>
      <c r="X39" s="5">
        <f t="shared" si="38"/>
        <v>0</v>
      </c>
      <c r="Y39" s="1">
        <f t="shared" si="39"/>
        <v>0</v>
      </c>
      <c r="Z39" s="1">
        <f t="shared" si="40"/>
        <v>0</v>
      </c>
      <c r="AA39" s="201">
        <f t="shared" si="41"/>
        <v>0</v>
      </c>
      <c r="AB39" s="5">
        <f t="shared" si="42"/>
        <v>0</v>
      </c>
      <c r="AC39" s="202" t="e">
        <f t="shared" si="43"/>
        <v>#DIV/0!</v>
      </c>
    </row>
    <row r="40" spans="1:29" ht="30" x14ac:dyDescent="0.25">
      <c r="A40" s="199" t="str">
        <f>+'PRIORIZACIÓN (2)'!B42</f>
        <v>Unidad Auditable 30</v>
      </c>
      <c r="B40" s="210" t="str">
        <f>+IF('PRIORIZACIÓN (2)'!I42&gt;0%,"YA CUENTA CON PONDERACIÓN DE RIESGOS, NO DILIGENCIAR ANALISIS OCI", "DILIGENCIE ANALISIS OCI PARA ESTA UNIDAD AUDITABLE")</f>
        <v>DILIGENCIE ANALISIS OCI PARA ESTA UNIDAD AUDITABLE</v>
      </c>
      <c r="C40" s="203"/>
      <c r="D40" s="1">
        <f t="shared" si="16"/>
        <v>0</v>
      </c>
      <c r="E40" s="1"/>
      <c r="F40" s="1">
        <f t="shared" si="35"/>
        <v>0</v>
      </c>
      <c r="G40" s="204"/>
      <c r="H40" s="1">
        <f t="shared" si="17"/>
        <v>0</v>
      </c>
      <c r="I40" s="204"/>
      <c r="J40" s="1">
        <f t="shared" si="18"/>
        <v>0</v>
      </c>
      <c r="K40" s="1"/>
      <c r="L40" s="1">
        <f t="shared" si="36"/>
        <v>0</v>
      </c>
      <c r="M40" s="1"/>
      <c r="N40" s="1">
        <f t="shared" si="19"/>
        <v>0</v>
      </c>
      <c r="O40" s="1"/>
      <c r="P40" s="201">
        <f t="shared" si="37"/>
        <v>0</v>
      </c>
      <c r="Q40" s="1">
        <f t="shared" si="3"/>
        <v>0</v>
      </c>
      <c r="R40" s="1">
        <f t="shared" si="0"/>
        <v>0</v>
      </c>
      <c r="S40" s="1">
        <f t="shared" si="4"/>
        <v>0</v>
      </c>
      <c r="T40" s="1">
        <f t="shared" si="5"/>
        <v>0</v>
      </c>
      <c r="U40" s="1">
        <f t="shared" si="1"/>
        <v>0</v>
      </c>
      <c r="V40" s="1">
        <f t="shared" si="6"/>
        <v>0</v>
      </c>
      <c r="W40" s="200">
        <f t="shared" si="7"/>
        <v>0</v>
      </c>
      <c r="X40" s="5">
        <f t="shared" si="38"/>
        <v>0</v>
      </c>
      <c r="Y40" s="1">
        <f t="shared" si="39"/>
        <v>0</v>
      </c>
      <c r="Z40" s="1">
        <f t="shared" si="40"/>
        <v>0</v>
      </c>
      <c r="AA40" s="201">
        <f t="shared" si="41"/>
        <v>0</v>
      </c>
      <c r="AB40" s="5">
        <f t="shared" si="42"/>
        <v>0</v>
      </c>
      <c r="AC40" s="202" t="e">
        <f t="shared" si="43"/>
        <v>#DIV/0!</v>
      </c>
    </row>
    <row r="41" spans="1:29" ht="30" x14ac:dyDescent="0.25">
      <c r="A41" s="199" t="str">
        <f>+'PRIORIZACIÓN (2)'!B43</f>
        <v>Unidad Auditable 31</v>
      </c>
      <c r="B41" s="210" t="str">
        <f>+IF('PRIORIZACIÓN (2)'!I43&gt;0%,"YA CUENTA CON PONDERACIÓN DE RIESGOS, NO DILIGENCIAR ANALISIS OCI", "DILIGENCIE ANALISIS OCI PARA ESTA UNIDAD AUDITABLE")</f>
        <v>DILIGENCIE ANALISIS OCI PARA ESTA UNIDAD AUDITABLE</v>
      </c>
      <c r="C41" s="203"/>
      <c r="D41" s="1">
        <f t="shared" si="16"/>
        <v>0</v>
      </c>
      <c r="E41" s="1"/>
      <c r="F41" s="1">
        <f t="shared" si="35"/>
        <v>0</v>
      </c>
      <c r="G41" s="204"/>
      <c r="H41" s="1">
        <f t="shared" si="17"/>
        <v>0</v>
      </c>
      <c r="I41" s="204"/>
      <c r="J41" s="1">
        <f t="shared" si="18"/>
        <v>0</v>
      </c>
      <c r="K41" s="1"/>
      <c r="L41" s="1">
        <f t="shared" si="36"/>
        <v>0</v>
      </c>
      <c r="M41" s="1"/>
      <c r="N41" s="1">
        <f t="shared" si="19"/>
        <v>0</v>
      </c>
      <c r="O41" s="1"/>
      <c r="P41" s="201">
        <f t="shared" si="37"/>
        <v>0</v>
      </c>
      <c r="Q41" s="1">
        <f t="shared" si="3"/>
        <v>0</v>
      </c>
      <c r="R41" s="1">
        <f t="shared" si="0"/>
        <v>0</v>
      </c>
      <c r="S41" s="1">
        <f t="shared" si="4"/>
        <v>0</v>
      </c>
      <c r="T41" s="1">
        <f t="shared" si="5"/>
        <v>0</v>
      </c>
      <c r="U41" s="1">
        <f t="shared" si="1"/>
        <v>0</v>
      </c>
      <c r="V41" s="1">
        <f t="shared" si="6"/>
        <v>0</v>
      </c>
      <c r="W41" s="200">
        <f t="shared" si="7"/>
        <v>0</v>
      </c>
      <c r="X41" s="5">
        <f t="shared" si="38"/>
        <v>0</v>
      </c>
      <c r="Y41" s="1">
        <f t="shared" si="39"/>
        <v>0</v>
      </c>
      <c r="Z41" s="1">
        <f t="shared" si="40"/>
        <v>0</v>
      </c>
      <c r="AA41" s="201">
        <f t="shared" si="41"/>
        <v>0</v>
      </c>
      <c r="AB41" s="5">
        <f t="shared" si="42"/>
        <v>0</v>
      </c>
      <c r="AC41" s="202" t="e">
        <f t="shared" si="43"/>
        <v>#DIV/0!</v>
      </c>
    </row>
    <row r="42" spans="1:29" ht="30" x14ac:dyDescent="0.25">
      <c r="A42" s="199" t="str">
        <f>+'PRIORIZACIÓN (2)'!B44</f>
        <v>Unidad Auditable 32</v>
      </c>
      <c r="B42" s="210" t="str">
        <f>+IF('PRIORIZACIÓN (2)'!I44&gt;0%,"YA CUENTA CON PONDERACIÓN DE RIESGOS, NO DILIGENCIAR ANALISIS OCI", "DILIGENCIE ANALISIS OCI PARA ESTA UNIDAD AUDITABLE")</f>
        <v>DILIGENCIE ANALISIS OCI PARA ESTA UNIDAD AUDITABLE</v>
      </c>
      <c r="C42" s="203"/>
      <c r="D42" s="1">
        <f t="shared" si="16"/>
        <v>0</v>
      </c>
      <c r="E42" s="1"/>
      <c r="F42" s="1">
        <f t="shared" si="35"/>
        <v>0</v>
      </c>
      <c r="G42" s="204"/>
      <c r="H42" s="1">
        <f t="shared" si="17"/>
        <v>0</v>
      </c>
      <c r="I42" s="204"/>
      <c r="J42" s="1">
        <f t="shared" si="18"/>
        <v>0</v>
      </c>
      <c r="K42" s="1"/>
      <c r="L42" s="1">
        <f t="shared" si="36"/>
        <v>0</v>
      </c>
      <c r="M42" s="1"/>
      <c r="N42" s="1">
        <f t="shared" si="19"/>
        <v>0</v>
      </c>
      <c r="O42" s="1"/>
      <c r="P42" s="201">
        <f t="shared" si="37"/>
        <v>0</v>
      </c>
      <c r="Q42" s="1">
        <f t="shared" si="3"/>
        <v>0</v>
      </c>
      <c r="R42" s="1">
        <f t="shared" si="0"/>
        <v>0</v>
      </c>
      <c r="S42" s="1">
        <f t="shared" si="4"/>
        <v>0</v>
      </c>
      <c r="T42" s="1">
        <f t="shared" si="5"/>
        <v>0</v>
      </c>
      <c r="U42" s="1">
        <f t="shared" si="1"/>
        <v>0</v>
      </c>
      <c r="V42" s="1">
        <f t="shared" si="6"/>
        <v>0</v>
      </c>
      <c r="W42" s="200">
        <f t="shared" si="7"/>
        <v>0</v>
      </c>
      <c r="X42" s="5">
        <f t="shared" si="38"/>
        <v>0</v>
      </c>
      <c r="Y42" s="1">
        <f t="shared" si="39"/>
        <v>0</v>
      </c>
      <c r="Z42" s="1">
        <f t="shared" si="40"/>
        <v>0</v>
      </c>
      <c r="AA42" s="201">
        <f t="shared" si="41"/>
        <v>0</v>
      </c>
      <c r="AB42" s="5">
        <f t="shared" si="42"/>
        <v>0</v>
      </c>
      <c r="AC42" s="202" t="e">
        <f t="shared" si="43"/>
        <v>#DIV/0!</v>
      </c>
    </row>
    <row r="43" spans="1:29" ht="30" x14ac:dyDescent="0.25">
      <c r="A43" s="199" t="str">
        <f>+'PRIORIZACIÓN (2)'!B45</f>
        <v>Unidad Auditable 33</v>
      </c>
      <c r="B43" s="210" t="str">
        <f>+IF('PRIORIZACIÓN (2)'!I45&gt;0%,"YA CUENTA CON PONDERACIÓN DE RIESGOS, NO DILIGENCIAR ANALISIS OCI", "DILIGENCIE ANALISIS OCI PARA ESTA UNIDAD AUDITABLE")</f>
        <v>DILIGENCIE ANALISIS OCI PARA ESTA UNIDAD AUDITABLE</v>
      </c>
      <c r="C43" s="203"/>
      <c r="D43" s="1">
        <f t="shared" si="16"/>
        <v>0</v>
      </c>
      <c r="E43" s="1"/>
      <c r="F43" s="1">
        <f t="shared" si="35"/>
        <v>0</v>
      </c>
      <c r="G43" s="204"/>
      <c r="H43" s="1">
        <f t="shared" si="17"/>
        <v>0</v>
      </c>
      <c r="I43" s="204"/>
      <c r="J43" s="1">
        <f t="shared" si="18"/>
        <v>0</v>
      </c>
      <c r="K43" s="1"/>
      <c r="L43" s="1">
        <f t="shared" si="36"/>
        <v>0</v>
      </c>
      <c r="M43" s="1"/>
      <c r="N43" s="1">
        <f t="shared" si="19"/>
        <v>0</v>
      </c>
      <c r="O43" s="1"/>
      <c r="P43" s="201">
        <f t="shared" si="37"/>
        <v>0</v>
      </c>
      <c r="Q43" s="1">
        <f t="shared" si="3"/>
        <v>0</v>
      </c>
      <c r="R43" s="1">
        <f t="shared" si="0"/>
        <v>0</v>
      </c>
      <c r="S43" s="1">
        <f t="shared" si="4"/>
        <v>0</v>
      </c>
      <c r="T43" s="1">
        <f t="shared" si="5"/>
        <v>0</v>
      </c>
      <c r="U43" s="1">
        <f t="shared" si="1"/>
        <v>0</v>
      </c>
      <c r="V43" s="1">
        <f t="shared" si="6"/>
        <v>0</v>
      </c>
      <c r="W43" s="200">
        <f t="shared" si="7"/>
        <v>0</v>
      </c>
      <c r="X43" s="5">
        <f t="shared" si="38"/>
        <v>0</v>
      </c>
      <c r="Y43" s="1">
        <f t="shared" si="39"/>
        <v>0</v>
      </c>
      <c r="Z43" s="1">
        <f t="shared" si="40"/>
        <v>0</v>
      </c>
      <c r="AA43" s="201">
        <f t="shared" si="41"/>
        <v>0</v>
      </c>
      <c r="AB43" s="5">
        <f t="shared" si="42"/>
        <v>0</v>
      </c>
      <c r="AC43" s="202" t="e">
        <f t="shared" si="43"/>
        <v>#DIV/0!</v>
      </c>
    </row>
    <row r="44" spans="1:29" ht="30" x14ac:dyDescent="0.25">
      <c r="A44" s="199" t="str">
        <f>+'PRIORIZACIÓN (2)'!B46</f>
        <v>Unidad Auditable 34</v>
      </c>
      <c r="B44" s="210" t="str">
        <f>+IF('PRIORIZACIÓN (2)'!I46&gt;0%,"YA CUENTA CON PONDERACIÓN DE RIESGOS, NO DILIGENCIAR ANALISIS OCI", "DILIGENCIE ANALISIS OCI PARA ESTA UNIDAD AUDITABLE")</f>
        <v>DILIGENCIE ANALISIS OCI PARA ESTA UNIDAD AUDITABLE</v>
      </c>
      <c r="C44" s="203"/>
      <c r="D44" s="1">
        <f t="shared" si="16"/>
        <v>0</v>
      </c>
      <c r="E44" s="1"/>
      <c r="F44" s="1">
        <f t="shared" si="35"/>
        <v>0</v>
      </c>
      <c r="G44" s="204"/>
      <c r="H44" s="1">
        <f t="shared" si="17"/>
        <v>0</v>
      </c>
      <c r="I44" s="204"/>
      <c r="J44" s="1">
        <f t="shared" si="18"/>
        <v>0</v>
      </c>
      <c r="K44" s="1"/>
      <c r="L44" s="1">
        <f t="shared" si="36"/>
        <v>0</v>
      </c>
      <c r="M44" s="1"/>
      <c r="N44" s="1">
        <f t="shared" si="19"/>
        <v>0</v>
      </c>
      <c r="O44" s="1"/>
      <c r="P44" s="201">
        <f t="shared" si="37"/>
        <v>0</v>
      </c>
      <c r="Q44" s="1">
        <f t="shared" si="3"/>
        <v>0</v>
      </c>
      <c r="R44" s="1">
        <f t="shared" si="0"/>
        <v>0</v>
      </c>
      <c r="S44" s="1">
        <f t="shared" si="4"/>
        <v>0</v>
      </c>
      <c r="T44" s="1">
        <f t="shared" si="5"/>
        <v>0</v>
      </c>
      <c r="U44" s="1">
        <f t="shared" si="1"/>
        <v>0</v>
      </c>
      <c r="V44" s="1">
        <f t="shared" si="6"/>
        <v>0</v>
      </c>
      <c r="W44" s="200">
        <f t="shared" si="7"/>
        <v>0</v>
      </c>
      <c r="X44" s="5">
        <f t="shared" ref="X44:X88" si="44">COUNTIFS(Q44:W44,"E")</f>
        <v>0</v>
      </c>
      <c r="Y44" s="1">
        <f t="shared" ref="Y44:Y88" si="45">COUNTIF(Q44:W44,"A")</f>
        <v>0</v>
      </c>
      <c r="Z44" s="1">
        <f t="shared" ref="Z44:Z88" si="46">COUNTIF(Q44:W44,"M")</f>
        <v>0</v>
      </c>
      <c r="AA44" s="201">
        <f t="shared" ref="AA44:AA88" si="47">COUNTIF(Q44:W44,"B")</f>
        <v>0</v>
      </c>
      <c r="AB44" s="5">
        <f t="shared" ref="AB44:AB88" si="48">SUM(X44:AA44)</f>
        <v>0</v>
      </c>
      <c r="AC44" s="202" t="e">
        <f t="shared" ref="AC44:AC88" si="49">+IF((X44/AB44)&gt;=0.2,"Extremo",+IF(((X44/AB44)+(Y44/AB44))&gt;=0.3,"Alto",+IF(((X44/AB44)+(Y44/AB44)+(Z44/AB44))&gt;=0.4,"Moderado",+IF((X44/AB44)+(Y44/AB44)+(Z44/AB44)+(AA44/AB44)&gt;=0.5,"Bajo",""))))</f>
        <v>#DIV/0!</v>
      </c>
    </row>
    <row r="45" spans="1:29" ht="30" x14ac:dyDescent="0.25">
      <c r="A45" s="199" t="str">
        <f>+'PRIORIZACIÓN (2)'!B47</f>
        <v>Unidad Auditable 35</v>
      </c>
      <c r="B45" s="210" t="str">
        <f>+IF('PRIORIZACIÓN (2)'!I47&gt;0%,"YA CUENTA CON PONDERACIÓN DE RIESGOS, NO DILIGENCIAR ANALISIS OCI", "DILIGENCIE ANALISIS OCI PARA ESTA UNIDAD AUDITABLE")</f>
        <v>DILIGENCIE ANALISIS OCI PARA ESTA UNIDAD AUDITABLE</v>
      </c>
      <c r="C45" s="203"/>
      <c r="D45" s="1">
        <f t="shared" si="16"/>
        <v>0</v>
      </c>
      <c r="E45" s="1"/>
      <c r="F45" s="1">
        <f t="shared" si="35"/>
        <v>0</v>
      </c>
      <c r="G45" s="204"/>
      <c r="H45" s="1">
        <f t="shared" si="17"/>
        <v>0</v>
      </c>
      <c r="I45" s="204"/>
      <c r="J45" s="1">
        <f t="shared" si="18"/>
        <v>0</v>
      </c>
      <c r="K45" s="1"/>
      <c r="L45" s="1">
        <f t="shared" si="36"/>
        <v>0</v>
      </c>
      <c r="M45" s="1"/>
      <c r="N45" s="1">
        <f t="shared" si="19"/>
        <v>0</v>
      </c>
      <c r="O45" s="1"/>
      <c r="P45" s="201">
        <f t="shared" si="37"/>
        <v>0</v>
      </c>
      <c r="Q45" s="1">
        <f t="shared" si="3"/>
        <v>0</v>
      </c>
      <c r="R45" s="1">
        <f t="shared" si="0"/>
        <v>0</v>
      </c>
      <c r="S45" s="1">
        <f t="shared" si="4"/>
        <v>0</v>
      </c>
      <c r="T45" s="1">
        <f t="shared" si="5"/>
        <v>0</v>
      </c>
      <c r="U45" s="1">
        <f t="shared" si="1"/>
        <v>0</v>
      </c>
      <c r="V45" s="1">
        <f t="shared" si="6"/>
        <v>0</v>
      </c>
      <c r="W45" s="200">
        <f t="shared" si="7"/>
        <v>0</v>
      </c>
      <c r="X45" s="5">
        <f t="shared" si="44"/>
        <v>0</v>
      </c>
      <c r="Y45" s="1">
        <f t="shared" si="45"/>
        <v>0</v>
      </c>
      <c r="Z45" s="1">
        <f t="shared" si="46"/>
        <v>0</v>
      </c>
      <c r="AA45" s="201">
        <f t="shared" si="47"/>
        <v>0</v>
      </c>
      <c r="AB45" s="5">
        <f t="shared" si="48"/>
        <v>0</v>
      </c>
      <c r="AC45" s="202" t="e">
        <f t="shared" si="49"/>
        <v>#DIV/0!</v>
      </c>
    </row>
    <row r="46" spans="1:29" ht="30" x14ac:dyDescent="0.25">
      <c r="A46" s="199" t="str">
        <f>+'PRIORIZACIÓN (2)'!B48</f>
        <v>Unidad Auditable 36</v>
      </c>
      <c r="B46" s="210" t="str">
        <f>+IF('PRIORIZACIÓN (2)'!I48&gt;0%,"YA CUENTA CON PONDERACIÓN DE RIESGOS, NO DILIGENCIAR ANALISIS OCI", "DILIGENCIE ANALISIS OCI PARA ESTA UNIDAD AUDITABLE")</f>
        <v>DILIGENCIE ANALISIS OCI PARA ESTA UNIDAD AUDITABLE</v>
      </c>
      <c r="C46" s="203"/>
      <c r="D46" s="1">
        <f t="shared" si="16"/>
        <v>0</v>
      </c>
      <c r="E46" s="1"/>
      <c r="F46" s="1">
        <f t="shared" si="35"/>
        <v>0</v>
      </c>
      <c r="G46" s="204"/>
      <c r="H46" s="1">
        <f t="shared" si="17"/>
        <v>0</v>
      </c>
      <c r="I46" s="204"/>
      <c r="J46" s="1">
        <f t="shared" si="18"/>
        <v>0</v>
      </c>
      <c r="K46" s="1"/>
      <c r="L46" s="1">
        <f t="shared" si="36"/>
        <v>0</v>
      </c>
      <c r="M46" s="1"/>
      <c r="N46" s="1">
        <f t="shared" si="19"/>
        <v>0</v>
      </c>
      <c r="O46" s="1"/>
      <c r="P46" s="201">
        <f t="shared" si="37"/>
        <v>0</v>
      </c>
      <c r="Q46" s="1">
        <f t="shared" si="3"/>
        <v>0</v>
      </c>
      <c r="R46" s="1">
        <f t="shared" si="0"/>
        <v>0</v>
      </c>
      <c r="S46" s="1">
        <f t="shared" si="4"/>
        <v>0</v>
      </c>
      <c r="T46" s="1">
        <f t="shared" si="5"/>
        <v>0</v>
      </c>
      <c r="U46" s="1">
        <f t="shared" si="1"/>
        <v>0</v>
      </c>
      <c r="V46" s="1">
        <f t="shared" si="6"/>
        <v>0</v>
      </c>
      <c r="W46" s="200">
        <f t="shared" si="7"/>
        <v>0</v>
      </c>
      <c r="X46" s="5">
        <f t="shared" si="44"/>
        <v>0</v>
      </c>
      <c r="Y46" s="1">
        <f t="shared" si="45"/>
        <v>0</v>
      </c>
      <c r="Z46" s="1">
        <f t="shared" si="46"/>
        <v>0</v>
      </c>
      <c r="AA46" s="201">
        <f t="shared" si="47"/>
        <v>0</v>
      </c>
      <c r="AB46" s="5">
        <f t="shared" si="48"/>
        <v>0</v>
      </c>
      <c r="AC46" s="202" t="e">
        <f t="shared" si="49"/>
        <v>#DIV/0!</v>
      </c>
    </row>
    <row r="47" spans="1:29" ht="30" x14ac:dyDescent="0.25">
      <c r="A47" s="199" t="str">
        <f>+'PRIORIZACIÓN (2)'!B49</f>
        <v>Unidad Auditable 37</v>
      </c>
      <c r="B47" s="210" t="str">
        <f>+IF('PRIORIZACIÓN (2)'!I49&gt;0%,"YA CUENTA CON PONDERACIÓN DE RIESGOS, NO DILIGENCIAR ANALISIS OCI", "DILIGENCIE ANALISIS OCI PARA ESTA UNIDAD AUDITABLE")</f>
        <v>DILIGENCIE ANALISIS OCI PARA ESTA UNIDAD AUDITABLE</v>
      </c>
      <c r="C47" s="203"/>
      <c r="D47" s="1">
        <f t="shared" si="16"/>
        <v>0</v>
      </c>
      <c r="E47" s="1"/>
      <c r="F47" s="1">
        <f t="shared" si="35"/>
        <v>0</v>
      </c>
      <c r="G47" s="204"/>
      <c r="H47" s="1">
        <f t="shared" si="17"/>
        <v>0</v>
      </c>
      <c r="I47" s="204"/>
      <c r="J47" s="1">
        <f t="shared" si="18"/>
        <v>0</v>
      </c>
      <c r="K47" s="1"/>
      <c r="L47" s="1">
        <f t="shared" si="36"/>
        <v>0</v>
      </c>
      <c r="M47" s="1"/>
      <c r="N47" s="1">
        <f t="shared" si="19"/>
        <v>0</v>
      </c>
      <c r="O47" s="1"/>
      <c r="P47" s="201">
        <f t="shared" si="37"/>
        <v>0</v>
      </c>
      <c r="Q47" s="1">
        <f t="shared" si="3"/>
        <v>0</v>
      </c>
      <c r="R47" s="1">
        <f t="shared" si="0"/>
        <v>0</v>
      </c>
      <c r="S47" s="1">
        <f t="shared" si="4"/>
        <v>0</v>
      </c>
      <c r="T47" s="1">
        <f t="shared" si="5"/>
        <v>0</v>
      </c>
      <c r="U47" s="1">
        <f t="shared" si="1"/>
        <v>0</v>
      </c>
      <c r="V47" s="1">
        <f t="shared" si="6"/>
        <v>0</v>
      </c>
      <c r="W47" s="200">
        <f t="shared" si="7"/>
        <v>0</v>
      </c>
      <c r="X47" s="5">
        <f t="shared" si="44"/>
        <v>0</v>
      </c>
      <c r="Y47" s="1">
        <f t="shared" si="45"/>
        <v>0</v>
      </c>
      <c r="Z47" s="1">
        <f t="shared" si="46"/>
        <v>0</v>
      </c>
      <c r="AA47" s="201">
        <f t="shared" si="47"/>
        <v>0</v>
      </c>
      <c r="AB47" s="5">
        <f t="shared" si="48"/>
        <v>0</v>
      </c>
      <c r="AC47" s="202" t="e">
        <f t="shared" si="49"/>
        <v>#DIV/0!</v>
      </c>
    </row>
    <row r="48" spans="1:29" ht="30" x14ac:dyDescent="0.25">
      <c r="A48" s="199" t="str">
        <f>+'PRIORIZACIÓN (2)'!B50</f>
        <v>Unidad Auditable 38</v>
      </c>
      <c r="B48" s="210" t="str">
        <f>+IF('PRIORIZACIÓN (2)'!I50&gt;0%,"YA CUENTA CON PONDERACIÓN DE RIESGOS, NO DILIGENCIAR ANALISIS OCI", "DILIGENCIE ANALISIS OCI PARA ESTA UNIDAD AUDITABLE")</f>
        <v>DILIGENCIE ANALISIS OCI PARA ESTA UNIDAD AUDITABLE</v>
      </c>
      <c r="C48" s="203"/>
      <c r="D48" s="1">
        <f t="shared" si="16"/>
        <v>0</v>
      </c>
      <c r="E48" s="1"/>
      <c r="F48" s="1">
        <f t="shared" si="35"/>
        <v>0</v>
      </c>
      <c r="G48" s="204"/>
      <c r="H48" s="1">
        <f t="shared" si="17"/>
        <v>0</v>
      </c>
      <c r="I48" s="204"/>
      <c r="J48" s="1">
        <f t="shared" si="18"/>
        <v>0</v>
      </c>
      <c r="K48" s="1"/>
      <c r="L48" s="1">
        <f t="shared" si="36"/>
        <v>0</v>
      </c>
      <c r="M48" s="1"/>
      <c r="N48" s="1">
        <f t="shared" si="19"/>
        <v>0</v>
      </c>
      <c r="O48" s="1"/>
      <c r="P48" s="201">
        <f t="shared" si="37"/>
        <v>0</v>
      </c>
      <c r="Q48" s="1">
        <f t="shared" si="3"/>
        <v>0</v>
      </c>
      <c r="R48" s="1">
        <f t="shared" si="0"/>
        <v>0</v>
      </c>
      <c r="S48" s="1">
        <f t="shared" si="4"/>
        <v>0</v>
      </c>
      <c r="T48" s="1">
        <f t="shared" si="5"/>
        <v>0</v>
      </c>
      <c r="U48" s="1">
        <f t="shared" si="1"/>
        <v>0</v>
      </c>
      <c r="V48" s="1">
        <f t="shared" si="6"/>
        <v>0</v>
      </c>
      <c r="W48" s="200">
        <f t="shared" si="7"/>
        <v>0</v>
      </c>
      <c r="X48" s="5">
        <f t="shared" si="44"/>
        <v>0</v>
      </c>
      <c r="Y48" s="1">
        <f t="shared" si="45"/>
        <v>0</v>
      </c>
      <c r="Z48" s="1">
        <f t="shared" si="46"/>
        <v>0</v>
      </c>
      <c r="AA48" s="201">
        <f t="shared" si="47"/>
        <v>0</v>
      </c>
      <c r="AB48" s="5">
        <f t="shared" si="48"/>
        <v>0</v>
      </c>
      <c r="AC48" s="202" t="e">
        <f t="shared" si="49"/>
        <v>#DIV/0!</v>
      </c>
    </row>
    <row r="49" spans="1:29" ht="30" x14ac:dyDescent="0.25">
      <c r="A49" s="199" t="str">
        <f>+'PRIORIZACIÓN (2)'!B51</f>
        <v>Unidad Auditable 39</v>
      </c>
      <c r="B49" s="210" t="str">
        <f>+IF('PRIORIZACIÓN (2)'!I51&gt;0%,"YA CUENTA CON PONDERACIÓN DE RIESGOS, NO DILIGENCIAR ANALISIS OCI", "DILIGENCIE ANALISIS OCI PARA ESTA UNIDAD AUDITABLE")</f>
        <v>DILIGENCIE ANALISIS OCI PARA ESTA UNIDAD AUDITABLE</v>
      </c>
      <c r="C49" s="203"/>
      <c r="D49" s="1">
        <f t="shared" si="16"/>
        <v>0</v>
      </c>
      <c r="E49" s="1"/>
      <c r="F49" s="1">
        <f t="shared" si="35"/>
        <v>0</v>
      </c>
      <c r="G49" s="204"/>
      <c r="H49" s="1">
        <f t="shared" si="17"/>
        <v>0</v>
      </c>
      <c r="I49" s="204"/>
      <c r="J49" s="1">
        <f t="shared" si="18"/>
        <v>0</v>
      </c>
      <c r="K49" s="1"/>
      <c r="L49" s="1">
        <f t="shared" si="36"/>
        <v>0</v>
      </c>
      <c r="M49" s="1"/>
      <c r="N49" s="1">
        <f t="shared" si="19"/>
        <v>0</v>
      </c>
      <c r="O49" s="1"/>
      <c r="P49" s="201">
        <f t="shared" si="37"/>
        <v>0</v>
      </c>
      <c r="Q49" s="1">
        <f t="shared" si="3"/>
        <v>0</v>
      </c>
      <c r="R49" s="1">
        <f t="shared" si="0"/>
        <v>0</v>
      </c>
      <c r="S49" s="1">
        <f t="shared" si="4"/>
        <v>0</v>
      </c>
      <c r="T49" s="1">
        <f t="shared" si="5"/>
        <v>0</v>
      </c>
      <c r="U49" s="1">
        <f t="shared" si="1"/>
        <v>0</v>
      </c>
      <c r="V49" s="1">
        <f t="shared" si="6"/>
        <v>0</v>
      </c>
      <c r="W49" s="200">
        <f t="shared" si="7"/>
        <v>0</v>
      </c>
      <c r="X49" s="5">
        <f t="shared" si="44"/>
        <v>0</v>
      </c>
      <c r="Y49" s="1">
        <f t="shared" si="45"/>
        <v>0</v>
      </c>
      <c r="Z49" s="1">
        <f t="shared" si="46"/>
        <v>0</v>
      </c>
      <c r="AA49" s="201">
        <f t="shared" si="47"/>
        <v>0</v>
      </c>
      <c r="AB49" s="5">
        <f t="shared" si="48"/>
        <v>0</v>
      </c>
      <c r="AC49" s="202" t="e">
        <f t="shared" si="49"/>
        <v>#DIV/0!</v>
      </c>
    </row>
    <row r="50" spans="1:29" ht="30" x14ac:dyDescent="0.25">
      <c r="A50" s="199" t="str">
        <f>+'PRIORIZACIÓN (2)'!B52</f>
        <v>Unidad Auditable 40</v>
      </c>
      <c r="B50" s="210" t="str">
        <f>+IF('PRIORIZACIÓN (2)'!I52&gt;0%,"YA CUENTA CON PONDERACIÓN DE RIESGOS, NO DILIGENCIAR ANALISIS OCI", "DILIGENCIE ANALISIS OCI PARA ESTA UNIDAD AUDITABLE")</f>
        <v>DILIGENCIE ANALISIS OCI PARA ESTA UNIDAD AUDITABLE</v>
      </c>
      <c r="C50" s="203"/>
      <c r="D50" s="1">
        <f t="shared" si="16"/>
        <v>0</v>
      </c>
      <c r="E50" s="1"/>
      <c r="F50" s="1">
        <f t="shared" si="35"/>
        <v>0</v>
      </c>
      <c r="G50" s="204"/>
      <c r="H50" s="1">
        <f t="shared" si="17"/>
        <v>0</v>
      </c>
      <c r="I50" s="204"/>
      <c r="J50" s="1">
        <f t="shared" si="18"/>
        <v>0</v>
      </c>
      <c r="K50" s="1"/>
      <c r="L50" s="1">
        <f t="shared" si="36"/>
        <v>0</v>
      </c>
      <c r="M50" s="1"/>
      <c r="N50" s="1">
        <f t="shared" si="19"/>
        <v>0</v>
      </c>
      <c r="O50" s="1"/>
      <c r="P50" s="201">
        <f t="shared" si="37"/>
        <v>0</v>
      </c>
      <c r="Q50" s="1">
        <f t="shared" si="3"/>
        <v>0</v>
      </c>
      <c r="R50" s="1">
        <f t="shared" si="0"/>
        <v>0</v>
      </c>
      <c r="S50" s="1">
        <f t="shared" si="4"/>
        <v>0</v>
      </c>
      <c r="T50" s="1">
        <f t="shared" si="5"/>
        <v>0</v>
      </c>
      <c r="U50" s="1">
        <f t="shared" si="1"/>
        <v>0</v>
      </c>
      <c r="V50" s="1">
        <f t="shared" si="6"/>
        <v>0</v>
      </c>
      <c r="W50" s="200">
        <f t="shared" si="7"/>
        <v>0</v>
      </c>
      <c r="X50" s="5">
        <f t="shared" si="44"/>
        <v>0</v>
      </c>
      <c r="Y50" s="1">
        <f t="shared" si="45"/>
        <v>0</v>
      </c>
      <c r="Z50" s="1">
        <f t="shared" si="46"/>
        <v>0</v>
      </c>
      <c r="AA50" s="201">
        <f t="shared" si="47"/>
        <v>0</v>
      </c>
      <c r="AB50" s="5">
        <f t="shared" si="48"/>
        <v>0</v>
      </c>
      <c r="AC50" s="202" t="e">
        <f t="shared" si="49"/>
        <v>#DIV/0!</v>
      </c>
    </row>
    <row r="51" spans="1:29" ht="30" x14ac:dyDescent="0.25">
      <c r="A51" s="199" t="str">
        <f>+'PRIORIZACIÓN (2)'!B53</f>
        <v>Unidad Auditable 41</v>
      </c>
      <c r="B51" s="210" t="str">
        <f>+IF('PRIORIZACIÓN (2)'!I53&gt;0%,"YA CUENTA CON PONDERACIÓN DE RIESGOS, NO DILIGENCIAR ANALISIS OCI", "DILIGENCIE ANALISIS OCI PARA ESTA UNIDAD AUDITABLE")</f>
        <v>DILIGENCIE ANALISIS OCI PARA ESTA UNIDAD AUDITABLE</v>
      </c>
      <c r="C51" s="203"/>
      <c r="D51" s="1">
        <f t="shared" si="16"/>
        <v>0</v>
      </c>
      <c r="E51" s="1"/>
      <c r="F51" s="1">
        <f t="shared" si="35"/>
        <v>0</v>
      </c>
      <c r="G51" s="204"/>
      <c r="H51" s="1">
        <f t="shared" si="17"/>
        <v>0</v>
      </c>
      <c r="I51" s="204"/>
      <c r="J51" s="1">
        <f t="shared" si="18"/>
        <v>0</v>
      </c>
      <c r="K51" s="1"/>
      <c r="L51" s="1">
        <f t="shared" si="36"/>
        <v>0</v>
      </c>
      <c r="M51" s="1"/>
      <c r="N51" s="1">
        <f t="shared" si="19"/>
        <v>0</v>
      </c>
      <c r="O51" s="1"/>
      <c r="P51" s="201">
        <f t="shared" si="37"/>
        <v>0</v>
      </c>
      <c r="Q51" s="1">
        <f t="shared" si="3"/>
        <v>0</v>
      </c>
      <c r="R51" s="1">
        <f t="shared" si="0"/>
        <v>0</v>
      </c>
      <c r="S51" s="1">
        <f t="shared" si="4"/>
        <v>0</v>
      </c>
      <c r="T51" s="1">
        <f t="shared" si="5"/>
        <v>0</v>
      </c>
      <c r="U51" s="1">
        <f t="shared" si="1"/>
        <v>0</v>
      </c>
      <c r="V51" s="1">
        <f t="shared" si="6"/>
        <v>0</v>
      </c>
      <c r="W51" s="200">
        <f t="shared" si="7"/>
        <v>0</v>
      </c>
      <c r="X51" s="5">
        <f t="shared" si="44"/>
        <v>0</v>
      </c>
      <c r="Y51" s="1">
        <f t="shared" si="45"/>
        <v>0</v>
      </c>
      <c r="Z51" s="1">
        <f t="shared" si="46"/>
        <v>0</v>
      </c>
      <c r="AA51" s="201">
        <f t="shared" si="47"/>
        <v>0</v>
      </c>
      <c r="AB51" s="5">
        <f t="shared" si="48"/>
        <v>0</v>
      </c>
      <c r="AC51" s="202" t="e">
        <f t="shared" si="49"/>
        <v>#DIV/0!</v>
      </c>
    </row>
    <row r="52" spans="1:29" ht="30" x14ac:dyDescent="0.25">
      <c r="A52" s="199" t="str">
        <f>+'PRIORIZACIÓN (2)'!B54</f>
        <v>Unidad Auditable 42</v>
      </c>
      <c r="B52" s="210" t="str">
        <f>+IF('PRIORIZACIÓN (2)'!I54&gt;0%,"YA CUENTA CON PONDERACIÓN DE RIESGOS, NO DILIGENCIAR ANALISIS OCI", "DILIGENCIE ANALISIS OCI PARA ESTA UNIDAD AUDITABLE")</f>
        <v>DILIGENCIE ANALISIS OCI PARA ESTA UNIDAD AUDITABLE</v>
      </c>
      <c r="C52" s="203"/>
      <c r="D52" s="1">
        <f t="shared" si="16"/>
        <v>0</v>
      </c>
      <c r="E52" s="1"/>
      <c r="F52" s="1">
        <f t="shared" si="35"/>
        <v>0</v>
      </c>
      <c r="G52" s="204"/>
      <c r="H52" s="1">
        <f t="shared" si="17"/>
        <v>0</v>
      </c>
      <c r="I52" s="204"/>
      <c r="J52" s="1">
        <f t="shared" si="18"/>
        <v>0</v>
      </c>
      <c r="K52" s="1"/>
      <c r="L52" s="1">
        <f t="shared" si="36"/>
        <v>0</v>
      </c>
      <c r="M52" s="1"/>
      <c r="N52" s="1">
        <f t="shared" si="19"/>
        <v>0</v>
      </c>
      <c r="O52" s="1"/>
      <c r="P52" s="201">
        <f t="shared" si="37"/>
        <v>0</v>
      </c>
      <c r="Q52" s="1">
        <f t="shared" si="3"/>
        <v>0</v>
      </c>
      <c r="R52" s="1">
        <f t="shared" si="0"/>
        <v>0</v>
      </c>
      <c r="S52" s="1">
        <f t="shared" si="4"/>
        <v>0</v>
      </c>
      <c r="T52" s="1">
        <f t="shared" si="5"/>
        <v>0</v>
      </c>
      <c r="U52" s="1">
        <f t="shared" si="1"/>
        <v>0</v>
      </c>
      <c r="V52" s="1">
        <f t="shared" si="6"/>
        <v>0</v>
      </c>
      <c r="W52" s="200">
        <f t="shared" si="7"/>
        <v>0</v>
      </c>
      <c r="X52" s="5">
        <f t="shared" si="44"/>
        <v>0</v>
      </c>
      <c r="Y52" s="1">
        <f t="shared" si="45"/>
        <v>0</v>
      </c>
      <c r="Z52" s="1">
        <f t="shared" si="46"/>
        <v>0</v>
      </c>
      <c r="AA52" s="201">
        <f t="shared" si="47"/>
        <v>0</v>
      </c>
      <c r="AB52" s="5">
        <f t="shared" si="48"/>
        <v>0</v>
      </c>
      <c r="AC52" s="202" t="e">
        <f t="shared" si="49"/>
        <v>#DIV/0!</v>
      </c>
    </row>
    <row r="53" spans="1:29" ht="30" x14ac:dyDescent="0.25">
      <c r="A53" s="199" t="str">
        <f>+'PRIORIZACIÓN (2)'!B55</f>
        <v>Unidad Auditable 43</v>
      </c>
      <c r="B53" s="210" t="str">
        <f>+IF('PRIORIZACIÓN (2)'!I55&gt;0%,"YA CUENTA CON PONDERACIÓN DE RIESGOS, NO DILIGENCIAR ANALISIS OCI", "DILIGENCIE ANALISIS OCI PARA ESTA UNIDAD AUDITABLE")</f>
        <v>DILIGENCIE ANALISIS OCI PARA ESTA UNIDAD AUDITABLE</v>
      </c>
      <c r="C53" s="203"/>
      <c r="D53" s="1">
        <f t="shared" si="16"/>
        <v>0</v>
      </c>
      <c r="E53" s="1"/>
      <c r="F53" s="1">
        <f t="shared" si="35"/>
        <v>0</v>
      </c>
      <c r="G53" s="204"/>
      <c r="H53" s="1">
        <f t="shared" si="17"/>
        <v>0</v>
      </c>
      <c r="I53" s="204"/>
      <c r="J53" s="1">
        <f t="shared" si="18"/>
        <v>0</v>
      </c>
      <c r="K53" s="1"/>
      <c r="L53" s="1">
        <f t="shared" si="36"/>
        <v>0</v>
      </c>
      <c r="M53" s="1"/>
      <c r="N53" s="1">
        <f t="shared" si="19"/>
        <v>0</v>
      </c>
      <c r="O53" s="1"/>
      <c r="P53" s="201">
        <f t="shared" si="37"/>
        <v>0</v>
      </c>
      <c r="Q53" s="1">
        <f t="shared" si="3"/>
        <v>0</v>
      </c>
      <c r="R53" s="1">
        <f t="shared" si="0"/>
        <v>0</v>
      </c>
      <c r="S53" s="1">
        <f t="shared" si="4"/>
        <v>0</v>
      </c>
      <c r="T53" s="1">
        <f t="shared" si="5"/>
        <v>0</v>
      </c>
      <c r="U53" s="1">
        <f t="shared" si="1"/>
        <v>0</v>
      </c>
      <c r="V53" s="1">
        <f t="shared" si="6"/>
        <v>0</v>
      </c>
      <c r="W53" s="200">
        <f t="shared" si="7"/>
        <v>0</v>
      </c>
      <c r="X53" s="5">
        <f t="shared" si="44"/>
        <v>0</v>
      </c>
      <c r="Y53" s="1">
        <f t="shared" si="45"/>
        <v>0</v>
      </c>
      <c r="Z53" s="1">
        <f t="shared" si="46"/>
        <v>0</v>
      </c>
      <c r="AA53" s="201">
        <f t="shared" si="47"/>
        <v>0</v>
      </c>
      <c r="AB53" s="5">
        <f t="shared" si="48"/>
        <v>0</v>
      </c>
      <c r="AC53" s="202" t="e">
        <f t="shared" si="49"/>
        <v>#DIV/0!</v>
      </c>
    </row>
    <row r="54" spans="1:29" ht="30" x14ac:dyDescent="0.25">
      <c r="A54" s="199" t="str">
        <f>+'PRIORIZACIÓN (2)'!B56</f>
        <v>Unidad Auditable 44</v>
      </c>
      <c r="B54" s="210" t="str">
        <f>+IF('PRIORIZACIÓN (2)'!I56&gt;0%,"YA CUENTA CON PONDERACIÓN DE RIESGOS, NO DILIGENCIAR ANALISIS OCI", "DILIGENCIE ANALISIS OCI PARA ESTA UNIDAD AUDITABLE")</f>
        <v>DILIGENCIE ANALISIS OCI PARA ESTA UNIDAD AUDITABLE</v>
      </c>
      <c r="C54" s="203"/>
      <c r="D54" s="1">
        <f t="shared" si="16"/>
        <v>0</v>
      </c>
      <c r="E54" s="1"/>
      <c r="F54" s="1">
        <f t="shared" si="35"/>
        <v>0</v>
      </c>
      <c r="G54" s="204"/>
      <c r="H54" s="1">
        <f t="shared" si="17"/>
        <v>0</v>
      </c>
      <c r="I54" s="204"/>
      <c r="J54" s="1">
        <f t="shared" si="18"/>
        <v>0</v>
      </c>
      <c r="K54" s="1"/>
      <c r="L54" s="1">
        <f t="shared" si="36"/>
        <v>0</v>
      </c>
      <c r="M54" s="1"/>
      <c r="N54" s="1">
        <f t="shared" si="19"/>
        <v>0</v>
      </c>
      <c r="O54" s="1"/>
      <c r="P54" s="201">
        <f t="shared" si="37"/>
        <v>0</v>
      </c>
      <c r="Q54" s="1">
        <f t="shared" si="3"/>
        <v>0</v>
      </c>
      <c r="R54" s="1">
        <f t="shared" si="0"/>
        <v>0</v>
      </c>
      <c r="S54" s="1">
        <f t="shared" si="4"/>
        <v>0</v>
      </c>
      <c r="T54" s="1">
        <f t="shared" si="5"/>
        <v>0</v>
      </c>
      <c r="U54" s="1">
        <f t="shared" si="1"/>
        <v>0</v>
      </c>
      <c r="V54" s="1">
        <f t="shared" si="6"/>
        <v>0</v>
      </c>
      <c r="W54" s="200">
        <f t="shared" si="7"/>
        <v>0</v>
      </c>
      <c r="X54" s="5">
        <f t="shared" si="44"/>
        <v>0</v>
      </c>
      <c r="Y54" s="1">
        <f t="shared" si="45"/>
        <v>0</v>
      </c>
      <c r="Z54" s="1">
        <f t="shared" si="46"/>
        <v>0</v>
      </c>
      <c r="AA54" s="201">
        <f t="shared" si="47"/>
        <v>0</v>
      </c>
      <c r="AB54" s="5">
        <f t="shared" si="48"/>
        <v>0</v>
      </c>
      <c r="AC54" s="202" t="e">
        <f t="shared" si="49"/>
        <v>#DIV/0!</v>
      </c>
    </row>
    <row r="55" spans="1:29" ht="30" x14ac:dyDescent="0.25">
      <c r="A55" s="199" t="str">
        <f>+'PRIORIZACIÓN (2)'!B57</f>
        <v>Unidad Auditable 45</v>
      </c>
      <c r="B55" s="210" t="str">
        <f>+IF('PRIORIZACIÓN (2)'!I57&gt;0%,"YA CUENTA CON PONDERACIÓN DE RIESGOS, NO DILIGENCIAR ANALISIS OCI", "DILIGENCIE ANALISIS OCI PARA ESTA UNIDAD AUDITABLE")</f>
        <v>DILIGENCIE ANALISIS OCI PARA ESTA UNIDAD AUDITABLE</v>
      </c>
      <c r="C55" s="203"/>
      <c r="D55" s="1">
        <f t="shared" si="16"/>
        <v>0</v>
      </c>
      <c r="E55" s="1"/>
      <c r="F55" s="1">
        <f t="shared" si="35"/>
        <v>0</v>
      </c>
      <c r="G55" s="204"/>
      <c r="H55" s="1">
        <f t="shared" si="17"/>
        <v>0</v>
      </c>
      <c r="I55" s="204"/>
      <c r="J55" s="1">
        <f t="shared" si="18"/>
        <v>0</v>
      </c>
      <c r="K55" s="1"/>
      <c r="L55" s="1">
        <f t="shared" si="36"/>
        <v>0</v>
      </c>
      <c r="M55" s="1"/>
      <c r="N55" s="1">
        <f t="shared" si="19"/>
        <v>0</v>
      </c>
      <c r="O55" s="1"/>
      <c r="P55" s="201">
        <f t="shared" si="37"/>
        <v>0</v>
      </c>
      <c r="Q55" s="1">
        <f t="shared" si="3"/>
        <v>0</v>
      </c>
      <c r="R55" s="1">
        <f t="shared" si="0"/>
        <v>0</v>
      </c>
      <c r="S55" s="1">
        <f t="shared" si="4"/>
        <v>0</v>
      </c>
      <c r="T55" s="1">
        <f t="shared" si="5"/>
        <v>0</v>
      </c>
      <c r="U55" s="1">
        <f t="shared" si="1"/>
        <v>0</v>
      </c>
      <c r="V55" s="1">
        <f t="shared" si="6"/>
        <v>0</v>
      </c>
      <c r="W55" s="200">
        <f t="shared" si="7"/>
        <v>0</v>
      </c>
      <c r="X55" s="5">
        <f t="shared" si="44"/>
        <v>0</v>
      </c>
      <c r="Y55" s="1">
        <f t="shared" si="45"/>
        <v>0</v>
      </c>
      <c r="Z55" s="1">
        <f t="shared" si="46"/>
        <v>0</v>
      </c>
      <c r="AA55" s="201">
        <f t="shared" si="47"/>
        <v>0</v>
      </c>
      <c r="AB55" s="5">
        <f t="shared" si="48"/>
        <v>0</v>
      </c>
      <c r="AC55" s="202" t="e">
        <f t="shared" si="49"/>
        <v>#DIV/0!</v>
      </c>
    </row>
    <row r="56" spans="1:29" ht="30" x14ac:dyDescent="0.25">
      <c r="A56" s="199" t="str">
        <f>+'PRIORIZACIÓN (2)'!B58</f>
        <v>Unidad Auditable 46</v>
      </c>
      <c r="B56" s="210" t="str">
        <f>+IF('PRIORIZACIÓN (2)'!I58&gt;0%,"YA CUENTA CON PONDERACIÓN DE RIESGOS, NO DILIGENCIAR ANALISIS OCI", "DILIGENCIE ANALISIS OCI PARA ESTA UNIDAD AUDITABLE")</f>
        <v>DILIGENCIE ANALISIS OCI PARA ESTA UNIDAD AUDITABLE</v>
      </c>
      <c r="C56" s="203"/>
      <c r="D56" s="1">
        <f t="shared" si="16"/>
        <v>0</v>
      </c>
      <c r="E56" s="1"/>
      <c r="F56" s="1">
        <f t="shared" si="35"/>
        <v>0</v>
      </c>
      <c r="G56" s="204"/>
      <c r="H56" s="1">
        <f t="shared" si="17"/>
        <v>0</v>
      </c>
      <c r="I56" s="204"/>
      <c r="J56" s="1">
        <f t="shared" si="18"/>
        <v>0</v>
      </c>
      <c r="K56" s="1"/>
      <c r="L56" s="1">
        <f t="shared" si="36"/>
        <v>0</v>
      </c>
      <c r="M56" s="1"/>
      <c r="N56" s="1">
        <f t="shared" si="19"/>
        <v>0</v>
      </c>
      <c r="O56" s="1"/>
      <c r="P56" s="201">
        <f t="shared" si="37"/>
        <v>0</v>
      </c>
      <c r="Q56" s="1">
        <f t="shared" si="3"/>
        <v>0</v>
      </c>
      <c r="R56" s="1">
        <f t="shared" si="0"/>
        <v>0</v>
      </c>
      <c r="S56" s="1">
        <f t="shared" si="4"/>
        <v>0</v>
      </c>
      <c r="T56" s="1">
        <f t="shared" si="5"/>
        <v>0</v>
      </c>
      <c r="U56" s="1">
        <f t="shared" si="1"/>
        <v>0</v>
      </c>
      <c r="V56" s="1">
        <f t="shared" si="6"/>
        <v>0</v>
      </c>
      <c r="W56" s="200">
        <f t="shared" si="7"/>
        <v>0</v>
      </c>
      <c r="X56" s="5">
        <f t="shared" si="44"/>
        <v>0</v>
      </c>
      <c r="Y56" s="1">
        <f t="shared" si="45"/>
        <v>0</v>
      </c>
      <c r="Z56" s="1">
        <f t="shared" si="46"/>
        <v>0</v>
      </c>
      <c r="AA56" s="201">
        <f t="shared" si="47"/>
        <v>0</v>
      </c>
      <c r="AB56" s="5">
        <f t="shared" si="48"/>
        <v>0</v>
      </c>
      <c r="AC56" s="202" t="e">
        <f t="shared" si="49"/>
        <v>#DIV/0!</v>
      </c>
    </row>
    <row r="57" spans="1:29" ht="30" x14ac:dyDescent="0.25">
      <c r="A57" s="199" t="str">
        <f>+'PRIORIZACIÓN (2)'!B59</f>
        <v>Unidad Auditable 47</v>
      </c>
      <c r="B57" s="210" t="str">
        <f>+IF('PRIORIZACIÓN (2)'!I59&gt;0%,"YA CUENTA CON PONDERACIÓN DE RIESGOS, NO DILIGENCIAR ANALISIS OCI", "DILIGENCIE ANALISIS OCI PARA ESTA UNIDAD AUDITABLE")</f>
        <v>DILIGENCIE ANALISIS OCI PARA ESTA UNIDAD AUDITABLE</v>
      </c>
      <c r="C57" s="203"/>
      <c r="D57" s="1">
        <f t="shared" si="16"/>
        <v>0</v>
      </c>
      <c r="E57" s="1"/>
      <c r="F57" s="1">
        <f t="shared" si="35"/>
        <v>0</v>
      </c>
      <c r="G57" s="204"/>
      <c r="H57" s="1">
        <f t="shared" si="17"/>
        <v>0</v>
      </c>
      <c r="I57" s="204"/>
      <c r="J57" s="1">
        <f t="shared" si="18"/>
        <v>0</v>
      </c>
      <c r="K57" s="1"/>
      <c r="L57" s="1">
        <f t="shared" si="36"/>
        <v>0</v>
      </c>
      <c r="M57" s="1"/>
      <c r="N57" s="1">
        <f t="shared" si="19"/>
        <v>0</v>
      </c>
      <c r="O57" s="1"/>
      <c r="P57" s="201">
        <f t="shared" si="37"/>
        <v>0</v>
      </c>
      <c r="Q57" s="1">
        <f t="shared" si="3"/>
        <v>0</v>
      </c>
      <c r="R57" s="1">
        <f t="shared" si="0"/>
        <v>0</v>
      </c>
      <c r="S57" s="1">
        <f t="shared" si="4"/>
        <v>0</v>
      </c>
      <c r="T57" s="1">
        <f t="shared" si="5"/>
        <v>0</v>
      </c>
      <c r="U57" s="1">
        <f t="shared" si="1"/>
        <v>0</v>
      </c>
      <c r="V57" s="1">
        <f t="shared" si="6"/>
        <v>0</v>
      </c>
      <c r="W57" s="200">
        <f t="shared" si="7"/>
        <v>0</v>
      </c>
      <c r="X57" s="5">
        <f t="shared" si="44"/>
        <v>0</v>
      </c>
      <c r="Y57" s="1">
        <f t="shared" si="45"/>
        <v>0</v>
      </c>
      <c r="Z57" s="1">
        <f t="shared" si="46"/>
        <v>0</v>
      </c>
      <c r="AA57" s="201">
        <f t="shared" si="47"/>
        <v>0</v>
      </c>
      <c r="AB57" s="5">
        <f t="shared" si="48"/>
        <v>0</v>
      </c>
      <c r="AC57" s="202" t="e">
        <f t="shared" si="49"/>
        <v>#DIV/0!</v>
      </c>
    </row>
    <row r="58" spans="1:29" ht="30" x14ac:dyDescent="0.25">
      <c r="A58" s="199" t="str">
        <f>+'PRIORIZACIÓN (2)'!B60</f>
        <v>Unidad Auditable 48</v>
      </c>
      <c r="B58" s="210" t="str">
        <f>+IF('PRIORIZACIÓN (2)'!I60&gt;0%,"YA CUENTA CON PONDERACIÓN DE RIESGOS, NO DILIGENCIAR ANALISIS OCI", "DILIGENCIE ANALISIS OCI PARA ESTA UNIDAD AUDITABLE")</f>
        <v>DILIGENCIE ANALISIS OCI PARA ESTA UNIDAD AUDITABLE</v>
      </c>
      <c r="C58" s="203"/>
      <c r="D58" s="1">
        <f t="shared" si="16"/>
        <v>0</v>
      </c>
      <c r="E58" s="1"/>
      <c r="F58" s="1">
        <f t="shared" si="35"/>
        <v>0</v>
      </c>
      <c r="G58" s="204"/>
      <c r="H58" s="1">
        <f t="shared" si="17"/>
        <v>0</v>
      </c>
      <c r="I58" s="204"/>
      <c r="J58" s="1">
        <f t="shared" si="18"/>
        <v>0</v>
      </c>
      <c r="K58" s="1"/>
      <c r="L58" s="1">
        <f t="shared" si="36"/>
        <v>0</v>
      </c>
      <c r="M58" s="1"/>
      <c r="N58" s="1">
        <f t="shared" si="19"/>
        <v>0</v>
      </c>
      <c r="O58" s="1"/>
      <c r="P58" s="201">
        <f t="shared" si="37"/>
        <v>0</v>
      </c>
      <c r="Q58" s="1">
        <f t="shared" si="3"/>
        <v>0</v>
      </c>
      <c r="R58" s="1">
        <f t="shared" si="0"/>
        <v>0</v>
      </c>
      <c r="S58" s="1">
        <f t="shared" si="4"/>
        <v>0</v>
      </c>
      <c r="T58" s="1">
        <f t="shared" si="5"/>
        <v>0</v>
      </c>
      <c r="U58" s="1">
        <f t="shared" si="1"/>
        <v>0</v>
      </c>
      <c r="V58" s="1">
        <f t="shared" si="6"/>
        <v>0</v>
      </c>
      <c r="W58" s="200">
        <f t="shared" si="7"/>
        <v>0</v>
      </c>
      <c r="X58" s="5">
        <f t="shared" si="44"/>
        <v>0</v>
      </c>
      <c r="Y58" s="1">
        <f t="shared" si="45"/>
        <v>0</v>
      </c>
      <c r="Z58" s="1">
        <f t="shared" si="46"/>
        <v>0</v>
      </c>
      <c r="AA58" s="201">
        <f t="shared" si="47"/>
        <v>0</v>
      </c>
      <c r="AB58" s="5">
        <f t="shared" si="48"/>
        <v>0</v>
      </c>
      <c r="AC58" s="202" t="e">
        <f t="shared" si="49"/>
        <v>#DIV/0!</v>
      </c>
    </row>
    <row r="59" spans="1:29" ht="30" x14ac:dyDescent="0.25">
      <c r="A59" s="199" t="str">
        <f>+'PRIORIZACIÓN (2)'!B61</f>
        <v>Unidad Auditable 49</v>
      </c>
      <c r="B59" s="210" t="str">
        <f>+IF('PRIORIZACIÓN (2)'!I61&gt;0%,"YA CUENTA CON PONDERACIÓN DE RIESGOS, NO DILIGENCIAR ANALISIS OCI", "DILIGENCIE ANALISIS OCI PARA ESTA UNIDAD AUDITABLE")</f>
        <v>DILIGENCIE ANALISIS OCI PARA ESTA UNIDAD AUDITABLE</v>
      </c>
      <c r="C59" s="203"/>
      <c r="D59" s="1">
        <f t="shared" si="16"/>
        <v>0</v>
      </c>
      <c r="E59" s="1"/>
      <c r="F59" s="1">
        <f t="shared" si="35"/>
        <v>0</v>
      </c>
      <c r="G59" s="204"/>
      <c r="H59" s="1">
        <f t="shared" si="17"/>
        <v>0</v>
      </c>
      <c r="I59" s="204"/>
      <c r="J59" s="1">
        <f t="shared" si="18"/>
        <v>0</v>
      </c>
      <c r="K59" s="1"/>
      <c r="L59" s="1">
        <f t="shared" si="36"/>
        <v>0</v>
      </c>
      <c r="M59" s="1"/>
      <c r="N59" s="1">
        <f t="shared" si="19"/>
        <v>0</v>
      </c>
      <c r="O59" s="1"/>
      <c r="P59" s="201">
        <f t="shared" si="37"/>
        <v>0</v>
      </c>
      <c r="Q59" s="1">
        <f t="shared" si="3"/>
        <v>0</v>
      </c>
      <c r="R59" s="1">
        <f t="shared" si="0"/>
        <v>0</v>
      </c>
      <c r="S59" s="1">
        <f t="shared" si="4"/>
        <v>0</v>
      </c>
      <c r="T59" s="1">
        <f t="shared" si="5"/>
        <v>0</v>
      </c>
      <c r="U59" s="1">
        <f t="shared" si="1"/>
        <v>0</v>
      </c>
      <c r="V59" s="1">
        <f t="shared" si="6"/>
        <v>0</v>
      </c>
      <c r="W59" s="200">
        <f t="shared" si="7"/>
        <v>0</v>
      </c>
      <c r="X59" s="5">
        <f t="shared" si="44"/>
        <v>0</v>
      </c>
      <c r="Y59" s="1">
        <f t="shared" si="45"/>
        <v>0</v>
      </c>
      <c r="Z59" s="1">
        <f t="shared" si="46"/>
        <v>0</v>
      </c>
      <c r="AA59" s="201">
        <f t="shared" si="47"/>
        <v>0</v>
      </c>
      <c r="AB59" s="5">
        <f t="shared" si="48"/>
        <v>0</v>
      </c>
      <c r="AC59" s="202" t="e">
        <f t="shared" si="49"/>
        <v>#DIV/0!</v>
      </c>
    </row>
    <row r="60" spans="1:29" ht="30" x14ac:dyDescent="0.25">
      <c r="A60" s="199" t="str">
        <f>+'PRIORIZACIÓN (2)'!B62</f>
        <v>Unidad Auditable 50</v>
      </c>
      <c r="B60" s="210" t="str">
        <f>+IF('PRIORIZACIÓN (2)'!I62&gt;0%,"YA CUENTA CON PONDERACIÓN DE RIESGOS, NO DILIGENCIAR ANALISIS OCI", "DILIGENCIE ANALISIS OCI PARA ESTA UNIDAD AUDITABLE")</f>
        <v>DILIGENCIE ANALISIS OCI PARA ESTA UNIDAD AUDITABLE</v>
      </c>
      <c r="C60" s="203"/>
      <c r="D60" s="1">
        <f t="shared" si="16"/>
        <v>0</v>
      </c>
      <c r="E60" s="1"/>
      <c r="F60" s="1">
        <f t="shared" si="35"/>
        <v>0</v>
      </c>
      <c r="G60" s="204"/>
      <c r="H60" s="1">
        <f t="shared" si="17"/>
        <v>0</v>
      </c>
      <c r="I60" s="204"/>
      <c r="J60" s="1">
        <f t="shared" si="18"/>
        <v>0</v>
      </c>
      <c r="K60" s="1"/>
      <c r="L60" s="1">
        <f t="shared" si="36"/>
        <v>0</v>
      </c>
      <c r="M60" s="1"/>
      <c r="N60" s="1">
        <f t="shared" si="19"/>
        <v>0</v>
      </c>
      <c r="O60" s="1"/>
      <c r="P60" s="201">
        <f t="shared" si="37"/>
        <v>0</v>
      </c>
      <c r="Q60" s="1">
        <f t="shared" si="3"/>
        <v>0</v>
      </c>
      <c r="R60" s="1">
        <f t="shared" si="0"/>
        <v>0</v>
      </c>
      <c r="S60" s="1">
        <f t="shared" si="4"/>
        <v>0</v>
      </c>
      <c r="T60" s="1">
        <f t="shared" si="5"/>
        <v>0</v>
      </c>
      <c r="U60" s="1">
        <f t="shared" si="1"/>
        <v>0</v>
      </c>
      <c r="V60" s="1">
        <f t="shared" si="6"/>
        <v>0</v>
      </c>
      <c r="W60" s="200">
        <f t="shared" si="7"/>
        <v>0</v>
      </c>
      <c r="X60" s="5">
        <f t="shared" si="44"/>
        <v>0</v>
      </c>
      <c r="Y60" s="1">
        <f t="shared" si="45"/>
        <v>0</v>
      </c>
      <c r="Z60" s="1">
        <f t="shared" si="46"/>
        <v>0</v>
      </c>
      <c r="AA60" s="201">
        <f t="shared" si="47"/>
        <v>0</v>
      </c>
      <c r="AB60" s="5">
        <f t="shared" si="48"/>
        <v>0</v>
      </c>
      <c r="AC60" s="202" t="e">
        <f t="shared" si="49"/>
        <v>#DIV/0!</v>
      </c>
    </row>
    <row r="61" spans="1:29" ht="30" x14ac:dyDescent="0.25">
      <c r="A61" s="199" t="str">
        <f>+'PRIORIZACIÓN (2)'!B63</f>
        <v>Unidad Auditable 51</v>
      </c>
      <c r="B61" s="210" t="str">
        <f>+IF('PRIORIZACIÓN (2)'!I63&gt;0%,"YA CUENTA CON PONDERACIÓN DE RIESGOS, NO DILIGENCIAR ANALISIS OCI", "DILIGENCIE ANALISIS OCI PARA ESTA UNIDAD AUDITABLE")</f>
        <v>DILIGENCIE ANALISIS OCI PARA ESTA UNIDAD AUDITABLE</v>
      </c>
      <c r="C61" s="203"/>
      <c r="D61" s="1">
        <f t="shared" si="16"/>
        <v>0</v>
      </c>
      <c r="E61" s="1"/>
      <c r="F61" s="1">
        <f t="shared" si="35"/>
        <v>0</v>
      </c>
      <c r="G61" s="204"/>
      <c r="H61" s="1">
        <f t="shared" si="17"/>
        <v>0</v>
      </c>
      <c r="I61" s="204"/>
      <c r="J61" s="1">
        <f t="shared" si="18"/>
        <v>0</v>
      </c>
      <c r="K61" s="1"/>
      <c r="L61" s="1">
        <f t="shared" si="36"/>
        <v>0</v>
      </c>
      <c r="M61" s="1"/>
      <c r="N61" s="1">
        <f t="shared" si="19"/>
        <v>0</v>
      </c>
      <c r="O61" s="1"/>
      <c r="P61" s="201">
        <f t="shared" si="37"/>
        <v>0</v>
      </c>
      <c r="Q61" s="1">
        <f t="shared" si="3"/>
        <v>0</v>
      </c>
      <c r="R61" s="1">
        <f t="shared" si="0"/>
        <v>0</v>
      </c>
      <c r="S61" s="1">
        <f t="shared" si="4"/>
        <v>0</v>
      </c>
      <c r="T61" s="1">
        <f t="shared" si="5"/>
        <v>0</v>
      </c>
      <c r="U61" s="1">
        <f t="shared" si="1"/>
        <v>0</v>
      </c>
      <c r="V61" s="1">
        <f t="shared" si="6"/>
        <v>0</v>
      </c>
      <c r="W61" s="200">
        <f t="shared" si="7"/>
        <v>0</v>
      </c>
      <c r="X61" s="5">
        <f t="shared" si="44"/>
        <v>0</v>
      </c>
      <c r="Y61" s="1">
        <f t="shared" si="45"/>
        <v>0</v>
      </c>
      <c r="Z61" s="1">
        <f t="shared" si="46"/>
        <v>0</v>
      </c>
      <c r="AA61" s="201">
        <f t="shared" si="47"/>
        <v>0</v>
      </c>
      <c r="AB61" s="5">
        <f t="shared" si="48"/>
        <v>0</v>
      </c>
      <c r="AC61" s="202" t="e">
        <f t="shared" si="49"/>
        <v>#DIV/0!</v>
      </c>
    </row>
    <row r="62" spans="1:29" ht="30" x14ac:dyDescent="0.25">
      <c r="A62" s="199" t="str">
        <f>+'PRIORIZACIÓN (2)'!B64</f>
        <v>Unidad Auditable 52</v>
      </c>
      <c r="B62" s="210" t="str">
        <f>+IF('PRIORIZACIÓN (2)'!I64&gt;0%,"YA CUENTA CON PONDERACIÓN DE RIESGOS, NO DILIGENCIAR ANALISIS OCI", "DILIGENCIE ANALISIS OCI PARA ESTA UNIDAD AUDITABLE")</f>
        <v>DILIGENCIE ANALISIS OCI PARA ESTA UNIDAD AUDITABLE</v>
      </c>
      <c r="C62" s="203"/>
      <c r="D62" s="1">
        <f t="shared" si="16"/>
        <v>0</v>
      </c>
      <c r="E62" s="1"/>
      <c r="F62" s="1">
        <f t="shared" si="35"/>
        <v>0</v>
      </c>
      <c r="G62" s="204"/>
      <c r="H62" s="1">
        <f t="shared" si="17"/>
        <v>0</v>
      </c>
      <c r="I62" s="204"/>
      <c r="J62" s="1">
        <f t="shared" si="18"/>
        <v>0</v>
      </c>
      <c r="K62" s="1"/>
      <c r="L62" s="1">
        <f t="shared" si="36"/>
        <v>0</v>
      </c>
      <c r="M62" s="1"/>
      <c r="N62" s="1">
        <f t="shared" si="19"/>
        <v>0</v>
      </c>
      <c r="O62" s="1"/>
      <c r="P62" s="201">
        <f t="shared" si="37"/>
        <v>0</v>
      </c>
      <c r="Q62" s="1">
        <f t="shared" si="3"/>
        <v>0</v>
      </c>
      <c r="R62" s="1">
        <f t="shared" si="0"/>
        <v>0</v>
      </c>
      <c r="S62" s="1">
        <f t="shared" si="4"/>
        <v>0</v>
      </c>
      <c r="T62" s="1">
        <f t="shared" si="5"/>
        <v>0</v>
      </c>
      <c r="U62" s="1">
        <f t="shared" si="1"/>
        <v>0</v>
      </c>
      <c r="V62" s="1">
        <f t="shared" si="6"/>
        <v>0</v>
      </c>
      <c r="W62" s="200">
        <f t="shared" si="7"/>
        <v>0</v>
      </c>
      <c r="X62" s="5">
        <f t="shared" si="44"/>
        <v>0</v>
      </c>
      <c r="Y62" s="1">
        <f t="shared" si="45"/>
        <v>0</v>
      </c>
      <c r="Z62" s="1">
        <f t="shared" si="46"/>
        <v>0</v>
      </c>
      <c r="AA62" s="201">
        <f t="shared" si="47"/>
        <v>0</v>
      </c>
      <c r="AB62" s="5">
        <f t="shared" si="48"/>
        <v>0</v>
      </c>
      <c r="AC62" s="202" t="e">
        <f t="shared" si="49"/>
        <v>#DIV/0!</v>
      </c>
    </row>
    <row r="63" spans="1:29" ht="30" x14ac:dyDescent="0.25">
      <c r="A63" s="199" t="str">
        <f>+'PRIORIZACIÓN (2)'!B65</f>
        <v>Unidad Auditable 53</v>
      </c>
      <c r="B63" s="210" t="str">
        <f>+IF('PRIORIZACIÓN (2)'!I65&gt;0%,"YA CUENTA CON PONDERACIÓN DE RIESGOS, NO DILIGENCIAR ANALISIS OCI", "DILIGENCIE ANALISIS OCI PARA ESTA UNIDAD AUDITABLE")</f>
        <v>DILIGENCIE ANALISIS OCI PARA ESTA UNIDAD AUDITABLE</v>
      </c>
      <c r="C63" s="203"/>
      <c r="D63" s="1">
        <f t="shared" si="16"/>
        <v>0</v>
      </c>
      <c r="E63" s="1"/>
      <c r="F63" s="1">
        <f t="shared" si="35"/>
        <v>0</v>
      </c>
      <c r="G63" s="204"/>
      <c r="H63" s="1">
        <f t="shared" si="17"/>
        <v>0</v>
      </c>
      <c r="I63" s="204"/>
      <c r="J63" s="1">
        <f t="shared" si="18"/>
        <v>0</v>
      </c>
      <c r="K63" s="1"/>
      <c r="L63" s="1">
        <f t="shared" si="36"/>
        <v>0</v>
      </c>
      <c r="M63" s="1"/>
      <c r="N63" s="1">
        <f t="shared" si="19"/>
        <v>0</v>
      </c>
      <c r="O63" s="1"/>
      <c r="P63" s="201">
        <f t="shared" si="37"/>
        <v>0</v>
      </c>
      <c r="Q63" s="1">
        <f t="shared" si="3"/>
        <v>0</v>
      </c>
      <c r="R63" s="1">
        <f t="shared" si="0"/>
        <v>0</v>
      </c>
      <c r="S63" s="1">
        <f t="shared" si="4"/>
        <v>0</v>
      </c>
      <c r="T63" s="1">
        <f t="shared" si="5"/>
        <v>0</v>
      </c>
      <c r="U63" s="1">
        <f t="shared" si="1"/>
        <v>0</v>
      </c>
      <c r="V63" s="1">
        <f t="shared" si="6"/>
        <v>0</v>
      </c>
      <c r="W63" s="200">
        <f t="shared" si="7"/>
        <v>0</v>
      </c>
      <c r="X63" s="5">
        <f t="shared" si="44"/>
        <v>0</v>
      </c>
      <c r="Y63" s="1">
        <f t="shared" si="45"/>
        <v>0</v>
      </c>
      <c r="Z63" s="1">
        <f t="shared" si="46"/>
        <v>0</v>
      </c>
      <c r="AA63" s="201">
        <f t="shared" si="47"/>
        <v>0</v>
      </c>
      <c r="AB63" s="5">
        <f t="shared" si="48"/>
        <v>0</v>
      </c>
      <c r="AC63" s="202" t="e">
        <f t="shared" si="49"/>
        <v>#DIV/0!</v>
      </c>
    </row>
    <row r="64" spans="1:29" ht="30" x14ac:dyDescent="0.25">
      <c r="A64" s="199" t="str">
        <f>+'PRIORIZACIÓN (2)'!B66</f>
        <v>Unidad Auditable 54</v>
      </c>
      <c r="B64" s="210" t="str">
        <f>+IF('PRIORIZACIÓN (2)'!I66&gt;0%,"YA CUENTA CON PONDERACIÓN DE RIESGOS, NO DILIGENCIAR ANALISIS OCI", "DILIGENCIE ANALISIS OCI PARA ESTA UNIDAD AUDITABLE")</f>
        <v>DILIGENCIE ANALISIS OCI PARA ESTA UNIDAD AUDITABLE</v>
      </c>
      <c r="C64" s="203"/>
      <c r="D64" s="1">
        <f t="shared" si="16"/>
        <v>0</v>
      </c>
      <c r="E64" s="1"/>
      <c r="F64" s="1">
        <f t="shared" si="35"/>
        <v>0</v>
      </c>
      <c r="G64" s="204"/>
      <c r="H64" s="1">
        <f t="shared" si="17"/>
        <v>0</v>
      </c>
      <c r="I64" s="204"/>
      <c r="J64" s="1">
        <f t="shared" si="18"/>
        <v>0</v>
      </c>
      <c r="K64" s="1"/>
      <c r="L64" s="1">
        <f t="shared" si="36"/>
        <v>0</v>
      </c>
      <c r="M64" s="1"/>
      <c r="N64" s="1">
        <f t="shared" si="19"/>
        <v>0</v>
      </c>
      <c r="O64" s="1"/>
      <c r="P64" s="201">
        <f t="shared" si="37"/>
        <v>0</v>
      </c>
      <c r="Q64" s="1">
        <f t="shared" si="3"/>
        <v>0</v>
      </c>
      <c r="R64" s="1">
        <f t="shared" si="0"/>
        <v>0</v>
      </c>
      <c r="S64" s="1">
        <f t="shared" si="4"/>
        <v>0</v>
      </c>
      <c r="T64" s="1">
        <f t="shared" si="5"/>
        <v>0</v>
      </c>
      <c r="U64" s="1">
        <f t="shared" si="1"/>
        <v>0</v>
      </c>
      <c r="V64" s="1">
        <f t="shared" si="6"/>
        <v>0</v>
      </c>
      <c r="W64" s="200">
        <f t="shared" si="7"/>
        <v>0</v>
      </c>
      <c r="X64" s="5">
        <f t="shared" si="44"/>
        <v>0</v>
      </c>
      <c r="Y64" s="1">
        <f t="shared" si="45"/>
        <v>0</v>
      </c>
      <c r="Z64" s="1">
        <f t="shared" si="46"/>
        <v>0</v>
      </c>
      <c r="AA64" s="201">
        <f t="shared" si="47"/>
        <v>0</v>
      </c>
      <c r="AB64" s="5">
        <f t="shared" si="48"/>
        <v>0</v>
      </c>
      <c r="AC64" s="202" t="e">
        <f t="shared" si="49"/>
        <v>#DIV/0!</v>
      </c>
    </row>
    <row r="65" spans="1:29" ht="30" x14ac:dyDescent="0.25">
      <c r="A65" s="199" t="str">
        <f>+'PRIORIZACIÓN (2)'!B67</f>
        <v>Unidad Auditable 55</v>
      </c>
      <c r="B65" s="210" t="str">
        <f>+IF('PRIORIZACIÓN (2)'!I67&gt;0%,"YA CUENTA CON PONDERACIÓN DE RIESGOS, NO DILIGENCIAR ANALISIS OCI", "DILIGENCIE ANALISIS OCI PARA ESTA UNIDAD AUDITABLE")</f>
        <v>DILIGENCIE ANALISIS OCI PARA ESTA UNIDAD AUDITABLE</v>
      </c>
      <c r="C65" s="203"/>
      <c r="D65" s="1">
        <f t="shared" si="16"/>
        <v>0</v>
      </c>
      <c r="E65" s="1"/>
      <c r="F65" s="1">
        <f t="shared" si="35"/>
        <v>0</v>
      </c>
      <c r="G65" s="204"/>
      <c r="H65" s="1">
        <f t="shared" si="17"/>
        <v>0</v>
      </c>
      <c r="I65" s="204"/>
      <c r="J65" s="1">
        <f t="shared" si="18"/>
        <v>0</v>
      </c>
      <c r="K65" s="1"/>
      <c r="L65" s="1">
        <f t="shared" si="36"/>
        <v>0</v>
      </c>
      <c r="M65" s="1"/>
      <c r="N65" s="1">
        <f t="shared" si="19"/>
        <v>0</v>
      </c>
      <c r="O65" s="1"/>
      <c r="P65" s="201">
        <f t="shared" si="37"/>
        <v>0</v>
      </c>
      <c r="Q65" s="1">
        <f t="shared" si="3"/>
        <v>0</v>
      </c>
      <c r="R65" s="1">
        <f t="shared" si="0"/>
        <v>0</v>
      </c>
      <c r="S65" s="1">
        <f t="shared" si="4"/>
        <v>0</v>
      </c>
      <c r="T65" s="1">
        <f t="shared" si="5"/>
        <v>0</v>
      </c>
      <c r="U65" s="1">
        <f t="shared" si="1"/>
        <v>0</v>
      </c>
      <c r="V65" s="1">
        <f t="shared" si="6"/>
        <v>0</v>
      </c>
      <c r="W65" s="200">
        <f t="shared" si="7"/>
        <v>0</v>
      </c>
      <c r="X65" s="5">
        <f t="shared" si="44"/>
        <v>0</v>
      </c>
      <c r="Y65" s="1">
        <f t="shared" si="45"/>
        <v>0</v>
      </c>
      <c r="Z65" s="1">
        <f t="shared" si="46"/>
        <v>0</v>
      </c>
      <c r="AA65" s="201">
        <f t="shared" si="47"/>
        <v>0</v>
      </c>
      <c r="AB65" s="5">
        <f t="shared" si="48"/>
        <v>0</v>
      </c>
      <c r="AC65" s="202" t="e">
        <f t="shared" si="49"/>
        <v>#DIV/0!</v>
      </c>
    </row>
    <row r="66" spans="1:29" ht="30" x14ac:dyDescent="0.25">
      <c r="A66" s="199" t="str">
        <f>+'PRIORIZACIÓN (2)'!B68</f>
        <v>Unidad Auditable 56</v>
      </c>
      <c r="B66" s="210" t="str">
        <f>+IF('PRIORIZACIÓN (2)'!I68&gt;0%,"YA CUENTA CON PONDERACIÓN DE RIESGOS, NO DILIGENCIAR ANALISIS OCI", "DILIGENCIE ANALISIS OCI PARA ESTA UNIDAD AUDITABLE")</f>
        <v>DILIGENCIE ANALISIS OCI PARA ESTA UNIDAD AUDITABLE</v>
      </c>
      <c r="C66" s="203"/>
      <c r="D66" s="1">
        <f t="shared" si="16"/>
        <v>0</v>
      </c>
      <c r="E66" s="1"/>
      <c r="F66" s="1">
        <f t="shared" si="35"/>
        <v>0</v>
      </c>
      <c r="G66" s="204"/>
      <c r="H66" s="1">
        <f t="shared" si="17"/>
        <v>0</v>
      </c>
      <c r="I66" s="204"/>
      <c r="J66" s="1">
        <f t="shared" si="18"/>
        <v>0</v>
      </c>
      <c r="K66" s="1"/>
      <c r="L66" s="1">
        <f t="shared" si="36"/>
        <v>0</v>
      </c>
      <c r="M66" s="1"/>
      <c r="N66" s="1">
        <f t="shared" si="19"/>
        <v>0</v>
      </c>
      <c r="O66" s="1"/>
      <c r="P66" s="201">
        <f t="shared" si="37"/>
        <v>0</v>
      </c>
      <c r="Q66" s="1">
        <f t="shared" si="3"/>
        <v>0</v>
      </c>
      <c r="R66" s="1">
        <f t="shared" si="0"/>
        <v>0</v>
      </c>
      <c r="S66" s="1">
        <f t="shared" si="4"/>
        <v>0</v>
      </c>
      <c r="T66" s="1">
        <f t="shared" si="5"/>
        <v>0</v>
      </c>
      <c r="U66" s="1">
        <f t="shared" si="1"/>
        <v>0</v>
      </c>
      <c r="V66" s="1">
        <f t="shared" si="6"/>
        <v>0</v>
      </c>
      <c r="W66" s="200">
        <f t="shared" si="7"/>
        <v>0</v>
      </c>
      <c r="X66" s="5">
        <f t="shared" si="44"/>
        <v>0</v>
      </c>
      <c r="Y66" s="1">
        <f t="shared" si="45"/>
        <v>0</v>
      </c>
      <c r="Z66" s="1">
        <f t="shared" si="46"/>
        <v>0</v>
      </c>
      <c r="AA66" s="201">
        <f t="shared" si="47"/>
        <v>0</v>
      </c>
      <c r="AB66" s="5">
        <f t="shared" si="48"/>
        <v>0</v>
      </c>
      <c r="AC66" s="202" t="e">
        <f t="shared" si="49"/>
        <v>#DIV/0!</v>
      </c>
    </row>
    <row r="67" spans="1:29" ht="30" x14ac:dyDescent="0.25">
      <c r="A67" s="199" t="str">
        <f>+'PRIORIZACIÓN (2)'!B69</f>
        <v>Unidad Auditable 57</v>
      </c>
      <c r="B67" s="210" t="str">
        <f>+IF('PRIORIZACIÓN (2)'!I69&gt;0%,"YA CUENTA CON PONDERACIÓN DE RIESGOS, NO DILIGENCIAR ANALISIS OCI", "DILIGENCIE ANALISIS OCI PARA ESTA UNIDAD AUDITABLE")</f>
        <v>DILIGENCIE ANALISIS OCI PARA ESTA UNIDAD AUDITABLE</v>
      </c>
      <c r="C67" s="203"/>
      <c r="D67" s="1">
        <f t="shared" si="16"/>
        <v>0</v>
      </c>
      <c r="E67" s="1"/>
      <c r="F67" s="1">
        <f t="shared" si="35"/>
        <v>0</v>
      </c>
      <c r="G67" s="204"/>
      <c r="H67" s="1">
        <f t="shared" si="17"/>
        <v>0</v>
      </c>
      <c r="I67" s="204"/>
      <c r="J67" s="1">
        <f t="shared" si="18"/>
        <v>0</v>
      </c>
      <c r="K67" s="1"/>
      <c r="L67" s="1">
        <f t="shared" si="36"/>
        <v>0</v>
      </c>
      <c r="M67" s="1"/>
      <c r="N67" s="1">
        <f t="shared" si="19"/>
        <v>0</v>
      </c>
      <c r="O67" s="1"/>
      <c r="P67" s="201">
        <f t="shared" si="37"/>
        <v>0</v>
      </c>
      <c r="Q67" s="1">
        <f t="shared" si="3"/>
        <v>0</v>
      </c>
      <c r="R67" s="1">
        <f t="shared" si="0"/>
        <v>0</v>
      </c>
      <c r="S67" s="1">
        <f t="shared" si="4"/>
        <v>0</v>
      </c>
      <c r="T67" s="1">
        <f t="shared" si="5"/>
        <v>0</v>
      </c>
      <c r="U67" s="1">
        <f t="shared" si="1"/>
        <v>0</v>
      </c>
      <c r="V67" s="1">
        <f t="shared" si="6"/>
        <v>0</v>
      </c>
      <c r="W67" s="200">
        <f t="shared" si="7"/>
        <v>0</v>
      </c>
      <c r="X67" s="5">
        <f t="shared" si="44"/>
        <v>0</v>
      </c>
      <c r="Y67" s="1">
        <f t="shared" si="45"/>
        <v>0</v>
      </c>
      <c r="Z67" s="1">
        <f t="shared" si="46"/>
        <v>0</v>
      </c>
      <c r="AA67" s="201">
        <f t="shared" si="47"/>
        <v>0</v>
      </c>
      <c r="AB67" s="5">
        <f t="shared" si="48"/>
        <v>0</v>
      </c>
      <c r="AC67" s="202" t="e">
        <f t="shared" si="49"/>
        <v>#DIV/0!</v>
      </c>
    </row>
    <row r="68" spans="1:29" ht="30" x14ac:dyDescent="0.25">
      <c r="A68" s="199" t="str">
        <f>+'PRIORIZACIÓN (2)'!B70</f>
        <v>Unidad Auditable 58</v>
      </c>
      <c r="B68" s="210" t="str">
        <f>+IF('PRIORIZACIÓN (2)'!I70&gt;0%,"YA CUENTA CON PONDERACIÓN DE RIESGOS, NO DILIGENCIAR ANALISIS OCI", "DILIGENCIE ANALISIS OCI PARA ESTA UNIDAD AUDITABLE")</f>
        <v>DILIGENCIE ANALISIS OCI PARA ESTA UNIDAD AUDITABLE</v>
      </c>
      <c r="C68" s="203"/>
      <c r="D68" s="1">
        <f t="shared" si="16"/>
        <v>0</v>
      </c>
      <c r="E68" s="1"/>
      <c r="F68" s="1">
        <f t="shared" si="35"/>
        <v>0</v>
      </c>
      <c r="G68" s="204"/>
      <c r="H68" s="1">
        <f t="shared" si="17"/>
        <v>0</v>
      </c>
      <c r="I68" s="204"/>
      <c r="J68" s="1">
        <f t="shared" si="18"/>
        <v>0</v>
      </c>
      <c r="K68" s="1"/>
      <c r="L68" s="1">
        <f t="shared" si="36"/>
        <v>0</v>
      </c>
      <c r="M68" s="1"/>
      <c r="N68" s="1">
        <f t="shared" si="19"/>
        <v>0</v>
      </c>
      <c r="O68" s="1"/>
      <c r="P68" s="201">
        <f t="shared" si="37"/>
        <v>0</v>
      </c>
      <c r="Q68" s="1">
        <f t="shared" si="3"/>
        <v>0</v>
      </c>
      <c r="R68" s="1">
        <f t="shared" si="0"/>
        <v>0</v>
      </c>
      <c r="S68" s="1">
        <f t="shared" si="4"/>
        <v>0</v>
      </c>
      <c r="T68" s="1">
        <f t="shared" si="5"/>
        <v>0</v>
      </c>
      <c r="U68" s="1">
        <f t="shared" si="1"/>
        <v>0</v>
      </c>
      <c r="V68" s="1">
        <f t="shared" si="6"/>
        <v>0</v>
      </c>
      <c r="W68" s="200">
        <f t="shared" si="7"/>
        <v>0</v>
      </c>
      <c r="X68" s="5">
        <f t="shared" si="44"/>
        <v>0</v>
      </c>
      <c r="Y68" s="1">
        <f t="shared" si="45"/>
        <v>0</v>
      </c>
      <c r="Z68" s="1">
        <f t="shared" si="46"/>
        <v>0</v>
      </c>
      <c r="AA68" s="201">
        <f t="shared" si="47"/>
        <v>0</v>
      </c>
      <c r="AB68" s="5">
        <f t="shared" si="48"/>
        <v>0</v>
      </c>
      <c r="AC68" s="202" t="e">
        <f t="shared" si="49"/>
        <v>#DIV/0!</v>
      </c>
    </row>
    <row r="69" spans="1:29" ht="30" x14ac:dyDescent="0.25">
      <c r="A69" s="199" t="str">
        <f>+'PRIORIZACIÓN (2)'!B71</f>
        <v>Unidad Auditable 59</v>
      </c>
      <c r="B69" s="210" t="str">
        <f>+IF('PRIORIZACIÓN (2)'!I71&gt;0%,"YA CUENTA CON PONDERACIÓN DE RIESGOS, NO DILIGENCIAR ANALISIS OCI", "DILIGENCIE ANALISIS OCI PARA ESTA UNIDAD AUDITABLE")</f>
        <v>DILIGENCIE ANALISIS OCI PARA ESTA UNIDAD AUDITABLE</v>
      </c>
      <c r="C69" s="203"/>
      <c r="D69" s="1">
        <f t="shared" si="16"/>
        <v>0</v>
      </c>
      <c r="E69" s="1"/>
      <c r="F69" s="1">
        <f t="shared" si="35"/>
        <v>0</v>
      </c>
      <c r="G69" s="204"/>
      <c r="H69" s="1">
        <f t="shared" si="17"/>
        <v>0</v>
      </c>
      <c r="I69" s="204"/>
      <c r="J69" s="1">
        <f t="shared" si="18"/>
        <v>0</v>
      </c>
      <c r="K69" s="1"/>
      <c r="L69" s="1">
        <f t="shared" si="36"/>
        <v>0</v>
      </c>
      <c r="M69" s="1"/>
      <c r="N69" s="1">
        <f t="shared" si="19"/>
        <v>0</v>
      </c>
      <c r="O69" s="1"/>
      <c r="P69" s="201">
        <f t="shared" si="37"/>
        <v>0</v>
      </c>
      <c r="Q69" s="1">
        <f t="shared" si="3"/>
        <v>0</v>
      </c>
      <c r="R69" s="1">
        <f t="shared" si="0"/>
        <v>0</v>
      </c>
      <c r="S69" s="1">
        <f t="shared" si="4"/>
        <v>0</v>
      </c>
      <c r="T69" s="1">
        <f t="shared" si="5"/>
        <v>0</v>
      </c>
      <c r="U69" s="1">
        <f t="shared" si="1"/>
        <v>0</v>
      </c>
      <c r="V69" s="1">
        <f t="shared" si="6"/>
        <v>0</v>
      </c>
      <c r="W69" s="200">
        <f t="shared" si="7"/>
        <v>0</v>
      </c>
      <c r="X69" s="5">
        <f t="shared" si="44"/>
        <v>0</v>
      </c>
      <c r="Y69" s="1">
        <f t="shared" si="45"/>
        <v>0</v>
      </c>
      <c r="Z69" s="1">
        <f t="shared" si="46"/>
        <v>0</v>
      </c>
      <c r="AA69" s="201">
        <f t="shared" si="47"/>
        <v>0</v>
      </c>
      <c r="AB69" s="5">
        <f t="shared" si="48"/>
        <v>0</v>
      </c>
      <c r="AC69" s="202" t="e">
        <f t="shared" si="49"/>
        <v>#DIV/0!</v>
      </c>
    </row>
    <row r="70" spans="1:29" ht="30" x14ac:dyDescent="0.25">
      <c r="A70" s="199" t="str">
        <f>+'PRIORIZACIÓN (2)'!B72</f>
        <v>Unidad Auditable 60</v>
      </c>
      <c r="B70" s="210" t="str">
        <f>+IF('PRIORIZACIÓN (2)'!I72&gt;0%,"YA CUENTA CON PONDERACIÓN DE RIESGOS, NO DILIGENCIAR ANALISIS OCI", "DILIGENCIE ANALISIS OCI PARA ESTA UNIDAD AUDITABLE")</f>
        <v>DILIGENCIE ANALISIS OCI PARA ESTA UNIDAD AUDITABLE</v>
      </c>
      <c r="C70" s="203"/>
      <c r="D70" s="1">
        <f t="shared" si="16"/>
        <v>0</v>
      </c>
      <c r="E70" s="1"/>
      <c r="F70" s="1">
        <f t="shared" si="35"/>
        <v>0</v>
      </c>
      <c r="G70" s="204"/>
      <c r="H70" s="1">
        <f t="shared" si="17"/>
        <v>0</v>
      </c>
      <c r="I70" s="204"/>
      <c r="J70" s="1">
        <f t="shared" si="18"/>
        <v>0</v>
      </c>
      <c r="K70" s="1"/>
      <c r="L70" s="1">
        <f t="shared" si="36"/>
        <v>0</v>
      </c>
      <c r="M70" s="1"/>
      <c r="N70" s="1">
        <f t="shared" si="19"/>
        <v>0</v>
      </c>
      <c r="O70" s="1"/>
      <c r="P70" s="201">
        <f t="shared" si="37"/>
        <v>0</v>
      </c>
      <c r="Q70" s="1">
        <f t="shared" si="3"/>
        <v>0</v>
      </c>
      <c r="R70" s="1">
        <f t="shared" si="0"/>
        <v>0</v>
      </c>
      <c r="S70" s="1">
        <f t="shared" si="4"/>
        <v>0</v>
      </c>
      <c r="T70" s="1">
        <f t="shared" si="5"/>
        <v>0</v>
      </c>
      <c r="U70" s="1">
        <f t="shared" si="1"/>
        <v>0</v>
      </c>
      <c r="V70" s="1">
        <f t="shared" si="6"/>
        <v>0</v>
      </c>
      <c r="W70" s="200">
        <f t="shared" si="7"/>
        <v>0</v>
      </c>
      <c r="X70" s="5">
        <f t="shared" si="44"/>
        <v>0</v>
      </c>
      <c r="Y70" s="1">
        <f t="shared" si="45"/>
        <v>0</v>
      </c>
      <c r="Z70" s="1">
        <f t="shared" si="46"/>
        <v>0</v>
      </c>
      <c r="AA70" s="201">
        <f t="shared" si="47"/>
        <v>0</v>
      </c>
      <c r="AB70" s="5">
        <f t="shared" si="48"/>
        <v>0</v>
      </c>
      <c r="AC70" s="202" t="e">
        <f t="shared" si="49"/>
        <v>#DIV/0!</v>
      </c>
    </row>
    <row r="71" spans="1:29" ht="30" x14ac:dyDescent="0.25">
      <c r="A71" s="199" t="str">
        <f>+'PRIORIZACIÓN (2)'!B73</f>
        <v>Unidad Auditable 61</v>
      </c>
      <c r="B71" s="210" t="str">
        <f>+IF('PRIORIZACIÓN (2)'!I73&gt;0%,"YA CUENTA CON PONDERACIÓN DE RIESGOS, NO DILIGENCIAR ANALISIS OCI", "DILIGENCIE ANALISIS OCI PARA ESTA UNIDAD AUDITABLE")</f>
        <v>DILIGENCIE ANALISIS OCI PARA ESTA UNIDAD AUDITABLE</v>
      </c>
      <c r="C71" s="203"/>
      <c r="D71" s="1">
        <f t="shared" si="16"/>
        <v>0</v>
      </c>
      <c r="E71" s="1"/>
      <c r="F71" s="1">
        <f t="shared" si="35"/>
        <v>0</v>
      </c>
      <c r="G71" s="204"/>
      <c r="H71" s="1">
        <f t="shared" si="17"/>
        <v>0</v>
      </c>
      <c r="I71" s="204"/>
      <c r="J71" s="1">
        <f t="shared" si="18"/>
        <v>0</v>
      </c>
      <c r="K71" s="1"/>
      <c r="L71" s="1">
        <f t="shared" si="36"/>
        <v>0</v>
      </c>
      <c r="M71" s="1"/>
      <c r="N71" s="1">
        <f t="shared" si="19"/>
        <v>0</v>
      </c>
      <c r="O71" s="1"/>
      <c r="P71" s="201">
        <f t="shared" si="37"/>
        <v>0</v>
      </c>
      <c r="Q71" s="1">
        <f t="shared" si="3"/>
        <v>0</v>
      </c>
      <c r="R71" s="1">
        <f t="shared" si="0"/>
        <v>0</v>
      </c>
      <c r="S71" s="1">
        <f t="shared" si="4"/>
        <v>0</v>
      </c>
      <c r="T71" s="1">
        <f t="shared" si="5"/>
        <v>0</v>
      </c>
      <c r="U71" s="1">
        <f t="shared" si="1"/>
        <v>0</v>
      </c>
      <c r="V71" s="1">
        <f t="shared" si="6"/>
        <v>0</v>
      </c>
      <c r="W71" s="200">
        <f t="shared" si="7"/>
        <v>0</v>
      </c>
      <c r="X71" s="5">
        <f t="shared" si="44"/>
        <v>0</v>
      </c>
      <c r="Y71" s="1">
        <f t="shared" si="45"/>
        <v>0</v>
      </c>
      <c r="Z71" s="1">
        <f t="shared" si="46"/>
        <v>0</v>
      </c>
      <c r="AA71" s="201">
        <f t="shared" si="47"/>
        <v>0</v>
      </c>
      <c r="AB71" s="5">
        <f t="shared" si="48"/>
        <v>0</v>
      </c>
      <c r="AC71" s="202" t="e">
        <f t="shared" si="49"/>
        <v>#DIV/0!</v>
      </c>
    </row>
    <row r="72" spans="1:29" ht="30" x14ac:dyDescent="0.25">
      <c r="A72" s="199" t="str">
        <f>+'PRIORIZACIÓN (2)'!B74</f>
        <v>Unidad Auditable 62</v>
      </c>
      <c r="B72" s="210" t="str">
        <f>+IF('PRIORIZACIÓN (2)'!I74&gt;0%,"YA CUENTA CON PONDERACIÓN DE RIESGOS, NO DILIGENCIAR ANALISIS OCI", "DILIGENCIE ANALISIS OCI PARA ESTA UNIDAD AUDITABLE")</f>
        <v>DILIGENCIE ANALISIS OCI PARA ESTA UNIDAD AUDITABLE</v>
      </c>
      <c r="C72" s="203"/>
      <c r="D72" s="1">
        <f t="shared" si="16"/>
        <v>0</v>
      </c>
      <c r="E72" s="1"/>
      <c r="F72" s="1">
        <f t="shared" si="35"/>
        <v>0</v>
      </c>
      <c r="G72" s="204"/>
      <c r="H72" s="1">
        <f t="shared" si="17"/>
        <v>0</v>
      </c>
      <c r="I72" s="204"/>
      <c r="J72" s="1">
        <f t="shared" si="18"/>
        <v>0</v>
      </c>
      <c r="K72" s="1"/>
      <c r="L72" s="1">
        <f t="shared" si="36"/>
        <v>0</v>
      </c>
      <c r="M72" s="1"/>
      <c r="N72" s="1">
        <f t="shared" si="19"/>
        <v>0</v>
      </c>
      <c r="O72" s="1"/>
      <c r="P72" s="201">
        <f t="shared" si="37"/>
        <v>0</v>
      </c>
      <c r="Q72" s="1">
        <f t="shared" si="3"/>
        <v>0</v>
      </c>
      <c r="R72" s="1">
        <f t="shared" si="0"/>
        <v>0</v>
      </c>
      <c r="S72" s="1">
        <f t="shared" si="4"/>
        <v>0</v>
      </c>
      <c r="T72" s="1">
        <f t="shared" si="5"/>
        <v>0</v>
      </c>
      <c r="U72" s="1">
        <f t="shared" si="1"/>
        <v>0</v>
      </c>
      <c r="V72" s="1">
        <f t="shared" si="6"/>
        <v>0</v>
      </c>
      <c r="W72" s="200">
        <f t="shared" si="7"/>
        <v>0</v>
      </c>
      <c r="X72" s="5">
        <f t="shared" si="44"/>
        <v>0</v>
      </c>
      <c r="Y72" s="1">
        <f t="shared" si="45"/>
        <v>0</v>
      </c>
      <c r="Z72" s="1">
        <f t="shared" si="46"/>
        <v>0</v>
      </c>
      <c r="AA72" s="201">
        <f t="shared" si="47"/>
        <v>0</v>
      </c>
      <c r="AB72" s="5">
        <f t="shared" si="48"/>
        <v>0</v>
      </c>
      <c r="AC72" s="202" t="e">
        <f t="shared" si="49"/>
        <v>#DIV/0!</v>
      </c>
    </row>
    <row r="73" spans="1:29" ht="30" x14ac:dyDescent="0.25">
      <c r="A73" s="199" t="str">
        <f>+'PRIORIZACIÓN (2)'!B75</f>
        <v>Unidad Auditable 63</v>
      </c>
      <c r="B73" s="210" t="str">
        <f>+IF('PRIORIZACIÓN (2)'!I75&gt;0%,"YA CUENTA CON PONDERACIÓN DE RIESGOS, NO DILIGENCIAR ANALISIS OCI", "DILIGENCIE ANALISIS OCI PARA ESTA UNIDAD AUDITABLE")</f>
        <v>DILIGENCIE ANALISIS OCI PARA ESTA UNIDAD AUDITABLE</v>
      </c>
      <c r="C73" s="203"/>
      <c r="D73" s="1">
        <f t="shared" si="16"/>
        <v>0</v>
      </c>
      <c r="E73" s="1"/>
      <c r="F73" s="1">
        <f t="shared" si="35"/>
        <v>0</v>
      </c>
      <c r="G73" s="204"/>
      <c r="H73" s="1">
        <f t="shared" si="17"/>
        <v>0</v>
      </c>
      <c r="I73" s="204"/>
      <c r="J73" s="1">
        <f t="shared" si="18"/>
        <v>0</v>
      </c>
      <c r="K73" s="1"/>
      <c r="L73" s="1">
        <f t="shared" si="36"/>
        <v>0</v>
      </c>
      <c r="M73" s="1"/>
      <c r="N73" s="1">
        <f t="shared" si="19"/>
        <v>0</v>
      </c>
      <c r="O73" s="1"/>
      <c r="P73" s="201">
        <f t="shared" si="37"/>
        <v>0</v>
      </c>
      <c r="Q73" s="1">
        <f t="shared" si="3"/>
        <v>0</v>
      </c>
      <c r="R73" s="1">
        <f t="shared" ref="R73:R88" si="50">IF($E73="3 días","E",IF($E73="2 días","A",IF($E73="1 días","M",IF($E73="Varias horas","B",0))))</f>
        <v>0</v>
      </c>
      <c r="S73" s="1">
        <f t="shared" si="4"/>
        <v>0</v>
      </c>
      <c r="T73" s="1">
        <f t="shared" si="5"/>
        <v>0</v>
      </c>
      <c r="U73" s="1">
        <f t="shared" ref="U73:U88" si="51">IF($K73="Hechos de Corrupción","E",IF($K73="Incumplimiento de servicios","A",IF($K73="Retrasos en los servicios","M",IF($K73="Quejas por incumplimientos o retrasos","B",0))))</f>
        <v>0</v>
      </c>
      <c r="V73" s="1">
        <f t="shared" si="6"/>
        <v>0</v>
      </c>
      <c r="W73" s="200">
        <f t="shared" si="7"/>
        <v>0</v>
      </c>
      <c r="X73" s="5">
        <f t="shared" si="44"/>
        <v>0</v>
      </c>
      <c r="Y73" s="1">
        <f t="shared" si="45"/>
        <v>0</v>
      </c>
      <c r="Z73" s="1">
        <f t="shared" si="46"/>
        <v>0</v>
      </c>
      <c r="AA73" s="201">
        <f t="shared" si="47"/>
        <v>0</v>
      </c>
      <c r="AB73" s="5">
        <f t="shared" si="48"/>
        <v>0</v>
      </c>
      <c r="AC73" s="202" t="e">
        <f t="shared" si="49"/>
        <v>#DIV/0!</v>
      </c>
    </row>
    <row r="74" spans="1:29" ht="30" x14ac:dyDescent="0.25">
      <c r="A74" s="199" t="str">
        <f>+'PRIORIZACIÓN (2)'!B76</f>
        <v>Unidad Auditable 64</v>
      </c>
      <c r="B74" s="210" t="str">
        <f>+IF('PRIORIZACIÓN (2)'!I76&gt;0%,"YA CUENTA CON PONDERACIÓN DE RIESGOS, NO DILIGENCIAR ANALISIS OCI", "DILIGENCIE ANALISIS OCI PARA ESTA UNIDAD AUDITABLE")</f>
        <v>DILIGENCIE ANALISIS OCI PARA ESTA UNIDAD AUDITABLE</v>
      </c>
      <c r="C74" s="203"/>
      <c r="D74" s="1">
        <f t="shared" ref="D74:D88" si="52">IF($C74="EXTREMA","E",IF($C74="ALTA","A",IF($C74="MEDIA","M",IF($C74="BAJA","B",0))))</f>
        <v>0</v>
      </c>
      <c r="E74" s="1"/>
      <c r="F74" s="1">
        <f t="shared" si="35"/>
        <v>0</v>
      </c>
      <c r="G74" s="204"/>
      <c r="H74" s="1">
        <f t="shared" ref="H74:H88" si="53">IF($G74="EXTREMA","E",IF($G74="ALTA","A",IF($G74="MEDIA","M",IF($G74="BAJA","B",0))))</f>
        <v>0</v>
      </c>
      <c r="I74" s="204"/>
      <c r="J74" s="1">
        <f t="shared" ref="J74:J88" si="54">IF($I74="EXTREMA","E",IF($I74="ALTA","A",IF($I74="MEDIA","M",IF($I74="BAJA","B",0))))</f>
        <v>0</v>
      </c>
      <c r="K74" s="1"/>
      <c r="L74" s="1">
        <f t="shared" si="36"/>
        <v>0</v>
      </c>
      <c r="M74" s="1"/>
      <c r="N74" s="1">
        <f t="shared" ref="N74:N88" si="55">IF($M74="EXTREMA","E",IF($M74="ALTA","A",IF($M74="MEDIA","M",IF($M74="BAJA","B",0))))</f>
        <v>0</v>
      </c>
      <c r="O74" s="1"/>
      <c r="P74" s="201">
        <f t="shared" si="37"/>
        <v>0</v>
      </c>
      <c r="Q74" s="1">
        <f t="shared" ref="Q74:Q88" si="56">IF($C74="EXTREMA","E",IF($C74="ALTA","A",IF($C74="MEDIA","M",IF($C74="BAJA","B",0))))</f>
        <v>0</v>
      </c>
      <c r="R74" s="1">
        <f t="shared" si="50"/>
        <v>0</v>
      </c>
      <c r="S74" s="1">
        <f t="shared" ref="S74:S88" si="57">IF($G74="EXTREMA","E",IF($G74="ALTA","A",IF($G74="MEDIA","M",IF($G74="BAJA","B",0))))</f>
        <v>0</v>
      </c>
      <c r="T74" s="1">
        <f t="shared" ref="T74:T88" si="58">IF($I74="EXTREMA","E",IF($I74="ALTA","A",IF($I74="MEDIA","M",IF($I74="BAJA","B",0))))</f>
        <v>0</v>
      </c>
      <c r="U74" s="1">
        <f t="shared" si="51"/>
        <v>0</v>
      </c>
      <c r="V74" s="1">
        <f t="shared" ref="V74:V88" si="59">IF($M74="EXTREMA","E",IF($M74="ALTA","A",IF($M74="MEDIA","M",IF($M74="BAJA","B",0))))</f>
        <v>0</v>
      </c>
      <c r="W74" s="200">
        <f t="shared" ref="W74:W88" si="60">IF($O74="Critica no recuperable","E",IF($O74="Critica con recuperación parcial","A",IF($O74="Falta de oportunidad para atención usuarios","M",IF($O74="Falta de oportunidad para gestión de los procesos","B",0))))</f>
        <v>0</v>
      </c>
      <c r="X74" s="5">
        <f t="shared" si="44"/>
        <v>0</v>
      </c>
      <c r="Y74" s="1">
        <f t="shared" si="45"/>
        <v>0</v>
      </c>
      <c r="Z74" s="1">
        <f t="shared" si="46"/>
        <v>0</v>
      </c>
      <c r="AA74" s="201">
        <f t="shared" si="47"/>
        <v>0</v>
      </c>
      <c r="AB74" s="5">
        <f t="shared" si="48"/>
        <v>0</v>
      </c>
      <c r="AC74" s="202" t="e">
        <f t="shared" si="49"/>
        <v>#DIV/0!</v>
      </c>
    </row>
    <row r="75" spans="1:29" ht="30" x14ac:dyDescent="0.25">
      <c r="A75" s="199" t="str">
        <f>+'PRIORIZACIÓN (2)'!B77</f>
        <v>Unidad Auditable 65</v>
      </c>
      <c r="B75" s="210" t="str">
        <f>+IF('PRIORIZACIÓN (2)'!I77&gt;0%,"YA CUENTA CON PONDERACIÓN DE RIESGOS, NO DILIGENCIAR ANALISIS OCI", "DILIGENCIE ANALISIS OCI PARA ESTA UNIDAD AUDITABLE")</f>
        <v>DILIGENCIE ANALISIS OCI PARA ESTA UNIDAD AUDITABLE</v>
      </c>
      <c r="C75" s="203"/>
      <c r="D75" s="1">
        <f t="shared" si="52"/>
        <v>0</v>
      </c>
      <c r="E75" s="1"/>
      <c r="F75" s="1">
        <f t="shared" si="35"/>
        <v>0</v>
      </c>
      <c r="G75" s="204"/>
      <c r="H75" s="1">
        <f t="shared" si="53"/>
        <v>0</v>
      </c>
      <c r="I75" s="204"/>
      <c r="J75" s="1">
        <f t="shared" si="54"/>
        <v>0</v>
      </c>
      <c r="K75" s="1"/>
      <c r="L75" s="1">
        <f t="shared" si="36"/>
        <v>0</v>
      </c>
      <c r="M75" s="1"/>
      <c r="N75" s="1">
        <f t="shared" si="55"/>
        <v>0</v>
      </c>
      <c r="O75" s="1"/>
      <c r="P75" s="201">
        <f t="shared" si="37"/>
        <v>0</v>
      </c>
      <c r="Q75" s="1">
        <f t="shared" si="56"/>
        <v>0</v>
      </c>
      <c r="R75" s="1">
        <f t="shared" si="50"/>
        <v>0</v>
      </c>
      <c r="S75" s="1">
        <f t="shared" si="57"/>
        <v>0</v>
      </c>
      <c r="T75" s="1">
        <f t="shared" si="58"/>
        <v>0</v>
      </c>
      <c r="U75" s="1">
        <f t="shared" si="51"/>
        <v>0</v>
      </c>
      <c r="V75" s="1">
        <f t="shared" si="59"/>
        <v>0</v>
      </c>
      <c r="W75" s="200">
        <f t="shared" si="60"/>
        <v>0</v>
      </c>
      <c r="X75" s="5">
        <f t="shared" si="44"/>
        <v>0</v>
      </c>
      <c r="Y75" s="1">
        <f t="shared" si="45"/>
        <v>0</v>
      </c>
      <c r="Z75" s="1">
        <f t="shared" si="46"/>
        <v>0</v>
      </c>
      <c r="AA75" s="201">
        <f t="shared" si="47"/>
        <v>0</v>
      </c>
      <c r="AB75" s="5">
        <f t="shared" si="48"/>
        <v>0</v>
      </c>
      <c r="AC75" s="202" t="e">
        <f t="shared" si="49"/>
        <v>#DIV/0!</v>
      </c>
    </row>
    <row r="76" spans="1:29" ht="30" x14ac:dyDescent="0.25">
      <c r="A76" s="199" t="str">
        <f>+'PRIORIZACIÓN (2)'!B78</f>
        <v>Unidad Auditable 66</v>
      </c>
      <c r="B76" s="210" t="str">
        <f>+IF('PRIORIZACIÓN (2)'!I78&gt;0%,"YA CUENTA CON PONDERACIÓN DE RIESGOS, NO DILIGENCIAR ANALISIS OCI", "DILIGENCIE ANALISIS OCI PARA ESTA UNIDAD AUDITABLE")</f>
        <v>DILIGENCIE ANALISIS OCI PARA ESTA UNIDAD AUDITABLE</v>
      </c>
      <c r="C76" s="203"/>
      <c r="D76" s="1">
        <f t="shared" si="52"/>
        <v>0</v>
      </c>
      <c r="E76" s="1"/>
      <c r="F76" s="1">
        <f t="shared" si="35"/>
        <v>0</v>
      </c>
      <c r="G76" s="204"/>
      <c r="H76" s="1">
        <f t="shared" si="53"/>
        <v>0</v>
      </c>
      <c r="I76" s="204"/>
      <c r="J76" s="1">
        <f t="shared" si="54"/>
        <v>0</v>
      </c>
      <c r="K76" s="1"/>
      <c r="L76" s="1">
        <f t="shared" si="36"/>
        <v>0</v>
      </c>
      <c r="M76" s="1"/>
      <c r="N76" s="1">
        <f t="shared" si="55"/>
        <v>0</v>
      </c>
      <c r="O76" s="1"/>
      <c r="P76" s="201">
        <f t="shared" si="37"/>
        <v>0</v>
      </c>
      <c r="Q76" s="1">
        <f t="shared" si="56"/>
        <v>0</v>
      </c>
      <c r="R76" s="1">
        <f t="shared" si="50"/>
        <v>0</v>
      </c>
      <c r="S76" s="1">
        <f t="shared" si="57"/>
        <v>0</v>
      </c>
      <c r="T76" s="1">
        <f t="shared" si="58"/>
        <v>0</v>
      </c>
      <c r="U76" s="1">
        <f t="shared" si="51"/>
        <v>0</v>
      </c>
      <c r="V76" s="1">
        <f t="shared" si="59"/>
        <v>0</v>
      </c>
      <c r="W76" s="200">
        <f t="shared" si="60"/>
        <v>0</v>
      </c>
      <c r="X76" s="5">
        <f t="shared" si="44"/>
        <v>0</v>
      </c>
      <c r="Y76" s="1">
        <f t="shared" si="45"/>
        <v>0</v>
      </c>
      <c r="Z76" s="1">
        <f t="shared" si="46"/>
        <v>0</v>
      </c>
      <c r="AA76" s="201">
        <f t="shared" si="47"/>
        <v>0</v>
      </c>
      <c r="AB76" s="5">
        <f t="shared" si="48"/>
        <v>0</v>
      </c>
      <c r="AC76" s="202" t="e">
        <f t="shared" si="49"/>
        <v>#DIV/0!</v>
      </c>
    </row>
    <row r="77" spans="1:29" ht="30" x14ac:dyDescent="0.25">
      <c r="A77" s="199" t="str">
        <f>+'PRIORIZACIÓN (2)'!B79</f>
        <v>Unidad Auditable 67</v>
      </c>
      <c r="B77" s="210" t="str">
        <f>+IF('PRIORIZACIÓN (2)'!I79&gt;0%,"YA CUENTA CON PONDERACIÓN DE RIESGOS, NO DILIGENCIAR ANALISIS OCI", "DILIGENCIE ANALISIS OCI PARA ESTA UNIDAD AUDITABLE")</f>
        <v>DILIGENCIE ANALISIS OCI PARA ESTA UNIDAD AUDITABLE</v>
      </c>
      <c r="C77" s="203"/>
      <c r="D77" s="1">
        <f t="shared" si="52"/>
        <v>0</v>
      </c>
      <c r="E77" s="1"/>
      <c r="F77" s="1">
        <f t="shared" si="35"/>
        <v>0</v>
      </c>
      <c r="G77" s="204"/>
      <c r="H77" s="1">
        <f t="shared" si="53"/>
        <v>0</v>
      </c>
      <c r="I77" s="204"/>
      <c r="J77" s="1">
        <f t="shared" si="54"/>
        <v>0</v>
      </c>
      <c r="K77" s="1"/>
      <c r="L77" s="1">
        <f t="shared" si="36"/>
        <v>0</v>
      </c>
      <c r="M77" s="1"/>
      <c r="N77" s="1">
        <f t="shared" si="55"/>
        <v>0</v>
      </c>
      <c r="O77" s="1"/>
      <c r="P77" s="201">
        <f t="shared" si="37"/>
        <v>0</v>
      </c>
      <c r="Q77" s="1">
        <f t="shared" si="56"/>
        <v>0</v>
      </c>
      <c r="R77" s="1">
        <f t="shared" si="50"/>
        <v>0</v>
      </c>
      <c r="S77" s="1">
        <f t="shared" si="57"/>
        <v>0</v>
      </c>
      <c r="T77" s="1">
        <f t="shared" si="58"/>
        <v>0</v>
      </c>
      <c r="U77" s="1">
        <f t="shared" si="51"/>
        <v>0</v>
      </c>
      <c r="V77" s="1">
        <f t="shared" si="59"/>
        <v>0</v>
      </c>
      <c r="W77" s="200">
        <f t="shared" si="60"/>
        <v>0</v>
      </c>
      <c r="X77" s="5">
        <f t="shared" si="44"/>
        <v>0</v>
      </c>
      <c r="Y77" s="1">
        <f t="shared" si="45"/>
        <v>0</v>
      </c>
      <c r="Z77" s="1">
        <f t="shared" si="46"/>
        <v>0</v>
      </c>
      <c r="AA77" s="201">
        <f t="shared" si="47"/>
        <v>0</v>
      </c>
      <c r="AB77" s="5">
        <f t="shared" si="48"/>
        <v>0</v>
      </c>
      <c r="AC77" s="202" t="e">
        <f t="shared" si="49"/>
        <v>#DIV/0!</v>
      </c>
    </row>
    <row r="78" spans="1:29" ht="30" x14ac:dyDescent="0.25">
      <c r="A78" s="199" t="str">
        <f>+'PRIORIZACIÓN (2)'!B80</f>
        <v>Unidad Auditable 68</v>
      </c>
      <c r="B78" s="210" t="str">
        <f>+IF('PRIORIZACIÓN (2)'!I80&gt;0%,"YA CUENTA CON PONDERACIÓN DE RIESGOS, NO DILIGENCIAR ANALISIS OCI", "DILIGENCIE ANALISIS OCI PARA ESTA UNIDAD AUDITABLE")</f>
        <v>DILIGENCIE ANALISIS OCI PARA ESTA UNIDAD AUDITABLE</v>
      </c>
      <c r="C78" s="203"/>
      <c r="D78" s="1">
        <f t="shared" si="52"/>
        <v>0</v>
      </c>
      <c r="E78" s="1"/>
      <c r="F78" s="1">
        <f t="shared" si="35"/>
        <v>0</v>
      </c>
      <c r="G78" s="204"/>
      <c r="H78" s="1">
        <f t="shared" si="53"/>
        <v>0</v>
      </c>
      <c r="I78" s="204"/>
      <c r="J78" s="1">
        <f t="shared" si="54"/>
        <v>0</v>
      </c>
      <c r="K78" s="1"/>
      <c r="L78" s="1">
        <f t="shared" si="36"/>
        <v>0</v>
      </c>
      <c r="M78" s="1"/>
      <c r="N78" s="1">
        <f t="shared" si="55"/>
        <v>0</v>
      </c>
      <c r="O78" s="1"/>
      <c r="P78" s="201">
        <f t="shared" si="37"/>
        <v>0</v>
      </c>
      <c r="Q78" s="1">
        <f t="shared" si="56"/>
        <v>0</v>
      </c>
      <c r="R78" s="1">
        <f t="shared" si="50"/>
        <v>0</v>
      </c>
      <c r="S78" s="1">
        <f t="shared" si="57"/>
        <v>0</v>
      </c>
      <c r="T78" s="1">
        <f t="shared" si="58"/>
        <v>0</v>
      </c>
      <c r="U78" s="1">
        <f t="shared" si="51"/>
        <v>0</v>
      </c>
      <c r="V78" s="1">
        <f t="shared" si="59"/>
        <v>0</v>
      </c>
      <c r="W78" s="200">
        <f t="shared" si="60"/>
        <v>0</v>
      </c>
      <c r="X78" s="5">
        <f t="shared" si="44"/>
        <v>0</v>
      </c>
      <c r="Y78" s="1">
        <f t="shared" si="45"/>
        <v>0</v>
      </c>
      <c r="Z78" s="1">
        <f t="shared" si="46"/>
        <v>0</v>
      </c>
      <c r="AA78" s="201">
        <f t="shared" si="47"/>
        <v>0</v>
      </c>
      <c r="AB78" s="5">
        <f t="shared" si="48"/>
        <v>0</v>
      </c>
      <c r="AC78" s="202" t="e">
        <f t="shared" si="49"/>
        <v>#DIV/0!</v>
      </c>
    </row>
    <row r="79" spans="1:29" ht="30" x14ac:dyDescent="0.25">
      <c r="A79" s="199" t="str">
        <f>+'PRIORIZACIÓN (2)'!B81</f>
        <v>Unidad Auditable 69</v>
      </c>
      <c r="B79" s="210" t="str">
        <f>+IF('PRIORIZACIÓN (2)'!I81&gt;0%,"YA CUENTA CON PONDERACIÓN DE RIESGOS, NO DILIGENCIAR ANALISIS OCI", "DILIGENCIE ANALISIS OCI PARA ESTA UNIDAD AUDITABLE")</f>
        <v>DILIGENCIE ANALISIS OCI PARA ESTA UNIDAD AUDITABLE</v>
      </c>
      <c r="C79" s="203"/>
      <c r="D79" s="1">
        <f t="shared" si="52"/>
        <v>0</v>
      </c>
      <c r="E79" s="1"/>
      <c r="F79" s="1">
        <f t="shared" si="35"/>
        <v>0</v>
      </c>
      <c r="G79" s="204"/>
      <c r="H79" s="1">
        <f t="shared" si="53"/>
        <v>0</v>
      </c>
      <c r="I79" s="204"/>
      <c r="J79" s="1">
        <f t="shared" si="54"/>
        <v>0</v>
      </c>
      <c r="K79" s="1"/>
      <c r="L79" s="1">
        <f t="shared" si="36"/>
        <v>0</v>
      </c>
      <c r="M79" s="1"/>
      <c r="N79" s="1">
        <f t="shared" si="55"/>
        <v>0</v>
      </c>
      <c r="O79" s="1"/>
      <c r="P79" s="201">
        <f t="shared" si="37"/>
        <v>0</v>
      </c>
      <c r="Q79" s="1">
        <f t="shared" si="56"/>
        <v>0</v>
      </c>
      <c r="R79" s="1">
        <f t="shared" si="50"/>
        <v>0</v>
      </c>
      <c r="S79" s="1">
        <f t="shared" si="57"/>
        <v>0</v>
      </c>
      <c r="T79" s="1">
        <f t="shared" si="58"/>
        <v>0</v>
      </c>
      <c r="U79" s="1">
        <f t="shared" si="51"/>
        <v>0</v>
      </c>
      <c r="V79" s="1">
        <f t="shared" si="59"/>
        <v>0</v>
      </c>
      <c r="W79" s="200">
        <f t="shared" si="60"/>
        <v>0</v>
      </c>
      <c r="X79" s="5">
        <f t="shared" si="44"/>
        <v>0</v>
      </c>
      <c r="Y79" s="1">
        <f t="shared" si="45"/>
        <v>0</v>
      </c>
      <c r="Z79" s="1">
        <f t="shared" si="46"/>
        <v>0</v>
      </c>
      <c r="AA79" s="201">
        <f t="shared" si="47"/>
        <v>0</v>
      </c>
      <c r="AB79" s="5">
        <f t="shared" si="48"/>
        <v>0</v>
      </c>
      <c r="AC79" s="202" t="e">
        <f t="shared" si="49"/>
        <v>#DIV/0!</v>
      </c>
    </row>
    <row r="80" spans="1:29" ht="30" x14ac:dyDescent="0.25">
      <c r="A80" s="199" t="str">
        <f>+'PRIORIZACIÓN (2)'!B82</f>
        <v>Unidad Auditable 70</v>
      </c>
      <c r="B80" s="210" t="str">
        <f>+IF('PRIORIZACIÓN (2)'!I82&gt;0%,"YA CUENTA CON PONDERACIÓN DE RIESGOS, NO DILIGENCIAR ANALISIS OCI", "DILIGENCIE ANALISIS OCI PARA ESTA UNIDAD AUDITABLE")</f>
        <v>DILIGENCIE ANALISIS OCI PARA ESTA UNIDAD AUDITABLE</v>
      </c>
      <c r="C80" s="203"/>
      <c r="D80" s="1">
        <f t="shared" si="52"/>
        <v>0</v>
      </c>
      <c r="E80" s="1"/>
      <c r="F80" s="1">
        <f t="shared" si="35"/>
        <v>0</v>
      </c>
      <c r="G80" s="204"/>
      <c r="H80" s="1">
        <f t="shared" si="53"/>
        <v>0</v>
      </c>
      <c r="I80" s="204"/>
      <c r="J80" s="1">
        <f t="shared" si="54"/>
        <v>0</v>
      </c>
      <c r="K80" s="1"/>
      <c r="L80" s="1">
        <f t="shared" si="36"/>
        <v>0</v>
      </c>
      <c r="M80" s="1"/>
      <c r="N80" s="1">
        <f t="shared" si="55"/>
        <v>0</v>
      </c>
      <c r="O80" s="1"/>
      <c r="P80" s="201">
        <f t="shared" si="37"/>
        <v>0</v>
      </c>
      <c r="Q80" s="1">
        <f t="shared" si="56"/>
        <v>0</v>
      </c>
      <c r="R80" s="1">
        <f t="shared" si="50"/>
        <v>0</v>
      </c>
      <c r="S80" s="1">
        <f t="shared" si="57"/>
        <v>0</v>
      </c>
      <c r="T80" s="1">
        <f t="shared" si="58"/>
        <v>0</v>
      </c>
      <c r="U80" s="1">
        <f t="shared" si="51"/>
        <v>0</v>
      </c>
      <c r="V80" s="1">
        <f t="shared" si="59"/>
        <v>0</v>
      </c>
      <c r="W80" s="200">
        <f t="shared" si="60"/>
        <v>0</v>
      </c>
      <c r="X80" s="5">
        <f t="shared" si="44"/>
        <v>0</v>
      </c>
      <c r="Y80" s="1">
        <f t="shared" si="45"/>
        <v>0</v>
      </c>
      <c r="Z80" s="1">
        <f t="shared" si="46"/>
        <v>0</v>
      </c>
      <c r="AA80" s="201">
        <f t="shared" si="47"/>
        <v>0</v>
      </c>
      <c r="AB80" s="5">
        <f t="shared" si="48"/>
        <v>0</v>
      </c>
      <c r="AC80" s="202" t="e">
        <f t="shared" si="49"/>
        <v>#DIV/0!</v>
      </c>
    </row>
    <row r="81" spans="1:29" ht="30" x14ac:dyDescent="0.25">
      <c r="A81" s="199" t="str">
        <f>+'PRIORIZACIÓN (2)'!B83</f>
        <v>Unidad Auditable 71</v>
      </c>
      <c r="B81" s="210" t="str">
        <f>+IF('PRIORIZACIÓN (2)'!I83&gt;0%,"YA CUENTA CON PONDERACIÓN DE RIESGOS, NO DILIGENCIAR ANALISIS OCI", "DILIGENCIE ANALISIS OCI PARA ESTA UNIDAD AUDITABLE")</f>
        <v>DILIGENCIE ANALISIS OCI PARA ESTA UNIDAD AUDITABLE</v>
      </c>
      <c r="C81" s="203"/>
      <c r="D81" s="1">
        <f t="shared" si="52"/>
        <v>0</v>
      </c>
      <c r="E81" s="1"/>
      <c r="F81" s="1">
        <f t="shared" si="35"/>
        <v>0</v>
      </c>
      <c r="G81" s="204"/>
      <c r="H81" s="1">
        <f t="shared" si="53"/>
        <v>0</v>
      </c>
      <c r="I81" s="204"/>
      <c r="J81" s="1">
        <f t="shared" si="54"/>
        <v>0</v>
      </c>
      <c r="K81" s="1"/>
      <c r="L81" s="1">
        <f t="shared" si="36"/>
        <v>0</v>
      </c>
      <c r="M81" s="1"/>
      <c r="N81" s="1">
        <f t="shared" si="55"/>
        <v>0</v>
      </c>
      <c r="O81" s="1"/>
      <c r="P81" s="201">
        <f t="shared" si="37"/>
        <v>0</v>
      </c>
      <c r="Q81" s="1">
        <f t="shared" si="56"/>
        <v>0</v>
      </c>
      <c r="R81" s="1">
        <f t="shared" si="50"/>
        <v>0</v>
      </c>
      <c r="S81" s="1">
        <f t="shared" si="57"/>
        <v>0</v>
      </c>
      <c r="T81" s="1">
        <f t="shared" si="58"/>
        <v>0</v>
      </c>
      <c r="U81" s="1">
        <f t="shared" si="51"/>
        <v>0</v>
      </c>
      <c r="V81" s="1">
        <f t="shared" si="59"/>
        <v>0</v>
      </c>
      <c r="W81" s="200">
        <f t="shared" si="60"/>
        <v>0</v>
      </c>
      <c r="X81" s="5">
        <f t="shared" si="44"/>
        <v>0</v>
      </c>
      <c r="Y81" s="1">
        <f t="shared" si="45"/>
        <v>0</v>
      </c>
      <c r="Z81" s="1">
        <f t="shared" si="46"/>
        <v>0</v>
      </c>
      <c r="AA81" s="201">
        <f t="shared" si="47"/>
        <v>0</v>
      </c>
      <c r="AB81" s="5">
        <f t="shared" si="48"/>
        <v>0</v>
      </c>
      <c r="AC81" s="202" t="e">
        <f t="shared" si="49"/>
        <v>#DIV/0!</v>
      </c>
    </row>
    <row r="82" spans="1:29" ht="30" x14ac:dyDescent="0.25">
      <c r="A82" s="199" t="str">
        <f>+'PRIORIZACIÓN (2)'!B84</f>
        <v>Unidad Auditable 72</v>
      </c>
      <c r="B82" s="210" t="str">
        <f>+IF('PRIORIZACIÓN (2)'!I84&gt;0%,"YA CUENTA CON PONDERACIÓN DE RIESGOS, NO DILIGENCIAR ANALISIS OCI", "DILIGENCIE ANALISIS OCI PARA ESTA UNIDAD AUDITABLE")</f>
        <v>DILIGENCIE ANALISIS OCI PARA ESTA UNIDAD AUDITABLE</v>
      </c>
      <c r="C82" s="203"/>
      <c r="D82" s="1">
        <f t="shared" si="52"/>
        <v>0</v>
      </c>
      <c r="E82" s="1"/>
      <c r="F82" s="1">
        <f t="shared" si="35"/>
        <v>0</v>
      </c>
      <c r="G82" s="204"/>
      <c r="H82" s="1">
        <f t="shared" si="53"/>
        <v>0</v>
      </c>
      <c r="I82" s="204"/>
      <c r="J82" s="1">
        <f t="shared" si="54"/>
        <v>0</v>
      </c>
      <c r="K82" s="1"/>
      <c r="L82" s="1">
        <f t="shared" si="36"/>
        <v>0</v>
      </c>
      <c r="M82" s="1"/>
      <c r="N82" s="1">
        <f t="shared" si="55"/>
        <v>0</v>
      </c>
      <c r="O82" s="1"/>
      <c r="P82" s="201">
        <f t="shared" si="37"/>
        <v>0</v>
      </c>
      <c r="Q82" s="1">
        <f t="shared" si="56"/>
        <v>0</v>
      </c>
      <c r="R82" s="1">
        <f t="shared" si="50"/>
        <v>0</v>
      </c>
      <c r="S82" s="1">
        <f t="shared" si="57"/>
        <v>0</v>
      </c>
      <c r="T82" s="1">
        <f t="shared" si="58"/>
        <v>0</v>
      </c>
      <c r="U82" s="1">
        <f t="shared" si="51"/>
        <v>0</v>
      </c>
      <c r="V82" s="1">
        <f t="shared" si="59"/>
        <v>0</v>
      </c>
      <c r="W82" s="200">
        <f t="shared" si="60"/>
        <v>0</v>
      </c>
      <c r="X82" s="5">
        <f t="shared" si="44"/>
        <v>0</v>
      </c>
      <c r="Y82" s="1">
        <f t="shared" si="45"/>
        <v>0</v>
      </c>
      <c r="Z82" s="1">
        <f t="shared" si="46"/>
        <v>0</v>
      </c>
      <c r="AA82" s="201">
        <f t="shared" si="47"/>
        <v>0</v>
      </c>
      <c r="AB82" s="5">
        <f t="shared" si="48"/>
        <v>0</v>
      </c>
      <c r="AC82" s="202" t="e">
        <f t="shared" si="49"/>
        <v>#DIV/0!</v>
      </c>
    </row>
    <row r="83" spans="1:29" ht="30" x14ac:dyDescent="0.25">
      <c r="A83" s="199" t="str">
        <f>+'PRIORIZACIÓN (2)'!B85</f>
        <v>Unidad Auditable 73</v>
      </c>
      <c r="B83" s="210" t="str">
        <f>+IF('PRIORIZACIÓN (2)'!I85&gt;0%,"YA CUENTA CON PONDERACIÓN DE RIESGOS, NO DILIGENCIAR ANALISIS OCI", "DILIGENCIE ANALISIS OCI PARA ESTA UNIDAD AUDITABLE")</f>
        <v>DILIGENCIE ANALISIS OCI PARA ESTA UNIDAD AUDITABLE</v>
      </c>
      <c r="C83" s="203"/>
      <c r="D83" s="1">
        <f t="shared" si="52"/>
        <v>0</v>
      </c>
      <c r="E83" s="1"/>
      <c r="F83" s="1">
        <f t="shared" si="35"/>
        <v>0</v>
      </c>
      <c r="G83" s="204"/>
      <c r="H83" s="1">
        <f t="shared" si="53"/>
        <v>0</v>
      </c>
      <c r="I83" s="204"/>
      <c r="J83" s="1">
        <f t="shared" si="54"/>
        <v>0</v>
      </c>
      <c r="K83" s="1"/>
      <c r="L83" s="1">
        <f t="shared" si="36"/>
        <v>0</v>
      </c>
      <c r="M83" s="1"/>
      <c r="N83" s="1">
        <f t="shared" si="55"/>
        <v>0</v>
      </c>
      <c r="O83" s="1"/>
      <c r="P83" s="201">
        <f t="shared" si="37"/>
        <v>0</v>
      </c>
      <c r="Q83" s="1">
        <f t="shared" si="56"/>
        <v>0</v>
      </c>
      <c r="R83" s="1">
        <f t="shared" si="50"/>
        <v>0</v>
      </c>
      <c r="S83" s="1">
        <f t="shared" si="57"/>
        <v>0</v>
      </c>
      <c r="T83" s="1">
        <f t="shared" si="58"/>
        <v>0</v>
      </c>
      <c r="U83" s="1">
        <f t="shared" si="51"/>
        <v>0</v>
      </c>
      <c r="V83" s="1">
        <f t="shared" si="59"/>
        <v>0</v>
      </c>
      <c r="W83" s="200">
        <f t="shared" si="60"/>
        <v>0</v>
      </c>
      <c r="X83" s="5">
        <f t="shared" si="44"/>
        <v>0</v>
      </c>
      <c r="Y83" s="1">
        <f t="shared" si="45"/>
        <v>0</v>
      </c>
      <c r="Z83" s="1">
        <f t="shared" si="46"/>
        <v>0</v>
      </c>
      <c r="AA83" s="201">
        <f t="shared" si="47"/>
        <v>0</v>
      </c>
      <c r="AB83" s="5">
        <f t="shared" si="48"/>
        <v>0</v>
      </c>
      <c r="AC83" s="202" t="e">
        <f t="shared" si="49"/>
        <v>#DIV/0!</v>
      </c>
    </row>
    <row r="84" spans="1:29" ht="30" x14ac:dyDescent="0.25">
      <c r="A84" s="199" t="str">
        <f>+'PRIORIZACIÓN (2)'!B86</f>
        <v>Unidad Auditable 74</v>
      </c>
      <c r="B84" s="210" t="str">
        <f>+IF('PRIORIZACIÓN (2)'!I86&gt;0%,"YA CUENTA CON PONDERACIÓN DE RIESGOS, NO DILIGENCIAR ANALISIS OCI", "DILIGENCIE ANALISIS OCI PARA ESTA UNIDAD AUDITABLE")</f>
        <v>DILIGENCIE ANALISIS OCI PARA ESTA UNIDAD AUDITABLE</v>
      </c>
      <c r="C84" s="203"/>
      <c r="D84" s="1">
        <f t="shared" si="52"/>
        <v>0</v>
      </c>
      <c r="E84" s="1"/>
      <c r="F84" s="1">
        <f t="shared" si="35"/>
        <v>0</v>
      </c>
      <c r="G84" s="204"/>
      <c r="H84" s="1">
        <f t="shared" si="53"/>
        <v>0</v>
      </c>
      <c r="I84" s="204"/>
      <c r="J84" s="1">
        <f t="shared" si="54"/>
        <v>0</v>
      </c>
      <c r="K84" s="1"/>
      <c r="L84" s="1">
        <f t="shared" si="36"/>
        <v>0</v>
      </c>
      <c r="M84" s="1"/>
      <c r="N84" s="1">
        <f t="shared" si="55"/>
        <v>0</v>
      </c>
      <c r="O84" s="1"/>
      <c r="P84" s="201">
        <f t="shared" si="37"/>
        <v>0</v>
      </c>
      <c r="Q84" s="1">
        <f t="shared" si="56"/>
        <v>0</v>
      </c>
      <c r="R84" s="1">
        <f t="shared" si="50"/>
        <v>0</v>
      </c>
      <c r="S84" s="1">
        <f t="shared" si="57"/>
        <v>0</v>
      </c>
      <c r="T84" s="1">
        <f t="shared" si="58"/>
        <v>0</v>
      </c>
      <c r="U84" s="1">
        <f t="shared" si="51"/>
        <v>0</v>
      </c>
      <c r="V84" s="1">
        <f t="shared" si="59"/>
        <v>0</v>
      </c>
      <c r="W84" s="200">
        <f t="shared" si="60"/>
        <v>0</v>
      </c>
      <c r="X84" s="5">
        <f t="shared" si="44"/>
        <v>0</v>
      </c>
      <c r="Y84" s="1">
        <f t="shared" si="45"/>
        <v>0</v>
      </c>
      <c r="Z84" s="1">
        <f t="shared" si="46"/>
        <v>0</v>
      </c>
      <c r="AA84" s="201">
        <f t="shared" si="47"/>
        <v>0</v>
      </c>
      <c r="AB84" s="5">
        <f t="shared" si="48"/>
        <v>0</v>
      </c>
      <c r="AC84" s="202" t="e">
        <f t="shared" si="49"/>
        <v>#DIV/0!</v>
      </c>
    </row>
    <row r="85" spans="1:29" ht="30" x14ac:dyDescent="0.25">
      <c r="A85" s="199" t="str">
        <f>+'PRIORIZACIÓN (2)'!B87</f>
        <v>Unidad Auditable 75</v>
      </c>
      <c r="B85" s="210" t="str">
        <f>+IF('PRIORIZACIÓN (2)'!I87&gt;0%,"YA CUENTA CON PONDERACIÓN DE RIESGOS, NO DILIGENCIAR ANALISIS OCI", "DILIGENCIE ANALISIS OCI PARA ESTA UNIDAD AUDITABLE")</f>
        <v>DILIGENCIE ANALISIS OCI PARA ESTA UNIDAD AUDITABLE</v>
      </c>
      <c r="C85" s="203"/>
      <c r="D85" s="1">
        <f t="shared" si="52"/>
        <v>0</v>
      </c>
      <c r="E85" s="1"/>
      <c r="F85" s="1">
        <f t="shared" si="35"/>
        <v>0</v>
      </c>
      <c r="G85" s="204"/>
      <c r="H85" s="1">
        <f t="shared" si="53"/>
        <v>0</v>
      </c>
      <c r="I85" s="204"/>
      <c r="J85" s="1">
        <f t="shared" si="54"/>
        <v>0</v>
      </c>
      <c r="K85" s="1"/>
      <c r="L85" s="1">
        <f t="shared" si="36"/>
        <v>0</v>
      </c>
      <c r="M85" s="1"/>
      <c r="N85" s="1">
        <f t="shared" si="55"/>
        <v>0</v>
      </c>
      <c r="O85" s="1"/>
      <c r="P85" s="201">
        <f t="shared" si="37"/>
        <v>0</v>
      </c>
      <c r="Q85" s="1">
        <f t="shared" si="56"/>
        <v>0</v>
      </c>
      <c r="R85" s="1">
        <f t="shared" si="50"/>
        <v>0</v>
      </c>
      <c r="S85" s="1">
        <f t="shared" si="57"/>
        <v>0</v>
      </c>
      <c r="T85" s="1">
        <f t="shared" si="58"/>
        <v>0</v>
      </c>
      <c r="U85" s="1">
        <f t="shared" si="51"/>
        <v>0</v>
      </c>
      <c r="V85" s="1">
        <f t="shared" si="59"/>
        <v>0</v>
      </c>
      <c r="W85" s="200">
        <f t="shared" si="60"/>
        <v>0</v>
      </c>
      <c r="X85" s="5">
        <f t="shared" si="44"/>
        <v>0</v>
      </c>
      <c r="Y85" s="1">
        <f t="shared" si="45"/>
        <v>0</v>
      </c>
      <c r="Z85" s="1">
        <f t="shared" si="46"/>
        <v>0</v>
      </c>
      <c r="AA85" s="201">
        <f t="shared" si="47"/>
        <v>0</v>
      </c>
      <c r="AB85" s="5">
        <f t="shared" si="48"/>
        <v>0</v>
      </c>
      <c r="AC85" s="202" t="e">
        <f t="shared" si="49"/>
        <v>#DIV/0!</v>
      </c>
    </row>
    <row r="86" spans="1:29" ht="30" x14ac:dyDescent="0.25">
      <c r="A86" s="199" t="str">
        <f>+'PRIORIZACIÓN (2)'!B88</f>
        <v>Unidad Auditable 76</v>
      </c>
      <c r="B86" s="210" t="str">
        <f>+IF('PRIORIZACIÓN (2)'!I88&gt;0%,"YA CUENTA CON PONDERACIÓN DE RIESGOS, NO DILIGENCIAR ANALISIS OCI", "DILIGENCIE ANALISIS OCI PARA ESTA UNIDAD AUDITABLE")</f>
        <v>DILIGENCIE ANALISIS OCI PARA ESTA UNIDAD AUDITABLE</v>
      </c>
      <c r="C86" s="203"/>
      <c r="D86" s="1">
        <f t="shared" si="52"/>
        <v>0</v>
      </c>
      <c r="E86" s="1"/>
      <c r="F86" s="1">
        <f t="shared" si="35"/>
        <v>0</v>
      </c>
      <c r="G86" s="204"/>
      <c r="H86" s="1">
        <f t="shared" si="53"/>
        <v>0</v>
      </c>
      <c r="I86" s="204"/>
      <c r="J86" s="1">
        <f t="shared" si="54"/>
        <v>0</v>
      </c>
      <c r="K86" s="1"/>
      <c r="L86" s="1">
        <f t="shared" si="36"/>
        <v>0</v>
      </c>
      <c r="M86" s="1"/>
      <c r="N86" s="1">
        <f t="shared" si="55"/>
        <v>0</v>
      </c>
      <c r="O86" s="1"/>
      <c r="P86" s="201">
        <f t="shared" si="37"/>
        <v>0</v>
      </c>
      <c r="Q86" s="1">
        <f t="shared" si="56"/>
        <v>0</v>
      </c>
      <c r="R86" s="1">
        <f t="shared" si="50"/>
        <v>0</v>
      </c>
      <c r="S86" s="1">
        <f t="shared" si="57"/>
        <v>0</v>
      </c>
      <c r="T86" s="1">
        <f t="shared" si="58"/>
        <v>0</v>
      </c>
      <c r="U86" s="1">
        <f t="shared" si="51"/>
        <v>0</v>
      </c>
      <c r="V86" s="1">
        <f t="shared" si="59"/>
        <v>0</v>
      </c>
      <c r="W86" s="200">
        <f t="shared" si="60"/>
        <v>0</v>
      </c>
      <c r="X86" s="5">
        <f t="shared" si="44"/>
        <v>0</v>
      </c>
      <c r="Y86" s="1">
        <f t="shared" si="45"/>
        <v>0</v>
      </c>
      <c r="Z86" s="1">
        <f t="shared" si="46"/>
        <v>0</v>
      </c>
      <c r="AA86" s="201">
        <f t="shared" si="47"/>
        <v>0</v>
      </c>
      <c r="AB86" s="5">
        <f t="shared" si="48"/>
        <v>0</v>
      </c>
      <c r="AC86" s="202" t="e">
        <f t="shared" si="49"/>
        <v>#DIV/0!</v>
      </c>
    </row>
    <row r="87" spans="1:29" ht="30" x14ac:dyDescent="0.25">
      <c r="A87" s="199" t="str">
        <f>+'PRIORIZACIÓN (2)'!B89</f>
        <v>Unidad Auditable 77</v>
      </c>
      <c r="B87" s="210" t="str">
        <f>+IF('PRIORIZACIÓN (2)'!I89&gt;0%,"YA CUENTA CON PONDERACIÓN DE RIESGOS, NO DILIGENCIAR ANALISIS OCI", "DILIGENCIE ANALISIS OCI PARA ESTA UNIDAD AUDITABLE")</f>
        <v>DILIGENCIE ANALISIS OCI PARA ESTA UNIDAD AUDITABLE</v>
      </c>
      <c r="C87" s="203"/>
      <c r="D87" s="1">
        <f t="shared" si="52"/>
        <v>0</v>
      </c>
      <c r="E87" s="1"/>
      <c r="F87" s="1">
        <f t="shared" si="35"/>
        <v>0</v>
      </c>
      <c r="G87" s="204"/>
      <c r="H87" s="1">
        <f t="shared" si="53"/>
        <v>0</v>
      </c>
      <c r="I87" s="204"/>
      <c r="J87" s="1">
        <f t="shared" si="54"/>
        <v>0</v>
      </c>
      <c r="K87" s="1"/>
      <c r="L87" s="1">
        <f t="shared" si="36"/>
        <v>0</v>
      </c>
      <c r="M87" s="1"/>
      <c r="N87" s="1">
        <f t="shared" si="55"/>
        <v>0</v>
      </c>
      <c r="O87" s="1"/>
      <c r="P87" s="201">
        <f t="shared" si="37"/>
        <v>0</v>
      </c>
      <c r="Q87" s="1">
        <f t="shared" si="56"/>
        <v>0</v>
      </c>
      <c r="R87" s="1">
        <f t="shared" si="50"/>
        <v>0</v>
      </c>
      <c r="S87" s="1">
        <f t="shared" si="57"/>
        <v>0</v>
      </c>
      <c r="T87" s="1">
        <f t="shared" si="58"/>
        <v>0</v>
      </c>
      <c r="U87" s="1">
        <f t="shared" si="51"/>
        <v>0</v>
      </c>
      <c r="V87" s="1">
        <f t="shared" si="59"/>
        <v>0</v>
      </c>
      <c r="W87" s="200">
        <f t="shared" si="60"/>
        <v>0</v>
      </c>
      <c r="X87" s="5">
        <f t="shared" si="44"/>
        <v>0</v>
      </c>
      <c r="Y87" s="1">
        <f t="shared" si="45"/>
        <v>0</v>
      </c>
      <c r="Z87" s="1">
        <f t="shared" si="46"/>
        <v>0</v>
      </c>
      <c r="AA87" s="201">
        <f t="shared" si="47"/>
        <v>0</v>
      </c>
      <c r="AB87" s="5">
        <f t="shared" si="48"/>
        <v>0</v>
      </c>
      <c r="AC87" s="202" t="e">
        <f t="shared" si="49"/>
        <v>#DIV/0!</v>
      </c>
    </row>
    <row r="88" spans="1:29" ht="30" x14ac:dyDescent="0.25">
      <c r="A88" s="199" t="str">
        <f>+'PRIORIZACIÓN (2)'!B90</f>
        <v>Unidad Auditable 78</v>
      </c>
      <c r="B88" s="210" t="str">
        <f>+IF('PRIORIZACIÓN (2)'!I90&gt;0%,"YA CUENTA CON PONDERACIÓN DE RIESGOS, NO DILIGENCIAR ANALISIS OCI", "DILIGENCIE ANALISIS OCI PARA ESTA UNIDAD AUDITABLE")</f>
        <v>DILIGENCIE ANALISIS OCI PARA ESTA UNIDAD AUDITABLE</v>
      </c>
      <c r="C88" s="203"/>
      <c r="D88" s="1">
        <f t="shared" si="52"/>
        <v>0</v>
      </c>
      <c r="E88" s="1"/>
      <c r="F88" s="1">
        <f t="shared" si="35"/>
        <v>0</v>
      </c>
      <c r="G88" s="204"/>
      <c r="H88" s="1">
        <f t="shared" si="53"/>
        <v>0</v>
      </c>
      <c r="I88" s="204"/>
      <c r="J88" s="1">
        <f t="shared" si="54"/>
        <v>0</v>
      </c>
      <c r="K88" s="1"/>
      <c r="L88" s="1">
        <f t="shared" si="36"/>
        <v>0</v>
      </c>
      <c r="M88" s="1"/>
      <c r="N88" s="1">
        <f t="shared" si="55"/>
        <v>0</v>
      </c>
      <c r="O88" s="1"/>
      <c r="P88" s="201">
        <f t="shared" si="37"/>
        <v>0</v>
      </c>
      <c r="Q88" s="1">
        <f t="shared" si="56"/>
        <v>0</v>
      </c>
      <c r="R88" s="1">
        <f t="shared" si="50"/>
        <v>0</v>
      </c>
      <c r="S88" s="1">
        <f t="shared" si="57"/>
        <v>0</v>
      </c>
      <c r="T88" s="1">
        <f t="shared" si="58"/>
        <v>0</v>
      </c>
      <c r="U88" s="1">
        <f t="shared" si="51"/>
        <v>0</v>
      </c>
      <c r="V88" s="1">
        <f t="shared" si="59"/>
        <v>0</v>
      </c>
      <c r="W88" s="200">
        <f t="shared" si="60"/>
        <v>0</v>
      </c>
      <c r="X88" s="5">
        <f t="shared" si="44"/>
        <v>0</v>
      </c>
      <c r="Y88" s="1">
        <f t="shared" si="45"/>
        <v>0</v>
      </c>
      <c r="Z88" s="1">
        <f t="shared" si="46"/>
        <v>0</v>
      </c>
      <c r="AA88" s="201">
        <f t="shared" si="47"/>
        <v>0</v>
      </c>
      <c r="AB88" s="5">
        <f t="shared" si="48"/>
        <v>0</v>
      </c>
      <c r="AC88" s="202" t="e">
        <f t="shared" si="49"/>
        <v>#DIV/0!</v>
      </c>
    </row>
    <row r="96" spans="1:29" x14ac:dyDescent="0.25">
      <c r="A96" s="211" t="s">
        <v>364</v>
      </c>
      <c r="B96" s="212" t="s">
        <v>365</v>
      </c>
      <c r="C96" s="212" t="s">
        <v>366</v>
      </c>
    </row>
    <row r="97" spans="1:3" x14ac:dyDescent="0.25">
      <c r="A97" s="213" t="s">
        <v>373</v>
      </c>
      <c r="B97" s="214">
        <v>0</v>
      </c>
      <c r="C97" s="215" t="s">
        <v>367</v>
      </c>
    </row>
    <row r="98" spans="1:3" x14ac:dyDescent="0.25">
      <c r="A98" s="213" t="s">
        <v>374</v>
      </c>
      <c r="B98" s="215" t="s">
        <v>368</v>
      </c>
      <c r="C98" s="215" t="s">
        <v>369</v>
      </c>
    </row>
    <row r="99" spans="1:3" x14ac:dyDescent="0.25">
      <c r="A99" s="213" t="s">
        <v>375</v>
      </c>
      <c r="B99" s="215" t="s">
        <v>370</v>
      </c>
      <c r="C99" s="215" t="s">
        <v>371</v>
      </c>
    </row>
    <row r="100" spans="1:3" x14ac:dyDescent="0.25">
      <c r="A100" s="213" t="s">
        <v>376</v>
      </c>
      <c r="B100" s="215" t="s">
        <v>372</v>
      </c>
      <c r="C100" s="216"/>
    </row>
  </sheetData>
  <mergeCells count="36">
    <mergeCell ref="AA7:AA8"/>
    <mergeCell ref="AB7:AB8"/>
    <mergeCell ref="AC7:AC8"/>
    <mergeCell ref="C8:D8"/>
    <mergeCell ref="E8:F8"/>
    <mergeCell ref="G8:H8"/>
    <mergeCell ref="I8:J8"/>
    <mergeCell ref="K8:L8"/>
    <mergeCell ref="M8:N8"/>
    <mergeCell ref="O8:P8"/>
    <mergeCell ref="V7:V8"/>
    <mergeCell ref="W7:W8"/>
    <mergeCell ref="X7:X8"/>
    <mergeCell ref="Y7:Y8"/>
    <mergeCell ref="Z7:Z8"/>
    <mergeCell ref="Q7:Q8"/>
    <mergeCell ref="R7:R8"/>
    <mergeCell ref="S7:S8"/>
    <mergeCell ref="T7:T8"/>
    <mergeCell ref="U7:U8"/>
    <mergeCell ref="A7:A8"/>
    <mergeCell ref="C7:D7"/>
    <mergeCell ref="E7:F7"/>
    <mergeCell ref="G7:H7"/>
    <mergeCell ref="I7:J7"/>
    <mergeCell ref="K7:L7"/>
    <mergeCell ref="M7:N7"/>
    <mergeCell ref="O7:P7"/>
    <mergeCell ref="B7:B8"/>
    <mergeCell ref="A2:A5"/>
    <mergeCell ref="C2:O5"/>
    <mergeCell ref="AA2:AC5"/>
    <mergeCell ref="Q2:Z2"/>
    <mergeCell ref="Q3:Z3"/>
    <mergeCell ref="Q4:Z4"/>
    <mergeCell ref="Q5:Z5"/>
  </mergeCells>
  <conditionalFormatting sqref="AC9">
    <cfRule type="containsText" dxfId="149" priority="106" operator="containsText" text="Moderado">
      <formula>NOT(ISERROR(SEARCH(("Moderado"),(AC9))))</formula>
    </cfRule>
  </conditionalFormatting>
  <conditionalFormatting sqref="AC9">
    <cfRule type="containsText" dxfId="148" priority="107" operator="containsText" text="Alto">
      <formula>NOT(ISERROR(SEARCH(("Alto"),(AC9))))</formula>
    </cfRule>
  </conditionalFormatting>
  <conditionalFormatting sqref="AC9">
    <cfRule type="containsText" dxfId="147" priority="108" operator="containsText" text="Muy Alto">
      <formula>NOT(ISERROR(SEARCH(("Muy Alto"),(AC9))))</formula>
    </cfRule>
  </conditionalFormatting>
  <conditionalFormatting sqref="AC9">
    <cfRule type="containsText" dxfId="146" priority="109" operator="containsText" text="Muy Bajo">
      <formula>NOT(ISERROR(SEARCH(("Muy Bajo"),(AC9))))</formula>
    </cfRule>
  </conditionalFormatting>
  <conditionalFormatting sqref="AC9">
    <cfRule type="containsText" dxfId="145" priority="110" operator="containsText" text="Bajo">
      <formula>NOT(ISERROR(SEARCH(("Bajo"),(AC9))))</formula>
    </cfRule>
  </conditionalFormatting>
  <conditionalFormatting sqref="AC9">
    <cfRule type="containsText" dxfId="144" priority="111" operator="containsText" text="Extremo">
      <formula>NOT(ISERROR(SEARCH(("Extremo"),(AC9))))</formula>
    </cfRule>
  </conditionalFormatting>
  <conditionalFormatting sqref="AC36:AC88">
    <cfRule type="containsText" dxfId="143" priority="100" operator="containsText" text="Moderado">
      <formula>NOT(ISERROR(SEARCH(("Moderado"),(AC36))))</formula>
    </cfRule>
  </conditionalFormatting>
  <conditionalFormatting sqref="AC36:AC88">
    <cfRule type="containsText" dxfId="142" priority="101" operator="containsText" text="Alto">
      <formula>NOT(ISERROR(SEARCH(("Alto"),(AC36))))</formula>
    </cfRule>
  </conditionalFormatting>
  <conditionalFormatting sqref="AC36:AC88">
    <cfRule type="containsText" dxfId="141" priority="102" operator="containsText" text="Muy Alto">
      <formula>NOT(ISERROR(SEARCH(("Muy Alto"),(AC36))))</formula>
    </cfRule>
  </conditionalFormatting>
  <conditionalFormatting sqref="AC36:AC88">
    <cfRule type="containsText" dxfId="140" priority="103" operator="containsText" text="Muy Bajo">
      <formula>NOT(ISERROR(SEARCH(("Muy Bajo"),(AC36))))</formula>
    </cfRule>
  </conditionalFormatting>
  <conditionalFormatting sqref="AC36:AC88">
    <cfRule type="containsText" dxfId="139" priority="104" operator="containsText" text="Bajo">
      <formula>NOT(ISERROR(SEARCH(("Bajo"),(AC36))))</formula>
    </cfRule>
  </conditionalFormatting>
  <conditionalFormatting sqref="AC36:AC88">
    <cfRule type="containsText" dxfId="138" priority="105" operator="containsText" text="Extremo">
      <formula>NOT(ISERROR(SEARCH(("Extremo"),(AC36))))</formula>
    </cfRule>
  </conditionalFormatting>
  <conditionalFormatting sqref="AC18:AC23 AC34:AC35">
    <cfRule type="containsText" dxfId="137" priority="94" operator="containsText" text="Moderado">
      <formula>NOT(ISERROR(SEARCH(("Moderado"),(AC18))))</formula>
    </cfRule>
  </conditionalFormatting>
  <conditionalFormatting sqref="AC18:AC23 AC34:AC35">
    <cfRule type="containsText" dxfId="136" priority="95" operator="containsText" text="Alto">
      <formula>NOT(ISERROR(SEARCH(("Alto"),(AC18))))</formula>
    </cfRule>
  </conditionalFormatting>
  <conditionalFormatting sqref="AC18:AC23 AC34:AC35">
    <cfRule type="containsText" dxfId="135" priority="96" operator="containsText" text="Muy Alto">
      <formula>NOT(ISERROR(SEARCH(("Muy Alto"),(AC18))))</formula>
    </cfRule>
  </conditionalFormatting>
  <conditionalFormatting sqref="AC18:AC23 AC34:AC35">
    <cfRule type="containsText" dxfId="134" priority="97" operator="containsText" text="Muy Bajo">
      <formula>NOT(ISERROR(SEARCH(("Muy Bajo"),(AC18))))</formula>
    </cfRule>
  </conditionalFormatting>
  <conditionalFormatting sqref="AC18:AC23 AC34:AC35">
    <cfRule type="containsText" dxfId="133" priority="98" operator="containsText" text="Bajo">
      <formula>NOT(ISERROR(SEARCH(("Bajo"),(AC18))))</formula>
    </cfRule>
  </conditionalFormatting>
  <conditionalFormatting sqref="AC18:AC23 AC34:AC35">
    <cfRule type="containsText" dxfId="132" priority="99" operator="containsText" text="Extremo">
      <formula>NOT(ISERROR(SEARCH(("Extremo"),(AC18))))</formula>
    </cfRule>
  </conditionalFormatting>
  <conditionalFormatting sqref="AC10:AC17">
    <cfRule type="containsText" dxfId="131" priority="88" operator="containsText" text="Moderado">
      <formula>NOT(ISERROR(SEARCH(("Moderado"),(AC10))))</formula>
    </cfRule>
  </conditionalFormatting>
  <conditionalFormatting sqref="AC10:AC17">
    <cfRule type="containsText" dxfId="130" priority="89" operator="containsText" text="Alto">
      <formula>NOT(ISERROR(SEARCH(("Alto"),(AC10))))</formula>
    </cfRule>
  </conditionalFormatting>
  <conditionalFormatting sqref="AC10:AC17">
    <cfRule type="containsText" dxfId="129" priority="90" operator="containsText" text="Muy Alto">
      <formula>NOT(ISERROR(SEARCH(("Muy Alto"),(AC10))))</formula>
    </cfRule>
  </conditionalFormatting>
  <conditionalFormatting sqref="AC10:AC17">
    <cfRule type="containsText" dxfId="128" priority="91" operator="containsText" text="Muy Bajo">
      <formula>NOT(ISERROR(SEARCH(("Muy Bajo"),(AC10))))</formula>
    </cfRule>
  </conditionalFormatting>
  <conditionalFormatting sqref="AC10:AC17">
    <cfRule type="containsText" dxfId="127" priority="92" operator="containsText" text="Bajo">
      <formula>NOT(ISERROR(SEARCH(("Bajo"),(AC10))))</formula>
    </cfRule>
  </conditionalFormatting>
  <conditionalFormatting sqref="AC10:AC17">
    <cfRule type="containsText" dxfId="126" priority="93" operator="containsText" text="Extremo">
      <formula>NOT(ISERROR(SEARCH(("Extremo"),(AC10))))</formula>
    </cfRule>
  </conditionalFormatting>
  <conditionalFormatting sqref="AC26:AC33">
    <cfRule type="containsText" dxfId="125" priority="82" operator="containsText" text="Moderado">
      <formula>NOT(ISERROR(SEARCH(("Moderado"),(AC26))))</formula>
    </cfRule>
  </conditionalFormatting>
  <conditionalFormatting sqref="AC26:AC33">
    <cfRule type="containsText" dxfId="124" priority="83" operator="containsText" text="Alto">
      <formula>NOT(ISERROR(SEARCH(("Alto"),(AC26))))</formula>
    </cfRule>
  </conditionalFormatting>
  <conditionalFormatting sqref="AC26:AC33">
    <cfRule type="containsText" dxfId="123" priority="84" operator="containsText" text="Muy Alto">
      <formula>NOT(ISERROR(SEARCH(("Muy Alto"),(AC26))))</formula>
    </cfRule>
  </conditionalFormatting>
  <conditionalFormatting sqref="AC26:AC33">
    <cfRule type="containsText" dxfId="122" priority="85" operator="containsText" text="Muy Bajo">
      <formula>NOT(ISERROR(SEARCH(("Muy Bajo"),(AC26))))</formula>
    </cfRule>
  </conditionalFormatting>
  <conditionalFormatting sqref="AC26:AC33">
    <cfRule type="containsText" dxfId="121" priority="86" operator="containsText" text="Bajo">
      <formula>NOT(ISERROR(SEARCH(("Bajo"),(AC26))))</formula>
    </cfRule>
  </conditionalFormatting>
  <conditionalFormatting sqref="AC26:AC33">
    <cfRule type="containsText" dxfId="120" priority="87" operator="containsText" text="Extremo">
      <formula>NOT(ISERROR(SEARCH(("Extremo"),(AC26))))</formula>
    </cfRule>
  </conditionalFormatting>
  <conditionalFormatting sqref="AC24:AC25">
    <cfRule type="containsText" dxfId="119" priority="76" operator="containsText" text="Moderado">
      <formula>NOT(ISERROR(SEARCH(("Moderado"),(AC24))))</formula>
    </cfRule>
  </conditionalFormatting>
  <conditionalFormatting sqref="AC24:AC25">
    <cfRule type="containsText" dxfId="118" priority="77" operator="containsText" text="Alto">
      <formula>NOT(ISERROR(SEARCH(("Alto"),(AC24))))</formula>
    </cfRule>
  </conditionalFormatting>
  <conditionalFormatting sqref="AC24:AC25">
    <cfRule type="containsText" dxfId="117" priority="78" operator="containsText" text="Muy Alto">
      <formula>NOT(ISERROR(SEARCH(("Muy Alto"),(AC24))))</formula>
    </cfRule>
  </conditionalFormatting>
  <conditionalFormatting sqref="AC24:AC25">
    <cfRule type="containsText" dxfId="116" priority="79" operator="containsText" text="Muy Bajo">
      <formula>NOT(ISERROR(SEARCH(("Muy Bajo"),(AC24))))</formula>
    </cfRule>
  </conditionalFormatting>
  <conditionalFormatting sqref="AC24:AC25">
    <cfRule type="containsText" dxfId="115" priority="80" operator="containsText" text="Bajo">
      <formula>NOT(ISERROR(SEARCH(("Bajo"),(AC24))))</formula>
    </cfRule>
  </conditionalFormatting>
  <conditionalFormatting sqref="AC24:AC25">
    <cfRule type="containsText" dxfId="114" priority="81" operator="containsText" text="Extremo">
      <formula>NOT(ISERROR(SEARCH(("Extremo"),(AC24))))</formula>
    </cfRule>
  </conditionalFormatting>
  <conditionalFormatting sqref="C14:O15 C24:O88 C9:O12">
    <cfRule type="expression" dxfId="113" priority="73">
      <formula>"(B9=""YA CUENTA CON PONDERACION DE RIESGOS, NO DILIGENCIARANALISIS;B9)"</formula>
    </cfRule>
  </conditionalFormatting>
  <conditionalFormatting sqref="B9:B88">
    <cfRule type="cellIs" dxfId="112" priority="67" operator="equal">
      <formula>$AI$10</formula>
    </cfRule>
    <cfRule type="cellIs" dxfId="111" priority="70" operator="equal">
      <formula>$AI$9</formula>
    </cfRule>
  </conditionalFormatting>
  <conditionalFormatting sqref="Q9">
    <cfRule type="expression" dxfId="110" priority="66">
      <formula>"(B9=""YA CUENTA CON PONDERACION DE RIESGOS, NO DILIGENCIARANALISIS;B9)"</formula>
    </cfRule>
  </conditionalFormatting>
  <conditionalFormatting sqref="R9">
    <cfRule type="expression" dxfId="109" priority="65">
      <formula>"(B9=""YA CUENTA CON PONDERACION DE RIESGOS, NO DILIGENCIARANALISIS;B9)"</formula>
    </cfRule>
  </conditionalFormatting>
  <conditionalFormatting sqref="S9">
    <cfRule type="expression" dxfId="108" priority="64">
      <formula>"(B9=""YA CUENTA CON PONDERACION DE RIESGOS, NO DILIGENCIARANALISIS;B9)"</formula>
    </cfRule>
  </conditionalFormatting>
  <conditionalFormatting sqref="T9">
    <cfRule type="expression" dxfId="107" priority="63">
      <formula>"(B9=""YA CUENTA CON PONDERACION DE RIESGOS, NO DILIGENCIARANALISIS;B9)"</formula>
    </cfRule>
  </conditionalFormatting>
  <conditionalFormatting sqref="U9">
    <cfRule type="expression" dxfId="106" priority="62">
      <formula>"(B9=""YA CUENTA CON PONDERACION DE RIESGOS, NO DILIGENCIARANALISIS;B9)"</formula>
    </cfRule>
  </conditionalFormatting>
  <conditionalFormatting sqref="V9">
    <cfRule type="expression" dxfId="105" priority="61">
      <formula>"(B9=""YA CUENTA CON PONDERACION DE RIESGOS, NO DILIGENCIARANALISIS;B9)"</formula>
    </cfRule>
  </conditionalFormatting>
  <conditionalFormatting sqref="Q10:Q88">
    <cfRule type="expression" dxfId="104" priority="60">
      <formula>"(B9=""YA CUENTA CON PONDERACION DE RIESGOS, NO DILIGENCIARANALISIS;B9)"</formula>
    </cfRule>
  </conditionalFormatting>
  <conditionalFormatting sqref="R10:R88">
    <cfRule type="expression" dxfId="103" priority="59">
      <formula>"(B9=""YA CUENTA CON PONDERACION DE RIESGOS, NO DILIGENCIARANALISIS;B9)"</formula>
    </cfRule>
  </conditionalFormatting>
  <conditionalFormatting sqref="S10:S88">
    <cfRule type="expression" dxfId="102" priority="58">
      <formula>"(B9=""YA CUENTA CON PONDERACION DE RIESGOS, NO DILIGENCIARANALISIS;B9)"</formula>
    </cfRule>
  </conditionalFormatting>
  <conditionalFormatting sqref="T10:T88">
    <cfRule type="expression" dxfId="101" priority="57">
      <formula>"(B9=""YA CUENTA CON PONDERACION DE RIESGOS, NO DILIGENCIARANALISIS;B9)"</formula>
    </cfRule>
  </conditionalFormatting>
  <conditionalFormatting sqref="U10:U88">
    <cfRule type="expression" dxfId="100" priority="56">
      <formula>"(B9=""YA CUENTA CON PONDERACION DE RIESGOS, NO DILIGENCIARANALISIS;B9)"</formula>
    </cfRule>
  </conditionalFormatting>
  <conditionalFormatting sqref="V10:V88">
    <cfRule type="expression" dxfId="99" priority="55">
      <formula>"(B9=""YA CUENTA CON PONDERACION DE RIESGOS, NO DILIGENCIARANALISIS;B9)"</formula>
    </cfRule>
  </conditionalFormatting>
  <conditionalFormatting sqref="C18:O18">
    <cfRule type="expression" dxfId="98" priority="42">
      <formula>"(B9=""YA CUENTA CON PONDERACION DE RIESGOS, NO DILIGENCIARANALISIS;B9)"</formula>
    </cfRule>
  </conditionalFormatting>
  <conditionalFormatting sqref="D9:O9">
    <cfRule type="expression" dxfId="97" priority="53">
      <formula>"(B9=""YA CUENTA CON PONDERACION DE RIESGOS, NO DILIGENCIARANALISIS;B9)"</formula>
    </cfRule>
  </conditionalFormatting>
  <conditionalFormatting sqref="C16:O16">
    <cfRule type="expression" dxfId="96" priority="52">
      <formula>"(B9=""YA CUENTA CON PONDERACION DE RIESGOS, NO DILIGENCIARANALISIS;B9)"</formula>
    </cfRule>
  </conditionalFormatting>
  <conditionalFormatting sqref="C17:O17">
    <cfRule type="expression" dxfId="95" priority="51">
      <formula>"(B9=""YA CUENTA CON PONDERACION DE RIESGOS, NO DILIGENCIARANALISIS;B9)"</formula>
    </cfRule>
  </conditionalFormatting>
  <conditionalFormatting sqref="C22:O22">
    <cfRule type="expression" dxfId="94" priority="50">
      <formula>"(B9=""YA CUENTA CON PONDERACION DE RIESGOS, NO DILIGENCIARANALISIS;B9)"</formula>
    </cfRule>
  </conditionalFormatting>
  <conditionalFormatting sqref="C19:O19">
    <cfRule type="expression" dxfId="93" priority="49">
      <formula>"(B9=""YA CUENTA CON PONDERACION DE RIESGOS, NO DILIGENCIARANALISIS;B9)"</formula>
    </cfRule>
  </conditionalFormatting>
  <conditionalFormatting sqref="C20:O20">
    <cfRule type="expression" dxfId="92" priority="48">
      <formula>"(B9=""YA CUENTA CON PONDERACION DE RIESGOS, NO DILIGENCIARANALISIS;B9)"</formula>
    </cfRule>
  </conditionalFormatting>
  <conditionalFormatting sqref="C21:O21">
    <cfRule type="expression" dxfId="91" priority="47">
      <formula>"(B9=""YA CUENTA CON PONDERACION DE RIESGOS, NO DILIGENCIARANALISIS;B9)"</formula>
    </cfRule>
  </conditionalFormatting>
  <conditionalFormatting sqref="C23:O23">
    <cfRule type="expression" dxfId="90" priority="46">
      <formula>"(B9=""YA CUENTA CON PONDERACION DE RIESGOS, NO DILIGENCIARANALISIS;B9)"</formula>
    </cfRule>
  </conditionalFormatting>
  <conditionalFormatting sqref="C19:O19">
    <cfRule type="expression" dxfId="89" priority="17">
      <formula>"(B9=""YA CUENTA CON PONDERACION DE RIESGOS, NO DILIGENCIARANALISIS;B9)"</formula>
    </cfRule>
  </conditionalFormatting>
  <conditionalFormatting sqref="C24:O24">
    <cfRule type="expression" dxfId="88" priority="44">
      <formula>"(B9=""YA CUENTA CON PONDERACION DE RIESGOS, NO DILIGENCIARANALISIS;B9)"</formula>
    </cfRule>
  </conditionalFormatting>
  <conditionalFormatting sqref="C25:O25">
    <cfRule type="expression" dxfId="87" priority="43">
      <formula>"(B9=""YA CUENTA CON PONDERACION DE RIESGOS, NO DILIGENCIARANALISIS;B9)"</formula>
    </cfRule>
  </conditionalFormatting>
  <conditionalFormatting sqref="C21:O21">
    <cfRule type="expression" dxfId="86" priority="32">
      <formula>"(B9=""YA CUENTA CON PONDERACION DE RIESGOS, NO DILIGENCIARANALISIS;B9)"</formula>
    </cfRule>
  </conditionalFormatting>
  <conditionalFormatting sqref="C20:O20">
    <cfRule type="expression" dxfId="85" priority="40">
      <formula>"(B9=""YA CUENTA CON PONDERACION DE RIESGOS, NO DILIGENCIARANALISIS;B9)"</formula>
    </cfRule>
  </conditionalFormatting>
  <conditionalFormatting sqref="C25:O25">
    <cfRule type="expression" dxfId="84" priority="39">
      <formula>"(B9=""YA CUENTA CON PONDERACION DE RIESGOS, NO DILIGENCIARANALISIS;B9)"</formula>
    </cfRule>
  </conditionalFormatting>
  <conditionalFormatting sqref="C22:O22">
    <cfRule type="expression" dxfId="83" priority="38">
      <formula>"(B9=""YA CUENTA CON PONDERACION DE RIESGOS, NO DILIGENCIARANALISIS;B9)"</formula>
    </cfRule>
  </conditionalFormatting>
  <conditionalFormatting sqref="C23:O23">
    <cfRule type="expression" dxfId="82" priority="37">
      <formula>"(B9=""YA CUENTA CON PONDERACION DE RIESGOS, NO DILIGENCIARANALISIS;B9)"</formula>
    </cfRule>
  </conditionalFormatting>
  <conditionalFormatting sqref="C24:O24">
    <cfRule type="expression" dxfId="81" priority="36">
      <formula>"(B9=""YA CUENTA CON PONDERACION DE RIESGOS, NO DILIGENCIARANALISIS;B9)"</formula>
    </cfRule>
  </conditionalFormatting>
  <conditionalFormatting sqref="C26:O26">
    <cfRule type="expression" dxfId="80" priority="35">
      <formula>"(B9=""YA CUENTA CON PONDERACION DE RIESGOS, NO DILIGENCIARANALISIS;B9)"</formula>
    </cfRule>
  </conditionalFormatting>
  <conditionalFormatting sqref="C27:O27">
    <cfRule type="expression" dxfId="79" priority="34">
      <formula>"(B9=""YA CUENTA CON PONDERACION DE RIESGOS, NO DILIGENCIARANALISIS;B9)"</formula>
    </cfRule>
  </conditionalFormatting>
  <conditionalFormatting sqref="C28:O28">
    <cfRule type="expression" dxfId="78" priority="33">
      <formula>"(B9=""YA CUENTA CON PONDERACION DE RIESGOS, NO DILIGENCIARANALISIS;B9)"</formula>
    </cfRule>
  </conditionalFormatting>
  <conditionalFormatting sqref="C22:O22">
    <cfRule type="expression" dxfId="77" priority="31">
      <formula>"(B9=""YA CUENTA CON PONDERACION DE RIESGOS, NO DILIGENCIARANALISIS;B9)"</formula>
    </cfRule>
  </conditionalFormatting>
  <conditionalFormatting sqref="C23:O23">
    <cfRule type="expression" dxfId="76" priority="30">
      <formula>"(B9=""YA CUENTA CON PONDERACION DE RIESGOS, NO DILIGENCIARANALISIS;B9)"</formula>
    </cfRule>
  </conditionalFormatting>
  <conditionalFormatting sqref="C23:O23">
    <cfRule type="expression" dxfId="75" priority="29">
      <formula>"(B9=""YA CUENTA CON PONDERACION DE RIESGOS, NO DILIGENCIARANALISIS;B9)"</formula>
    </cfRule>
  </conditionalFormatting>
  <conditionalFormatting sqref="C22:O22">
    <cfRule type="expression" dxfId="74" priority="28">
      <formula>"(B9=""YA CUENTA CON PONDERACION DE RIESGOS, NO DILIGENCIARANALISIS;B9)"</formula>
    </cfRule>
  </conditionalFormatting>
  <conditionalFormatting sqref="C24:O24">
    <cfRule type="expression" dxfId="73" priority="27">
      <formula>"(B9=""YA CUENTA CON PONDERACION DE RIESGOS, NO DILIGENCIARANALISIS;B9)"</formula>
    </cfRule>
  </conditionalFormatting>
  <conditionalFormatting sqref="C25:O25">
    <cfRule type="expression" dxfId="72" priority="26">
      <formula>"(B9=""YA CUENTA CON PONDERACION DE RIESGOS, NO DILIGENCIARANALISIS;B9)"</formula>
    </cfRule>
  </conditionalFormatting>
  <conditionalFormatting sqref="C26:O26">
    <cfRule type="expression" dxfId="71" priority="25">
      <formula>"(B9=""YA CUENTA CON PONDERACION DE RIESGOS, NO DILIGENCIARANALISIS;B9)"</formula>
    </cfRule>
  </conditionalFormatting>
  <conditionalFormatting sqref="C13:O13">
    <cfRule type="expression" dxfId="70" priority="24">
      <formula>"(B9=""YA CUENTA CON PONDERACION DE RIESGOS, NO DILIGENCIARANALISIS;B9)"</formula>
    </cfRule>
  </conditionalFormatting>
  <conditionalFormatting sqref="C21:O21">
    <cfRule type="expression" dxfId="69" priority="1">
      <formula>"(B9=""YA CUENTA CON PONDERACION DE RIESGOS, NO DILIGENCIARANALISIS;B9)"</formula>
    </cfRule>
  </conditionalFormatting>
  <conditionalFormatting sqref="C19:O22">
    <cfRule type="expression" dxfId="68" priority="23">
      <formula>"(B9=""YA CUENTA CON PONDERACION DE RIESGOS, NO DILIGENCIARANALISIS;B9)"</formula>
    </cfRule>
  </conditionalFormatting>
  <conditionalFormatting sqref="C17:O17">
    <cfRule type="expression" dxfId="67" priority="22">
      <formula>"(B9=""YA CUENTA CON PONDERACION DE RIESGOS, NO DILIGENCIARANALISIS;B9)"</formula>
    </cfRule>
  </conditionalFormatting>
  <conditionalFormatting sqref="C14:O14">
    <cfRule type="expression" dxfId="66" priority="21">
      <formula>"(B9=""YA CUENTA CON PONDERACION DE RIESGOS, NO DILIGENCIARANALISIS;B9)"</formula>
    </cfRule>
  </conditionalFormatting>
  <conditionalFormatting sqref="C15:O15">
    <cfRule type="expression" dxfId="65" priority="20">
      <formula>"(B9=""YA CUENTA CON PONDERACION DE RIESGOS, NO DILIGENCIARANALISIS;B9)"</formula>
    </cfRule>
  </conditionalFormatting>
  <conditionalFormatting sqref="C16:O16">
    <cfRule type="expression" dxfId="64" priority="19">
      <formula>"(B9=""YA CUENTA CON PONDERACION DE RIESGOS, NO DILIGENCIARANALISIS;B9)"</formula>
    </cfRule>
  </conditionalFormatting>
  <conditionalFormatting sqref="C18:O18">
    <cfRule type="expression" dxfId="63" priority="18">
      <formula>"(B9=""YA CUENTA CON PONDERACION DE RIESGOS, NO DILIGENCIARANALISIS;B9)"</formula>
    </cfRule>
  </conditionalFormatting>
  <conditionalFormatting sqref="C20:O20">
    <cfRule type="expression" dxfId="62" priority="16">
      <formula>"(B9=""YA CUENTA CON PONDERACION DE RIESGOS, NO DILIGENCIARANALISIS;B9)"</formula>
    </cfRule>
  </conditionalFormatting>
  <conditionalFormatting sqref="C16:O16">
    <cfRule type="expression" dxfId="61" priority="8">
      <formula>"(B9=""YA CUENTA CON PONDERACION DE RIESGOS, NO DILIGENCIARANALISIS;B9)"</formula>
    </cfRule>
  </conditionalFormatting>
  <conditionalFormatting sqref="C15:O15">
    <cfRule type="expression" dxfId="60" priority="15">
      <formula>"(B9=""YA CUENTA CON PONDERACION DE RIESGOS, NO DILIGENCIARANALISIS;B9)"</formula>
    </cfRule>
  </conditionalFormatting>
  <conditionalFormatting sqref="C20:O20">
    <cfRule type="expression" dxfId="59" priority="14">
      <formula>"(B9=""YA CUENTA CON PONDERACION DE RIESGOS, NO DILIGENCIARANALISIS;B9)"</formula>
    </cfRule>
  </conditionalFormatting>
  <conditionalFormatting sqref="C17:O17">
    <cfRule type="expression" dxfId="58" priority="13">
      <formula>"(B9=""YA CUENTA CON PONDERACION DE RIESGOS, NO DILIGENCIARANALISIS;B9)"</formula>
    </cfRule>
  </conditionalFormatting>
  <conditionalFormatting sqref="C18:O18">
    <cfRule type="expression" dxfId="57" priority="12">
      <formula>"(B9=""YA CUENTA CON PONDERACION DE RIESGOS, NO DILIGENCIARANALISIS;B9)"</formula>
    </cfRule>
  </conditionalFormatting>
  <conditionalFormatting sqref="C19:O19">
    <cfRule type="expression" dxfId="56" priority="11">
      <formula>"(B9=""YA CUENTA CON PONDERACION DE RIESGOS, NO DILIGENCIARANALISIS;B9)"</formula>
    </cfRule>
  </conditionalFormatting>
  <conditionalFormatting sqref="C21:O21">
    <cfRule type="expression" dxfId="55" priority="10">
      <formula>"(B9=""YA CUENTA CON PONDERACION DE RIESGOS, NO DILIGENCIARANALISIS;B9)"</formula>
    </cfRule>
  </conditionalFormatting>
  <conditionalFormatting sqref="C22:O22">
    <cfRule type="expression" dxfId="54" priority="9">
      <formula>"(B9=""YA CUENTA CON PONDERACION DE RIESGOS, NO DILIGENCIARANALISIS;B9)"</formula>
    </cfRule>
  </conditionalFormatting>
  <conditionalFormatting sqref="C17:O17">
    <cfRule type="expression" dxfId="53" priority="7">
      <formula>"(B9=""YA CUENTA CON PONDERACION DE RIESGOS, NO DILIGENCIARANALISIS;B9)"</formula>
    </cfRule>
  </conditionalFormatting>
  <conditionalFormatting sqref="C18:O18">
    <cfRule type="expression" dxfId="52" priority="6">
      <formula>"(B9=""YA CUENTA CON PONDERACION DE RIESGOS, NO DILIGENCIARANALISIS;B9)"</formula>
    </cfRule>
  </conditionalFormatting>
  <conditionalFormatting sqref="C18:O18">
    <cfRule type="expression" dxfId="51" priority="5">
      <formula>"(B9=""YA CUENTA CON PONDERACION DE RIESGOS, NO DILIGENCIARANALISIS;B9)"</formula>
    </cfRule>
  </conditionalFormatting>
  <conditionalFormatting sqref="C17:O17">
    <cfRule type="expression" dxfId="50" priority="4">
      <formula>"(B9=""YA CUENTA CON PONDERACION DE RIESGOS, NO DILIGENCIARANALISIS;B9)"</formula>
    </cfRule>
  </conditionalFormatting>
  <conditionalFormatting sqref="C19:O19">
    <cfRule type="expression" dxfId="49" priority="3">
      <formula>"(B9=""YA CUENTA CON PONDERACION DE RIESGOS, NO DILIGENCIARANALISIS;B9)"</formula>
    </cfRule>
  </conditionalFormatting>
  <conditionalFormatting sqref="C20:O20">
    <cfRule type="expression" dxfId="48" priority="2">
      <formula>"(B9=""YA CUENTA CON PONDERACION DE RIESGOS, NO DILIGENCIARANALISIS;B9)"</formula>
    </cfRule>
  </conditionalFormatting>
  <dataValidations count="4">
    <dataValidation type="list" allowBlank="1" showInputMessage="1" showErrorMessage="1" sqref="O9:O88">
      <formula1>"Critica no recuperable, Critica con recuperación parcial, Falta de oportunidad para atención usuarios, Falta de oportunidad para gestión de los procesos"</formula1>
    </dataValidation>
    <dataValidation type="list" allowBlank="1" showInputMessage="1" showErrorMessage="1" sqref="K9:K88">
      <formula1>"Hechos de Corrupción, Incumplimiento de servicios, Retrasos en los servicios, Quejas por incumplimientos o retrasos"</formula1>
    </dataValidation>
    <dataValidation type="list" allowBlank="1" showInputMessage="1" showErrorMessage="1" sqref="E9:E88">
      <formula1>"3 días,2 días, 1 día, Varias horas"</formula1>
    </dataValidation>
    <dataValidation type="list" allowBlank="1" showInputMessage="1" showErrorMessage="1" sqref="I9:I88 G9:G88 C9:C88 M9:M88">
      <formula1>$A$97:$A$100</formula1>
    </dataValidation>
  </dataValidation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19</vt:i4>
      </vt:variant>
    </vt:vector>
  </HeadingPairs>
  <TitlesOfParts>
    <vt:vector size="35" baseType="lpstr">
      <vt:lpstr>MENU CAJA DE HERRAMIENTAS</vt:lpstr>
      <vt:lpstr>Resumen PAA 2020</vt:lpstr>
      <vt:lpstr>Organigrama</vt:lpstr>
      <vt:lpstr>GLOSARIO</vt:lpstr>
      <vt:lpstr>MIPPA 1</vt:lpstr>
      <vt:lpstr>CONOCIMIENTO ENT</vt:lpstr>
      <vt:lpstr>PRIORIZACIÓN (2)</vt:lpstr>
      <vt:lpstr>MIPPA 1.1</vt:lpstr>
      <vt:lpstr>ANALISIS OCI</vt:lpstr>
      <vt:lpstr>MET CALCULO RECURSOS</vt:lpstr>
      <vt:lpstr>1. Horas requeridas PAAI</vt:lpstr>
      <vt:lpstr>MIPPA 2</vt:lpstr>
      <vt:lpstr>2. Días -horas hábiles x vig</vt:lpstr>
      <vt:lpstr>Adquisiciones</vt:lpstr>
      <vt:lpstr>PRIORIZACIÓN</vt:lpstr>
      <vt:lpstr>PAA OCI  </vt:lpstr>
      <vt:lpstr>GLOSARIO!_ftn1</vt:lpstr>
      <vt:lpstr>GLOSARIO!_ftn2</vt:lpstr>
      <vt:lpstr>GLOSARIO!_ftn3</vt:lpstr>
      <vt:lpstr>GLOSARIO!_ftn4</vt:lpstr>
      <vt:lpstr>GLOSARIO!_ftn5</vt:lpstr>
      <vt:lpstr>GLOSARIO!_ftn6</vt:lpstr>
      <vt:lpstr>GLOSARIO!_ftn7</vt:lpstr>
      <vt:lpstr>GLOSARIO!_ftn8</vt:lpstr>
      <vt:lpstr>GLOSARIO!_ftnref1</vt:lpstr>
      <vt:lpstr>GLOSARIO!_ftnref2</vt:lpstr>
      <vt:lpstr>GLOSARIO!_ftnref3</vt:lpstr>
      <vt:lpstr>GLOSARIO!_ftnref4</vt:lpstr>
      <vt:lpstr>GLOSARIO!_ftnref5</vt:lpstr>
      <vt:lpstr>GLOSARIO!_ftnref6</vt:lpstr>
      <vt:lpstr>GLOSARIO!_ftnref7</vt:lpstr>
      <vt:lpstr>GLOSARIO!_ftnref8</vt:lpstr>
      <vt:lpstr>'PAA OCI  '!Área_de_impresión</vt:lpstr>
      <vt:lpstr>DOCUMENTO_RELACIONADO</vt:lpstr>
      <vt:lpstr>'PAA OCI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AVELLA</dc:creator>
  <cp:lastModifiedBy>EXITO</cp:lastModifiedBy>
  <dcterms:created xsi:type="dcterms:W3CDTF">2019-03-03T03:38:53Z</dcterms:created>
  <dcterms:modified xsi:type="dcterms:W3CDTF">2022-01-18T02:23:21Z</dcterms:modified>
</cp:coreProperties>
</file>