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hidePivotFieldList="1" defaultThemeVersion="124226"/>
  <mc:AlternateContent xmlns:mc="http://schemas.openxmlformats.org/markup-compatibility/2006">
    <mc:Choice Requires="x15">
      <x15ac:absPath xmlns:x15ac="http://schemas.microsoft.com/office/spreadsheetml/2010/11/ac" url="C:\Users\user.user-PC\Desktop\"/>
    </mc:Choice>
  </mc:AlternateContent>
  <xr:revisionPtr revIDLastSave="0" documentId="8_{6B5101E5-E9DD-4234-A436-3E8BABDFE759}" xr6:coauthVersionLast="47" xr6:coauthVersionMax="47" xr10:uidLastSave="{00000000-0000-0000-0000-000000000000}"/>
  <bookViews>
    <workbookView xWindow="-120" yWindow="-120" windowWidth="29040" windowHeight="15840" tabRatio="882" activeTab="2" xr2:uid="{00000000-000D-0000-FFFF-FFFF00000000}"/>
  </bookViews>
  <sheets>
    <sheet name="Intructivo" sheetId="20" r:id="rId1"/>
    <sheet name="Matriz Calor Residual" sheetId="19" r:id="rId2"/>
    <sheet name="Mapa final" sheetId="1" r:id="rId3"/>
    <sheet name="Matriz Calor Inherente" sheetId="18" r:id="rId4"/>
    <sheet name="Tabla probabilidad" sheetId="12" r:id="rId5"/>
    <sheet name="Tabla Impacto" sheetId="13" r:id="rId6"/>
    <sheet name="Tabla Valoración controles" sheetId="15" r:id="rId7"/>
    <sheet name="Opciones Tratamiento" sheetId="16" state="hidden" r:id="rId8"/>
    <sheet name="Hoja1" sheetId="11" state="hidden" r:id="rId9"/>
  </sheets>
  <externalReferences>
    <externalReference r:id="rId10"/>
  </externalReferences>
  <definedNames>
    <definedName name="_xlnm._FilterDatabase" localSheetId="2" hidden="1">'Mapa final'!$A$6:$CO$153</definedName>
  </definedNames>
  <calcPr calcId="191029"/>
  <pivotCaches>
    <pivotCache cacheId="0" r:id="rId11"/>
  </pivotCaches>
</workbook>
</file>

<file path=xl/calcChain.xml><?xml version="1.0" encoding="utf-8"?>
<calcChain xmlns="http://schemas.openxmlformats.org/spreadsheetml/2006/main">
  <c r="AO154" i="1" l="1"/>
  <c r="AR154" i="1" l="1"/>
  <c r="T142" i="1" l="1"/>
  <c r="T139" i="1"/>
  <c r="K70" i="1" l="1"/>
  <c r="L70" i="1" s="1"/>
  <c r="W70" i="1"/>
  <c r="T70" i="1"/>
  <c r="AA70" i="1" l="1"/>
  <c r="X245" i="19"/>
  <c r="X238" i="19"/>
  <c r="W238" i="19"/>
  <c r="X237" i="19"/>
  <c r="X236" i="19"/>
  <c r="X232" i="19"/>
  <c r="W232" i="19"/>
  <c r="W227" i="19"/>
  <c r="X226" i="19"/>
  <c r="X218" i="19"/>
  <c r="W218" i="19"/>
  <c r="X209" i="19"/>
  <c r="W209" i="19"/>
  <c r="X195" i="19"/>
  <c r="X188" i="19"/>
  <c r="W188" i="19"/>
  <c r="X187" i="19"/>
  <c r="X186" i="19"/>
  <c r="X182" i="19"/>
  <c r="W182" i="19"/>
  <c r="W177" i="19"/>
  <c r="X176" i="19"/>
  <c r="X168" i="19"/>
  <c r="W168" i="19"/>
  <c r="X159" i="19"/>
  <c r="W159" i="19"/>
  <c r="X145" i="19"/>
  <c r="X138" i="19"/>
  <c r="W138" i="19"/>
  <c r="X137" i="19"/>
  <c r="X136" i="19"/>
  <c r="X132" i="19"/>
  <c r="W132" i="19"/>
  <c r="W127" i="19"/>
  <c r="X126" i="19"/>
  <c r="X118" i="19"/>
  <c r="W118" i="19"/>
  <c r="X109" i="19"/>
  <c r="W109" i="19"/>
  <c r="X95" i="19"/>
  <c r="X88" i="19"/>
  <c r="W88" i="19"/>
  <c r="X87" i="19"/>
  <c r="X86" i="19"/>
  <c r="X82" i="19"/>
  <c r="W82" i="19"/>
  <c r="W77" i="19"/>
  <c r="X76" i="19"/>
  <c r="X68" i="19"/>
  <c r="W68" i="19"/>
  <c r="X59" i="19"/>
  <c r="W59" i="19"/>
  <c r="X45" i="19"/>
  <c r="X38" i="19"/>
  <c r="W38" i="19"/>
  <c r="X37" i="19"/>
  <c r="X36" i="19"/>
  <c r="X32" i="19"/>
  <c r="W32" i="19"/>
  <c r="W27" i="19"/>
  <c r="X26" i="19"/>
  <c r="X18" i="19"/>
  <c r="W18" i="19"/>
  <c r="X9" i="19"/>
  <c r="W9" i="19"/>
  <c r="U245" i="19"/>
  <c r="U238" i="19"/>
  <c r="T238" i="19"/>
  <c r="U237" i="19"/>
  <c r="U236" i="19"/>
  <c r="U232" i="19"/>
  <c r="T232" i="19"/>
  <c r="T227" i="19"/>
  <c r="U226" i="19"/>
  <c r="U218" i="19"/>
  <c r="T218" i="19"/>
  <c r="U209" i="19"/>
  <c r="T209" i="19"/>
  <c r="U195" i="19"/>
  <c r="U188" i="19"/>
  <c r="T188" i="19"/>
  <c r="U187" i="19"/>
  <c r="U186" i="19"/>
  <c r="U182" i="19"/>
  <c r="T182" i="19"/>
  <c r="T177" i="19"/>
  <c r="U176" i="19"/>
  <c r="U168" i="19"/>
  <c r="T168" i="19"/>
  <c r="U159" i="19"/>
  <c r="T159" i="19"/>
  <c r="U145" i="19"/>
  <c r="U138" i="19"/>
  <c r="T138" i="19"/>
  <c r="U137" i="19"/>
  <c r="U136" i="19"/>
  <c r="U132" i="19"/>
  <c r="T132" i="19"/>
  <c r="T127" i="19"/>
  <c r="U126" i="19"/>
  <c r="U118" i="19"/>
  <c r="T118" i="19"/>
  <c r="U109" i="19"/>
  <c r="T109" i="19"/>
  <c r="U95" i="19"/>
  <c r="U88" i="19"/>
  <c r="T88" i="19"/>
  <c r="U87" i="19"/>
  <c r="U86" i="19"/>
  <c r="U82" i="19"/>
  <c r="T82" i="19"/>
  <c r="T77" i="19"/>
  <c r="U76" i="19"/>
  <c r="U68" i="19"/>
  <c r="T68" i="19"/>
  <c r="U59" i="19"/>
  <c r="T59" i="19"/>
  <c r="U45" i="19"/>
  <c r="U38" i="19"/>
  <c r="T38" i="19"/>
  <c r="U37" i="19"/>
  <c r="U36" i="19"/>
  <c r="U32" i="19"/>
  <c r="T32" i="19"/>
  <c r="T27" i="19"/>
  <c r="U26" i="19"/>
  <c r="U18" i="19"/>
  <c r="T18" i="19"/>
  <c r="U9" i="19"/>
  <c r="T9" i="19"/>
  <c r="R245" i="19"/>
  <c r="R238" i="19"/>
  <c r="Q238" i="19"/>
  <c r="R237" i="19"/>
  <c r="R236" i="19"/>
  <c r="R232" i="19"/>
  <c r="Q232" i="19"/>
  <c r="Q227" i="19"/>
  <c r="R226" i="19"/>
  <c r="R218" i="19"/>
  <c r="Q218" i="19"/>
  <c r="R209" i="19"/>
  <c r="Q209" i="19"/>
  <c r="R195" i="19"/>
  <c r="R188" i="19"/>
  <c r="Q188" i="19"/>
  <c r="R187" i="19"/>
  <c r="R186" i="19"/>
  <c r="R182" i="19"/>
  <c r="Q182" i="19"/>
  <c r="Q177" i="19"/>
  <c r="R176" i="19"/>
  <c r="R168" i="19"/>
  <c r="Q168" i="19"/>
  <c r="R159" i="19"/>
  <c r="Q159" i="19"/>
  <c r="R145" i="19"/>
  <c r="R138" i="19"/>
  <c r="Q138" i="19"/>
  <c r="R137" i="19"/>
  <c r="R136" i="19"/>
  <c r="R132" i="19"/>
  <c r="Q132" i="19"/>
  <c r="Q127" i="19"/>
  <c r="R126" i="19"/>
  <c r="R118" i="19"/>
  <c r="Q118" i="19"/>
  <c r="R109" i="19"/>
  <c r="Q109" i="19"/>
  <c r="R95" i="19"/>
  <c r="R88" i="19"/>
  <c r="Q88" i="19"/>
  <c r="R87" i="19"/>
  <c r="R86" i="19"/>
  <c r="R82" i="19"/>
  <c r="Q82" i="19"/>
  <c r="Q77" i="19"/>
  <c r="R76" i="19"/>
  <c r="R68" i="19"/>
  <c r="Q68" i="19"/>
  <c r="R59" i="19"/>
  <c r="Q59" i="19"/>
  <c r="R45" i="19"/>
  <c r="R38" i="19"/>
  <c r="Q38" i="19"/>
  <c r="R37" i="19"/>
  <c r="R36" i="19"/>
  <c r="R32" i="19"/>
  <c r="Q32" i="19"/>
  <c r="Q27" i="19"/>
  <c r="R26" i="19"/>
  <c r="R18" i="19"/>
  <c r="Q18" i="19"/>
  <c r="R9" i="19"/>
  <c r="Q9" i="19"/>
  <c r="O245" i="19"/>
  <c r="O238" i="19"/>
  <c r="N238" i="19"/>
  <c r="O237" i="19"/>
  <c r="O236" i="19"/>
  <c r="O232" i="19"/>
  <c r="N232" i="19"/>
  <c r="N227" i="19"/>
  <c r="O226" i="19"/>
  <c r="O218" i="19"/>
  <c r="N218" i="19"/>
  <c r="O209" i="19"/>
  <c r="N209" i="19"/>
  <c r="O195" i="19"/>
  <c r="O188" i="19"/>
  <c r="N188" i="19"/>
  <c r="O187" i="19"/>
  <c r="O186" i="19"/>
  <c r="O182" i="19"/>
  <c r="N182" i="19"/>
  <c r="N177" i="19"/>
  <c r="O176" i="19"/>
  <c r="O168" i="19"/>
  <c r="N168" i="19"/>
  <c r="O159" i="19"/>
  <c r="N159" i="19"/>
  <c r="O145" i="19"/>
  <c r="O138" i="19"/>
  <c r="N138" i="19"/>
  <c r="O137" i="19"/>
  <c r="O136" i="19"/>
  <c r="O132" i="19"/>
  <c r="N132" i="19"/>
  <c r="N127" i="19"/>
  <c r="O126" i="19"/>
  <c r="O118" i="19"/>
  <c r="N118" i="19"/>
  <c r="O109" i="19"/>
  <c r="N109" i="19"/>
  <c r="O95" i="19"/>
  <c r="O88" i="19"/>
  <c r="N88" i="19"/>
  <c r="O87" i="19"/>
  <c r="O86" i="19"/>
  <c r="O82" i="19"/>
  <c r="N82" i="19"/>
  <c r="N77" i="19"/>
  <c r="O76" i="19"/>
  <c r="O68" i="19"/>
  <c r="N68" i="19"/>
  <c r="O59" i="19"/>
  <c r="N59" i="19"/>
  <c r="O45" i="19"/>
  <c r="O38" i="19"/>
  <c r="N38" i="19"/>
  <c r="O37" i="19"/>
  <c r="O36" i="19"/>
  <c r="O32" i="19"/>
  <c r="N32" i="19"/>
  <c r="N27" i="19"/>
  <c r="O26" i="19"/>
  <c r="O18" i="19"/>
  <c r="N18" i="19"/>
  <c r="O9" i="19"/>
  <c r="N9" i="19"/>
  <c r="L95" i="19"/>
  <c r="L88" i="19"/>
  <c r="K88" i="19"/>
  <c r="L87" i="19"/>
  <c r="L86" i="19"/>
  <c r="L82" i="19"/>
  <c r="K82" i="19"/>
  <c r="K77" i="19"/>
  <c r="L76" i="19"/>
  <c r="L68" i="19"/>
  <c r="K68" i="19"/>
  <c r="L59" i="19"/>
  <c r="K59" i="19"/>
  <c r="L145" i="19"/>
  <c r="L138" i="19"/>
  <c r="K138" i="19"/>
  <c r="L137" i="19"/>
  <c r="L136" i="19"/>
  <c r="L132" i="19"/>
  <c r="K132" i="19"/>
  <c r="K127" i="19"/>
  <c r="L126" i="19"/>
  <c r="L118" i="19"/>
  <c r="K118" i="19"/>
  <c r="L109" i="19"/>
  <c r="K109" i="19"/>
  <c r="L195" i="19"/>
  <c r="L188" i="19"/>
  <c r="K188" i="19"/>
  <c r="L187" i="19"/>
  <c r="L186" i="19"/>
  <c r="L182" i="19"/>
  <c r="K182" i="19"/>
  <c r="K177" i="19"/>
  <c r="L176" i="19"/>
  <c r="L168" i="19"/>
  <c r="K168" i="19"/>
  <c r="L159" i="19"/>
  <c r="K159" i="19"/>
  <c r="L245" i="19"/>
  <c r="L238" i="19"/>
  <c r="K238" i="19"/>
  <c r="L237" i="19"/>
  <c r="L236" i="19"/>
  <c r="L232" i="19"/>
  <c r="K232" i="19"/>
  <c r="K227" i="19"/>
  <c r="L226" i="19"/>
  <c r="L218" i="19"/>
  <c r="K218" i="19"/>
  <c r="L209" i="19"/>
  <c r="K209" i="19"/>
  <c r="L45" i="19"/>
  <c r="L38" i="19"/>
  <c r="K38" i="19"/>
  <c r="L37" i="19"/>
  <c r="K139" i="1"/>
  <c r="W139" i="1"/>
  <c r="T140" i="1"/>
  <c r="AA140" i="1" s="1"/>
  <c r="W140" i="1"/>
  <c r="T141" i="1"/>
  <c r="AA141" i="1" s="1"/>
  <c r="W141" i="1"/>
  <c r="K142" i="1"/>
  <c r="W142" i="1"/>
  <c r="T143" i="1"/>
  <c r="AA143" i="1" s="1"/>
  <c r="W143" i="1"/>
  <c r="T144" i="1"/>
  <c r="AA144" i="1" s="1"/>
  <c r="AC144" i="1" s="1"/>
  <c r="W144" i="1"/>
  <c r="K145" i="1"/>
  <c r="T145" i="1"/>
  <c r="AA145" i="1" s="1"/>
  <c r="W145" i="1"/>
  <c r="T146" i="1"/>
  <c r="AA146" i="1" s="1"/>
  <c r="W146" i="1"/>
  <c r="T147" i="1"/>
  <c r="AA147" i="1" s="1"/>
  <c r="W147" i="1"/>
  <c r="K148" i="1"/>
  <c r="L148" i="1" s="1"/>
  <c r="T148" i="1"/>
  <c r="AE148" i="1" s="1"/>
  <c r="AD148" i="1" s="1"/>
  <c r="W148" i="1"/>
  <c r="T149" i="1"/>
  <c r="AA149" i="1" s="1"/>
  <c r="W149" i="1"/>
  <c r="T150" i="1"/>
  <c r="AA150" i="1" s="1"/>
  <c r="W150" i="1"/>
  <c r="K151" i="1"/>
  <c r="T151" i="1"/>
  <c r="AA151" i="1" s="1"/>
  <c r="W151" i="1"/>
  <c r="T152" i="1"/>
  <c r="AA152" i="1" s="1"/>
  <c r="W152" i="1"/>
  <c r="T153" i="1"/>
  <c r="AA153" i="1" s="1"/>
  <c r="W153" i="1"/>
  <c r="W100" i="1"/>
  <c r="T100" i="1"/>
  <c r="N100" i="1"/>
  <c r="O100" i="1" s="1"/>
  <c r="P100" i="1" s="1"/>
  <c r="K100" i="1"/>
  <c r="AE149" i="1" l="1"/>
  <c r="AD149" i="1" s="1"/>
  <c r="AA148" i="1"/>
  <c r="AC148" i="1" s="1"/>
  <c r="AE144" i="1"/>
  <c r="AD144" i="1" s="1"/>
  <c r="AB144" i="1"/>
  <c r="AE143" i="1"/>
  <c r="AD143" i="1" s="1"/>
  <c r="AC70" i="1"/>
  <c r="AB70" i="1"/>
  <c r="AC149" i="1"/>
  <c r="AB149" i="1"/>
  <c r="AC143" i="1"/>
  <c r="AB143" i="1"/>
  <c r="AC150" i="1"/>
  <c r="AB150" i="1"/>
  <c r="L139" i="1"/>
  <c r="AA139" i="1" s="1"/>
  <c r="AE150" i="1"/>
  <c r="AD150" i="1" s="1"/>
  <c r="L145" i="1"/>
  <c r="L151" i="1"/>
  <c r="L142" i="1"/>
  <c r="AA142" i="1" s="1"/>
  <c r="BB78" i="18"/>
  <c r="N38" i="18"/>
  <c r="N78" i="18"/>
  <c r="X98" i="18"/>
  <c r="AH78" i="18"/>
  <c r="X38" i="18"/>
  <c r="AH58" i="18"/>
  <c r="AH98" i="18"/>
  <c r="AR78" i="18"/>
  <c r="BB98" i="18"/>
  <c r="X18" i="18"/>
  <c r="X58" i="18"/>
  <c r="AH38" i="18"/>
  <c r="AR18" i="18"/>
  <c r="AR58" i="18"/>
  <c r="AR98" i="18"/>
  <c r="BB38" i="18"/>
  <c r="N18" i="18"/>
  <c r="N58" i="18"/>
  <c r="N98" i="18"/>
  <c r="X78" i="18"/>
  <c r="AH18" i="18"/>
  <c r="AR38" i="18"/>
  <c r="BB18" i="18"/>
  <c r="BB58" i="18"/>
  <c r="AB152" i="1"/>
  <c r="AC152" i="1"/>
  <c r="AB141" i="1"/>
  <c r="AC141" i="1"/>
  <c r="AB147" i="1"/>
  <c r="AC147" i="1"/>
  <c r="AB145" i="1"/>
  <c r="AC145" i="1"/>
  <c r="AB153" i="1"/>
  <c r="AC153" i="1"/>
  <c r="AB151" i="1"/>
  <c r="AC151" i="1"/>
  <c r="AB140" i="1"/>
  <c r="AC140" i="1"/>
  <c r="AB146" i="1"/>
  <c r="AC146" i="1"/>
  <c r="AE153" i="1"/>
  <c r="AD153" i="1" s="1"/>
  <c r="AE152" i="1"/>
  <c r="AD152" i="1" s="1"/>
  <c r="AE151" i="1"/>
  <c r="AD151" i="1" s="1"/>
  <c r="AE147" i="1"/>
  <c r="AD147" i="1" s="1"/>
  <c r="AE146" i="1"/>
  <c r="AD146" i="1" s="1"/>
  <c r="AE145" i="1"/>
  <c r="AD145" i="1" s="1"/>
  <c r="AE141" i="1"/>
  <c r="AD141" i="1" s="1"/>
  <c r="AE140" i="1"/>
  <c r="AD140" i="1" s="1"/>
  <c r="Q100" i="1"/>
  <c r="AE100" i="1"/>
  <c r="AD100" i="1" s="1"/>
  <c r="L100" i="1"/>
  <c r="AA100" i="1" s="1"/>
  <c r="AB142" i="1" l="1"/>
  <c r="AC142" i="1"/>
  <c r="AB139" i="1"/>
  <c r="AC139" i="1"/>
  <c r="X52" i="19"/>
  <c r="R52" i="19"/>
  <c r="O52" i="19"/>
  <c r="AB148" i="1"/>
  <c r="S254" i="19" s="1"/>
  <c r="R102" i="19"/>
  <c r="U52" i="19"/>
  <c r="AF144" i="1"/>
  <c r="O152" i="19"/>
  <c r="L202" i="19"/>
  <c r="L252" i="19"/>
  <c r="L102" i="19"/>
  <c r="X102" i="19"/>
  <c r="O252" i="19"/>
  <c r="L52" i="19"/>
  <c r="L152" i="19"/>
  <c r="O102" i="19"/>
  <c r="X152" i="19"/>
  <c r="O202" i="19"/>
  <c r="R252" i="19"/>
  <c r="R152" i="19"/>
  <c r="U252" i="19"/>
  <c r="U102" i="19"/>
  <c r="X202" i="19"/>
  <c r="R202" i="19"/>
  <c r="X252" i="19"/>
  <c r="U152" i="19"/>
  <c r="U202" i="19"/>
  <c r="AF150" i="1"/>
  <c r="X254" i="19"/>
  <c r="X54" i="19"/>
  <c r="X204" i="19"/>
  <c r="U254" i="19"/>
  <c r="X154" i="19"/>
  <c r="U204" i="19"/>
  <c r="X104" i="19"/>
  <c r="U154" i="19"/>
  <c r="U104" i="19"/>
  <c r="R154" i="19"/>
  <c r="O204" i="19"/>
  <c r="U54" i="19"/>
  <c r="R104" i="19"/>
  <c r="O154" i="19"/>
  <c r="R204" i="19"/>
  <c r="O254" i="19"/>
  <c r="L204" i="19"/>
  <c r="L54" i="19"/>
  <c r="O54" i="19"/>
  <c r="L254" i="19"/>
  <c r="R54" i="19"/>
  <c r="L104" i="19"/>
  <c r="R254" i="19"/>
  <c r="O104" i="19"/>
  <c r="L154" i="19"/>
  <c r="AF146" i="1"/>
  <c r="W253" i="19"/>
  <c r="W53" i="19"/>
  <c r="W203" i="19"/>
  <c r="T253" i="19"/>
  <c r="W153" i="19"/>
  <c r="T203" i="19"/>
  <c r="W103" i="19"/>
  <c r="T103" i="19"/>
  <c r="Q153" i="19"/>
  <c r="N203" i="19"/>
  <c r="T53" i="19"/>
  <c r="Q103" i="19"/>
  <c r="N153" i="19"/>
  <c r="Q253" i="19"/>
  <c r="Q53" i="19"/>
  <c r="N103" i="19"/>
  <c r="K203" i="19"/>
  <c r="N53" i="19"/>
  <c r="K253" i="19"/>
  <c r="T153" i="19"/>
  <c r="N253" i="19"/>
  <c r="K153" i="19"/>
  <c r="Q203" i="19"/>
  <c r="K103" i="19"/>
  <c r="K53" i="19"/>
  <c r="V205" i="19"/>
  <c r="S255" i="19"/>
  <c r="V155" i="19"/>
  <c r="S205" i="19"/>
  <c r="V105" i="19"/>
  <c r="S155" i="19"/>
  <c r="V255" i="19"/>
  <c r="V55" i="19"/>
  <c r="S55" i="19"/>
  <c r="P105" i="19"/>
  <c r="M155" i="19"/>
  <c r="P255" i="19"/>
  <c r="P55" i="19"/>
  <c r="M105" i="19"/>
  <c r="M55" i="19"/>
  <c r="J255" i="19"/>
  <c r="S105" i="19"/>
  <c r="P155" i="19"/>
  <c r="M205" i="19"/>
  <c r="J105" i="19"/>
  <c r="M255" i="19"/>
  <c r="J205" i="19"/>
  <c r="P205" i="19"/>
  <c r="J155" i="19"/>
  <c r="J55" i="19"/>
  <c r="V103" i="19"/>
  <c r="V253" i="19"/>
  <c r="V53" i="19"/>
  <c r="V203" i="19"/>
  <c r="S253" i="19"/>
  <c r="V153" i="19"/>
  <c r="S203" i="19"/>
  <c r="S153" i="19"/>
  <c r="P203" i="19"/>
  <c r="M253" i="19"/>
  <c r="S103" i="19"/>
  <c r="P153" i="19"/>
  <c r="M203" i="19"/>
  <c r="J153" i="19"/>
  <c r="P253" i="19"/>
  <c r="P53" i="19"/>
  <c r="M103" i="19"/>
  <c r="J203" i="19"/>
  <c r="P103" i="19"/>
  <c r="J103" i="19"/>
  <c r="J53" i="19"/>
  <c r="M53" i="19"/>
  <c r="J253" i="19"/>
  <c r="S53" i="19"/>
  <c r="M153" i="19"/>
  <c r="X101" i="19"/>
  <c r="X251" i="19"/>
  <c r="X51" i="19"/>
  <c r="X201" i="19"/>
  <c r="U251" i="19"/>
  <c r="X151" i="19"/>
  <c r="U201" i="19"/>
  <c r="U151" i="19"/>
  <c r="R201" i="19"/>
  <c r="O251" i="19"/>
  <c r="U101" i="19"/>
  <c r="R151" i="19"/>
  <c r="O201" i="19"/>
  <c r="U51" i="19"/>
  <c r="R101" i="19"/>
  <c r="O151" i="19"/>
  <c r="L151" i="19"/>
  <c r="L201" i="19"/>
  <c r="R51" i="19"/>
  <c r="R251" i="19"/>
  <c r="O101" i="19"/>
  <c r="L101" i="19"/>
  <c r="L51" i="19"/>
  <c r="O51" i="19"/>
  <c r="L251" i="19"/>
  <c r="W155" i="19"/>
  <c r="T205" i="19"/>
  <c r="W105" i="19"/>
  <c r="T155" i="19"/>
  <c r="W255" i="19"/>
  <c r="W55" i="19"/>
  <c r="W205" i="19"/>
  <c r="T255" i="19"/>
  <c r="Q255" i="19"/>
  <c r="Q55" i="19"/>
  <c r="N105" i="19"/>
  <c r="Q205" i="19"/>
  <c r="N255" i="19"/>
  <c r="T105" i="19"/>
  <c r="Q155" i="19"/>
  <c r="N205" i="19"/>
  <c r="K105" i="19"/>
  <c r="K155" i="19"/>
  <c r="T55" i="19"/>
  <c r="N155" i="19"/>
  <c r="K55" i="19"/>
  <c r="N55" i="19"/>
  <c r="K255" i="19"/>
  <c r="Q105" i="19"/>
  <c r="K205" i="19"/>
  <c r="AF140" i="1"/>
  <c r="W151" i="19"/>
  <c r="T201" i="19"/>
  <c r="W101" i="19"/>
  <c r="W251" i="19"/>
  <c r="W51" i="19"/>
  <c r="W201" i="19"/>
  <c r="T251" i="19"/>
  <c r="Q251" i="19"/>
  <c r="Q51" i="19"/>
  <c r="N101" i="19"/>
  <c r="T151" i="19"/>
  <c r="Q201" i="19"/>
  <c r="N251" i="19"/>
  <c r="K101" i="19"/>
  <c r="T51" i="19"/>
  <c r="Q101" i="19"/>
  <c r="N151" i="19"/>
  <c r="K151" i="19"/>
  <c r="T101" i="19"/>
  <c r="N201" i="19"/>
  <c r="N51" i="19"/>
  <c r="K251" i="19"/>
  <c r="K201" i="19"/>
  <c r="K51" i="19"/>
  <c r="Q151" i="19"/>
  <c r="AF153" i="1"/>
  <c r="X105" i="19"/>
  <c r="U155" i="19"/>
  <c r="X255" i="19"/>
  <c r="X55" i="19"/>
  <c r="X205" i="19"/>
  <c r="U255" i="19"/>
  <c r="X155" i="19"/>
  <c r="U205" i="19"/>
  <c r="R205" i="19"/>
  <c r="O255" i="19"/>
  <c r="U105" i="19"/>
  <c r="R155" i="19"/>
  <c r="O205" i="19"/>
  <c r="L155" i="19"/>
  <c r="R255" i="19"/>
  <c r="R55" i="19"/>
  <c r="O105" i="19"/>
  <c r="L205" i="19"/>
  <c r="U55" i="19"/>
  <c r="O155" i="19"/>
  <c r="L105" i="19"/>
  <c r="L55" i="19"/>
  <c r="O55" i="19"/>
  <c r="L255" i="19"/>
  <c r="R105" i="19"/>
  <c r="X203" i="19"/>
  <c r="U253" i="19"/>
  <c r="X153" i="19"/>
  <c r="U203" i="19"/>
  <c r="X103" i="19"/>
  <c r="X253" i="19"/>
  <c r="X53" i="19"/>
  <c r="U53" i="19"/>
  <c r="R103" i="19"/>
  <c r="O153" i="19"/>
  <c r="R253" i="19"/>
  <c r="R53" i="19"/>
  <c r="O103" i="19"/>
  <c r="O53" i="19"/>
  <c r="L253" i="19"/>
  <c r="U153" i="19"/>
  <c r="R203" i="19"/>
  <c r="O253" i="19"/>
  <c r="L103" i="19"/>
  <c r="L53" i="19"/>
  <c r="L153" i="19"/>
  <c r="R153" i="19"/>
  <c r="L203" i="19"/>
  <c r="U103" i="19"/>
  <c r="O203" i="19"/>
  <c r="AF143" i="1"/>
  <c r="W202" i="19"/>
  <c r="T252" i="19"/>
  <c r="W152" i="19"/>
  <c r="T202" i="19"/>
  <c r="W102" i="19"/>
  <c r="W252" i="19"/>
  <c r="W52" i="19"/>
  <c r="T52" i="19"/>
  <c r="Q102" i="19"/>
  <c r="N152" i="19"/>
  <c r="Q252" i="19"/>
  <c r="Q52" i="19"/>
  <c r="N102" i="19"/>
  <c r="N52" i="19"/>
  <c r="K252" i="19"/>
  <c r="T102" i="19"/>
  <c r="Q152" i="19"/>
  <c r="N202" i="19"/>
  <c r="K102" i="19"/>
  <c r="Q202" i="19"/>
  <c r="K202" i="19"/>
  <c r="K52" i="19"/>
  <c r="T152" i="19"/>
  <c r="N252" i="19"/>
  <c r="K152" i="19"/>
  <c r="AF149" i="1"/>
  <c r="W104" i="19"/>
  <c r="W254" i="19"/>
  <c r="W54" i="19"/>
  <c r="W204" i="19"/>
  <c r="T254" i="19"/>
  <c r="W154" i="19"/>
  <c r="T204" i="19"/>
  <c r="T154" i="19"/>
  <c r="Q204" i="19"/>
  <c r="N254" i="19"/>
  <c r="T104" i="19"/>
  <c r="Q154" i="19"/>
  <c r="N204" i="19"/>
  <c r="T54" i="19"/>
  <c r="Q104" i="19"/>
  <c r="N154" i="19"/>
  <c r="K154" i="19"/>
  <c r="K204" i="19"/>
  <c r="Q254" i="19"/>
  <c r="N104" i="19"/>
  <c r="Q54" i="19"/>
  <c r="K104" i="19"/>
  <c r="K54" i="19"/>
  <c r="N54" i="19"/>
  <c r="K254" i="19"/>
  <c r="AF147" i="1"/>
  <c r="AF151" i="1"/>
  <c r="AF145" i="1"/>
  <c r="AF141" i="1"/>
  <c r="AF152" i="1"/>
  <c r="AB100" i="1"/>
  <c r="AF100" i="1" s="1"/>
  <c r="AC100" i="1"/>
  <c r="V154" i="19" l="1"/>
  <c r="M204" i="19"/>
  <c r="J204" i="19"/>
  <c r="J104" i="19"/>
  <c r="P54" i="19"/>
  <c r="P254" i="19"/>
  <c r="J54" i="19"/>
  <c r="V204" i="19"/>
  <c r="M154" i="19"/>
  <c r="P104" i="19"/>
  <c r="J254" i="19"/>
  <c r="M254" i="19"/>
  <c r="V54" i="19"/>
  <c r="M54" i="19"/>
  <c r="P204" i="19"/>
  <c r="V254" i="19"/>
  <c r="P154" i="19"/>
  <c r="S154" i="19"/>
  <c r="V104" i="19"/>
  <c r="AF148" i="1"/>
  <c r="J154" i="19"/>
  <c r="M104" i="19"/>
  <c r="S204" i="19"/>
  <c r="S104" i="19"/>
  <c r="S54" i="19"/>
  <c r="J238" i="19"/>
  <c r="S188" i="19"/>
  <c r="S238" i="19"/>
  <c r="J88" i="19"/>
  <c r="M238" i="19"/>
  <c r="V138" i="19"/>
  <c r="V188" i="19"/>
  <c r="M88" i="19"/>
  <c r="S38" i="19"/>
  <c r="J138" i="19"/>
  <c r="M188" i="19"/>
  <c r="M138" i="19"/>
  <c r="M38" i="19"/>
  <c r="P138" i="19"/>
  <c r="J38" i="19"/>
  <c r="S88" i="19"/>
  <c r="J188" i="19"/>
  <c r="P88" i="19"/>
  <c r="P38" i="19"/>
  <c r="P188" i="19"/>
  <c r="V88" i="19"/>
  <c r="V38" i="19"/>
  <c r="V238" i="19"/>
  <c r="P238" i="19"/>
  <c r="S138" i="19"/>
  <c r="L36" i="19"/>
  <c r="L32" i="19"/>
  <c r="K32" i="19"/>
  <c r="L26" i="19"/>
  <c r="L18" i="19"/>
  <c r="K18" i="19"/>
  <c r="L9" i="19"/>
  <c r="K9" i="19"/>
  <c r="F221" i="13" l="1"/>
  <c r="F220" i="13"/>
  <c r="F219" i="13"/>
  <c r="F218" i="13"/>
  <c r="F217" i="13"/>
  <c r="F216" i="13"/>
  <c r="F215" i="13"/>
  <c r="F214" i="13"/>
  <c r="F213" i="13"/>
  <c r="F212" i="13"/>
  <c r="F211" i="13"/>
  <c r="F210" i="13"/>
  <c r="W85" i="1" l="1"/>
  <c r="T85" i="1"/>
  <c r="K85" i="1"/>
  <c r="L85" i="1" l="1"/>
  <c r="AA85" i="1" s="1"/>
  <c r="AB85" i="1" l="1"/>
  <c r="AC85" i="1"/>
  <c r="T33" i="1" l="1"/>
  <c r="T21" i="1" l="1"/>
  <c r="AE21" i="1" s="1"/>
  <c r="AD21" i="1" s="1"/>
  <c r="T20" i="1"/>
  <c r="AE20" i="1" s="1"/>
  <c r="AD20" i="1" s="1"/>
  <c r="T18" i="1"/>
  <c r="AE18" i="1" s="1"/>
  <c r="AD18" i="1" s="1"/>
  <c r="T17" i="1"/>
  <c r="AE17" i="1" s="1"/>
  <c r="AD17" i="1" s="1"/>
  <c r="W136" i="1"/>
  <c r="T136" i="1"/>
  <c r="K136" i="1"/>
  <c r="W135" i="1"/>
  <c r="T135" i="1"/>
  <c r="AD135" i="1" s="1"/>
  <c r="W134" i="1"/>
  <c r="T134" i="1"/>
  <c r="AD134" i="1" s="1"/>
  <c r="W133" i="1"/>
  <c r="T133" i="1"/>
  <c r="K133" i="1"/>
  <c r="W132" i="1"/>
  <c r="T132" i="1"/>
  <c r="AD132" i="1" s="1"/>
  <c r="W131" i="1"/>
  <c r="T131" i="1"/>
  <c r="AD131" i="1" s="1"/>
  <c r="W130" i="1"/>
  <c r="T130" i="1"/>
  <c r="K130" i="1"/>
  <c r="T129" i="1"/>
  <c r="AE129" i="1" s="1"/>
  <c r="AD129" i="1" s="1"/>
  <c r="T128" i="1"/>
  <c r="AE128" i="1" s="1"/>
  <c r="AD128" i="1" s="1"/>
  <c r="W127" i="1"/>
  <c r="T127" i="1"/>
  <c r="K127" i="1"/>
  <c r="L136" i="1" l="1"/>
  <c r="AA136" i="1" s="1"/>
  <c r="L133" i="1"/>
  <c r="AA133" i="1" s="1"/>
  <c r="AA134" i="1" s="1"/>
  <c r="AA135" i="1" s="1"/>
  <c r="L130" i="1"/>
  <c r="AA130" i="1" s="1"/>
  <c r="AA131" i="1" s="1"/>
  <c r="AA132" i="1" s="1"/>
  <c r="L127" i="1"/>
  <c r="AA127" i="1" s="1"/>
  <c r="AA128" i="1" s="1"/>
  <c r="AA129" i="1" s="1"/>
  <c r="T123" i="1"/>
  <c r="W122" i="1"/>
  <c r="T122" i="1"/>
  <c r="W121" i="1"/>
  <c r="T121" i="1"/>
  <c r="K121" i="1"/>
  <c r="W120" i="1"/>
  <c r="T120" i="1"/>
  <c r="W119" i="1"/>
  <c r="T119" i="1"/>
  <c r="W118" i="1"/>
  <c r="T118" i="1"/>
  <c r="K118" i="1"/>
  <c r="T117" i="1"/>
  <c r="W116" i="1"/>
  <c r="T116" i="1"/>
  <c r="W115" i="1"/>
  <c r="T115" i="1"/>
  <c r="K115" i="1"/>
  <c r="T114" i="1"/>
  <c r="W113" i="1"/>
  <c r="T113" i="1"/>
  <c r="W112" i="1"/>
  <c r="T112" i="1"/>
  <c r="K112" i="1"/>
  <c r="T111" i="1"/>
  <c r="W110" i="1"/>
  <c r="T110" i="1"/>
  <c r="W109" i="1"/>
  <c r="T109" i="1"/>
  <c r="K109" i="1"/>
  <c r="K124" i="1"/>
  <c r="K106" i="1"/>
  <c r="K103" i="1"/>
  <c r="K97" i="1"/>
  <c r="K94" i="1"/>
  <c r="K91" i="1"/>
  <c r="K88" i="1"/>
  <c r="K82" i="1"/>
  <c r="K79" i="1"/>
  <c r="K76" i="1"/>
  <c r="K73" i="1"/>
  <c r="K67" i="1"/>
  <c r="K64" i="1"/>
  <c r="K61" i="1"/>
  <c r="K58" i="1"/>
  <c r="K55" i="1"/>
  <c r="K52" i="1"/>
  <c r="K49" i="1"/>
  <c r="K46" i="1"/>
  <c r="K43" i="1"/>
  <c r="K40" i="1"/>
  <c r="K37" i="1"/>
  <c r="K34" i="1"/>
  <c r="K31" i="1"/>
  <c r="K28" i="1"/>
  <c r="K25" i="1"/>
  <c r="K22" i="1"/>
  <c r="K19" i="1"/>
  <c r="K16" i="1"/>
  <c r="K13" i="1"/>
  <c r="K10" i="1"/>
  <c r="T126" i="1"/>
  <c r="AE126" i="1" s="1"/>
  <c r="AD126" i="1" s="1"/>
  <c r="T125" i="1"/>
  <c r="AE125" i="1" s="1"/>
  <c r="AD125" i="1" s="1"/>
  <c r="W124" i="1"/>
  <c r="T124" i="1"/>
  <c r="T108" i="1"/>
  <c r="W107" i="1"/>
  <c r="T107" i="1"/>
  <c r="T105" i="1"/>
  <c r="W104" i="1"/>
  <c r="T104" i="1"/>
  <c r="W103" i="1"/>
  <c r="T103" i="1"/>
  <c r="T96" i="1"/>
  <c r="W95" i="1"/>
  <c r="T95" i="1"/>
  <c r="T93" i="1"/>
  <c r="W94" i="1"/>
  <c r="T94" i="1"/>
  <c r="W92" i="1"/>
  <c r="T92" i="1"/>
  <c r="AA92" i="1" s="1"/>
  <c r="T90" i="1"/>
  <c r="T89" i="1"/>
  <c r="W84" i="1"/>
  <c r="T84" i="1"/>
  <c r="W83" i="1"/>
  <c r="T83" i="1"/>
  <c r="W81" i="1"/>
  <c r="T81" i="1"/>
  <c r="AD81" i="1" s="1"/>
  <c r="W80" i="1"/>
  <c r="T80" i="1"/>
  <c r="T78" i="1"/>
  <c r="W76" i="1"/>
  <c r="T76" i="1"/>
  <c r="T77" i="1"/>
  <c r="W73" i="1"/>
  <c r="T73" i="1"/>
  <c r="T66" i="1"/>
  <c r="T63" i="1"/>
  <c r="AE63" i="1" s="1"/>
  <c r="AD63" i="1" s="1"/>
  <c r="T62" i="1"/>
  <c r="T60" i="1"/>
  <c r="AE60" i="1" s="1"/>
  <c r="AD60" i="1" s="1"/>
  <c r="T59" i="1"/>
  <c r="T57" i="1"/>
  <c r="AE57" i="1" s="1"/>
  <c r="AD57" i="1" s="1"/>
  <c r="W56" i="1"/>
  <c r="T56" i="1"/>
  <c r="T54" i="1"/>
  <c r="T53" i="1"/>
  <c r="T51" i="1"/>
  <c r="AE51" i="1" s="1"/>
  <c r="AD51" i="1" s="1"/>
  <c r="W52" i="1"/>
  <c r="T52" i="1"/>
  <c r="T50" i="1"/>
  <c r="T48" i="1"/>
  <c r="AE48" i="1" s="1"/>
  <c r="AD48" i="1" s="1"/>
  <c r="T47" i="1"/>
  <c r="T45" i="1"/>
  <c r="AE45" i="1" s="1"/>
  <c r="AD45" i="1" s="1"/>
  <c r="W44" i="1"/>
  <c r="T44" i="1"/>
  <c r="W46" i="1"/>
  <c r="T46" i="1"/>
  <c r="W43" i="1"/>
  <c r="T43" i="1"/>
  <c r="T42" i="1"/>
  <c r="T41" i="1"/>
  <c r="W40" i="1"/>
  <c r="T40" i="1"/>
  <c r="T39" i="1"/>
  <c r="AE39" i="1" s="1"/>
  <c r="AD39" i="1" s="1"/>
  <c r="T38" i="1"/>
  <c r="W37" i="1"/>
  <c r="T37" i="1"/>
  <c r="T36" i="1"/>
  <c r="AE36" i="1" s="1"/>
  <c r="AD36" i="1" s="1"/>
  <c r="T35" i="1"/>
  <c r="W34" i="1"/>
  <c r="T34" i="1"/>
  <c r="W33" i="1"/>
  <c r="AD33" i="1"/>
  <c r="W32" i="1"/>
  <c r="T32" i="1"/>
  <c r="W31" i="1"/>
  <c r="T31" i="1"/>
  <c r="T30" i="1"/>
  <c r="AE30" i="1" s="1"/>
  <c r="AD30" i="1" s="1"/>
  <c r="W29" i="1"/>
  <c r="T29" i="1"/>
  <c r="W28" i="1"/>
  <c r="T28" i="1"/>
  <c r="T27" i="1"/>
  <c r="AE27" i="1" s="1"/>
  <c r="AD27" i="1" s="1"/>
  <c r="T26" i="1"/>
  <c r="W25" i="1"/>
  <c r="T25" i="1"/>
  <c r="W24" i="1"/>
  <c r="T24" i="1"/>
  <c r="AE24" i="1" s="1"/>
  <c r="AD24" i="1" s="1"/>
  <c r="W23" i="1"/>
  <c r="T23" i="1"/>
  <c r="AE26" i="1" l="1"/>
  <c r="AD26" i="1" s="1"/>
  <c r="AD32" i="1"/>
  <c r="AE38" i="1"/>
  <c r="AD38" i="1" s="1"/>
  <c r="AD56" i="1"/>
  <c r="AE62" i="1"/>
  <c r="AD62" i="1" s="1"/>
  <c r="AD80" i="1"/>
  <c r="AE89" i="1"/>
  <c r="AD89" i="1" s="1"/>
  <c r="AE93" i="1"/>
  <c r="AD93" i="1" s="1"/>
  <c r="AA93" i="1"/>
  <c r="AE114" i="1"/>
  <c r="AD114" i="1" s="1"/>
  <c r="AD119" i="1"/>
  <c r="AE23" i="1"/>
  <c r="AD23" i="1" s="1"/>
  <c r="AD29" i="1"/>
  <c r="AE35" i="1"/>
  <c r="AD35" i="1" s="1"/>
  <c r="AE47" i="1"/>
  <c r="AD47" i="1" s="1"/>
  <c r="AE50" i="1"/>
  <c r="AD50" i="1" s="1"/>
  <c r="AE54" i="1"/>
  <c r="AD54" i="1" s="1"/>
  <c r="AE77" i="1"/>
  <c r="AD77" i="1" s="1"/>
  <c r="AE78" i="1"/>
  <c r="AD78" i="1" s="1"/>
  <c r="AE90" i="1"/>
  <c r="AD90" i="1" s="1"/>
  <c r="AD95" i="1"/>
  <c r="AD104" i="1"/>
  <c r="AD107" i="1"/>
  <c r="AE111" i="1"/>
  <c r="AD111" i="1" s="1"/>
  <c r="AD116" i="1"/>
  <c r="AE53" i="1"/>
  <c r="AD53" i="1" s="1"/>
  <c r="AE59" i="1"/>
  <c r="AD59" i="1" s="1"/>
  <c r="AE96" i="1"/>
  <c r="AD96" i="1" s="1"/>
  <c r="AE105" i="1"/>
  <c r="AD105" i="1" s="1"/>
  <c r="AE108" i="1"/>
  <c r="AD108" i="1" s="1"/>
  <c r="AD110" i="1"/>
  <c r="AE117" i="1"/>
  <c r="AD117" i="1" s="1"/>
  <c r="AE122" i="1"/>
  <c r="AD122" i="1" s="1"/>
  <c r="AD113" i="1"/>
  <c r="AD120" i="1"/>
  <c r="AE92" i="1"/>
  <c r="AD92" i="1" s="1"/>
  <c r="AD44" i="1"/>
  <c r="AB136" i="1"/>
  <c r="AC136" i="1"/>
  <c r="AB133" i="1"/>
  <c r="AC133" i="1"/>
  <c r="AB135" i="1"/>
  <c r="AC135" i="1"/>
  <c r="AB134" i="1"/>
  <c r="AC134" i="1"/>
  <c r="AB130" i="1"/>
  <c r="AC130" i="1"/>
  <c r="AB132" i="1"/>
  <c r="AC132" i="1"/>
  <c r="AB131" i="1"/>
  <c r="AC131" i="1"/>
  <c r="AB127" i="1"/>
  <c r="AC127" i="1"/>
  <c r="AB129" i="1"/>
  <c r="AC129" i="1"/>
  <c r="AB128" i="1"/>
  <c r="AC128" i="1"/>
  <c r="L121" i="1"/>
  <c r="AA121" i="1" s="1"/>
  <c r="AA122" i="1" s="1"/>
  <c r="L118" i="1"/>
  <c r="AA118" i="1" s="1"/>
  <c r="AA119" i="1" s="1"/>
  <c r="AA120" i="1" s="1"/>
  <c r="L115" i="1"/>
  <c r="AA115" i="1" s="1"/>
  <c r="AA116" i="1" s="1"/>
  <c r="AA117" i="1" s="1"/>
  <c r="L112" i="1"/>
  <c r="AA112" i="1" s="1"/>
  <c r="AA113" i="1" s="1"/>
  <c r="AA114" i="1" s="1"/>
  <c r="L109" i="1"/>
  <c r="AA109" i="1" s="1"/>
  <c r="AA110" i="1" s="1"/>
  <c r="AA111" i="1" s="1"/>
  <c r="L124" i="1"/>
  <c r="AA124" i="1" s="1"/>
  <c r="AA125" i="1" s="1"/>
  <c r="AA126" i="1" s="1"/>
  <c r="L106" i="1"/>
  <c r="L103" i="1"/>
  <c r="AA103" i="1" s="1"/>
  <c r="AA104" i="1" s="1"/>
  <c r="AA105" i="1" s="1"/>
  <c r="L97" i="1"/>
  <c r="L94" i="1"/>
  <c r="AA94" i="1" s="1"/>
  <c r="AA95" i="1" s="1"/>
  <c r="AA96" i="1" s="1"/>
  <c r="L91" i="1"/>
  <c r="L88" i="1"/>
  <c r="L82" i="1"/>
  <c r="L79" i="1"/>
  <c r="L76" i="1"/>
  <c r="AA76" i="1" s="1"/>
  <c r="AA77" i="1" s="1"/>
  <c r="AA78" i="1" s="1"/>
  <c r="L73" i="1"/>
  <c r="AA73" i="1" s="1"/>
  <c r="L67" i="1"/>
  <c r="L64" i="1"/>
  <c r="L61" i="1"/>
  <c r="L58" i="1"/>
  <c r="L55" i="1"/>
  <c r="L52" i="1"/>
  <c r="AA52" i="1" s="1"/>
  <c r="AA53" i="1" s="1"/>
  <c r="AA54" i="1" s="1"/>
  <c r="L49" i="1"/>
  <c r="L46" i="1"/>
  <c r="AA46" i="1" s="1"/>
  <c r="AA47" i="1" s="1"/>
  <c r="AA48" i="1" s="1"/>
  <c r="L43" i="1"/>
  <c r="AA43" i="1" s="1"/>
  <c r="AA44" i="1" s="1"/>
  <c r="AA45" i="1" s="1"/>
  <c r="L40" i="1"/>
  <c r="AA40" i="1" s="1"/>
  <c r="L37" i="1"/>
  <c r="AA37" i="1" s="1"/>
  <c r="AA38" i="1" s="1"/>
  <c r="AA39" i="1" s="1"/>
  <c r="L34" i="1"/>
  <c r="AA34" i="1" s="1"/>
  <c r="AA35" i="1" s="1"/>
  <c r="AA36" i="1" s="1"/>
  <c r="L31" i="1"/>
  <c r="AA31" i="1" s="1"/>
  <c r="AA32" i="1" s="1"/>
  <c r="AA33" i="1" s="1"/>
  <c r="L28" i="1"/>
  <c r="AA28" i="1" s="1"/>
  <c r="AA29" i="1" s="1"/>
  <c r="AA30" i="1" s="1"/>
  <c r="L25" i="1"/>
  <c r="AA25" i="1" s="1"/>
  <c r="AA26" i="1" s="1"/>
  <c r="AA27" i="1" s="1"/>
  <c r="L22" i="1"/>
  <c r="L19" i="1"/>
  <c r="L16" i="1"/>
  <c r="L13" i="1"/>
  <c r="L10" i="1"/>
  <c r="T16" i="1"/>
  <c r="W16" i="1"/>
  <c r="T19" i="1"/>
  <c r="W19" i="1"/>
  <c r="T22" i="1"/>
  <c r="W22" i="1"/>
  <c r="T49" i="1"/>
  <c r="W49" i="1"/>
  <c r="T55" i="1"/>
  <c r="W55" i="1"/>
  <c r="T58" i="1"/>
  <c r="W58" i="1"/>
  <c r="T61" i="1"/>
  <c r="W61" i="1"/>
  <c r="T64" i="1"/>
  <c r="W64" i="1"/>
  <c r="T67" i="1"/>
  <c r="W67" i="1"/>
  <c r="T79" i="1"/>
  <c r="W79" i="1"/>
  <c r="T82" i="1"/>
  <c r="W82" i="1"/>
  <c r="T88" i="1"/>
  <c r="W88" i="1"/>
  <c r="T91" i="1"/>
  <c r="W91" i="1"/>
  <c r="T97" i="1"/>
  <c r="W97" i="1"/>
  <c r="T106" i="1"/>
  <c r="W106" i="1"/>
  <c r="T14" i="1"/>
  <c r="T15" i="1"/>
  <c r="T11" i="1"/>
  <c r="T12" i="1"/>
  <c r="W147" i="19" l="1"/>
  <c r="T197" i="19"/>
  <c r="W97" i="19"/>
  <c r="W247" i="19"/>
  <c r="W47" i="19"/>
  <c r="W197" i="19"/>
  <c r="T247" i="19"/>
  <c r="Q247" i="19"/>
  <c r="Q47" i="19"/>
  <c r="T147" i="19"/>
  <c r="Q197" i="19"/>
  <c r="N247" i="19"/>
  <c r="T97" i="19"/>
  <c r="Q147" i="19"/>
  <c r="N197" i="19"/>
  <c r="K97" i="19"/>
  <c r="K147" i="19"/>
  <c r="Q97" i="19"/>
  <c r="K47" i="19"/>
  <c r="N47" i="19"/>
  <c r="K247" i="19"/>
  <c r="T47" i="19"/>
  <c r="N147" i="19"/>
  <c r="N97" i="19"/>
  <c r="K197" i="19"/>
  <c r="X148" i="19"/>
  <c r="U198" i="19"/>
  <c r="X98" i="19"/>
  <c r="X248" i="19"/>
  <c r="X48" i="19"/>
  <c r="X198" i="19"/>
  <c r="U248" i="19"/>
  <c r="R248" i="19"/>
  <c r="R48" i="19"/>
  <c r="U148" i="19"/>
  <c r="R198" i="19"/>
  <c r="O248" i="19"/>
  <c r="L98" i="19"/>
  <c r="U48" i="19"/>
  <c r="R98" i="19"/>
  <c r="O148" i="19"/>
  <c r="L148" i="19"/>
  <c r="R148" i="19"/>
  <c r="O48" i="19"/>
  <c r="L248" i="19"/>
  <c r="O98" i="19"/>
  <c r="L198" i="19"/>
  <c r="U98" i="19"/>
  <c r="O198" i="19"/>
  <c r="L48" i="19"/>
  <c r="W249" i="19"/>
  <c r="W49" i="19"/>
  <c r="W199" i="19"/>
  <c r="T249" i="19"/>
  <c r="W149" i="19"/>
  <c r="T199" i="19"/>
  <c r="W99" i="19"/>
  <c r="T99" i="19"/>
  <c r="Q149" i="19"/>
  <c r="N199" i="19"/>
  <c r="T49" i="19"/>
  <c r="Q99" i="19"/>
  <c r="N149" i="19"/>
  <c r="T149" i="19"/>
  <c r="Q199" i="19"/>
  <c r="N249" i="19"/>
  <c r="N99" i="19"/>
  <c r="K199" i="19"/>
  <c r="N49" i="19"/>
  <c r="K249" i="19"/>
  <c r="Q49" i="19"/>
  <c r="K99" i="19"/>
  <c r="Q249" i="19"/>
  <c r="K149" i="19"/>
  <c r="K49" i="19"/>
  <c r="X250" i="19"/>
  <c r="X50" i="19"/>
  <c r="X200" i="19"/>
  <c r="U250" i="19"/>
  <c r="X150" i="19"/>
  <c r="U200" i="19"/>
  <c r="X100" i="19"/>
  <c r="U100" i="19"/>
  <c r="R150" i="19"/>
  <c r="O200" i="19"/>
  <c r="U50" i="19"/>
  <c r="R100" i="19"/>
  <c r="O150" i="19"/>
  <c r="R250" i="19"/>
  <c r="R50" i="19"/>
  <c r="O100" i="19"/>
  <c r="L200" i="19"/>
  <c r="L50" i="19"/>
  <c r="O50" i="19"/>
  <c r="L250" i="19"/>
  <c r="R200" i="19"/>
  <c r="L150" i="19"/>
  <c r="U150" i="19"/>
  <c r="O250" i="19"/>
  <c r="L100" i="19"/>
  <c r="X97" i="19"/>
  <c r="X247" i="19"/>
  <c r="X47" i="19"/>
  <c r="X197" i="19"/>
  <c r="U247" i="19"/>
  <c r="X147" i="19"/>
  <c r="U197" i="19"/>
  <c r="U147" i="19"/>
  <c r="R197" i="19"/>
  <c r="O247" i="19"/>
  <c r="U97" i="19"/>
  <c r="R147" i="19"/>
  <c r="O197" i="19"/>
  <c r="L147" i="19"/>
  <c r="R247" i="19"/>
  <c r="R47" i="19"/>
  <c r="O97" i="19"/>
  <c r="L197" i="19"/>
  <c r="R97" i="19"/>
  <c r="L97" i="19"/>
  <c r="L47" i="19"/>
  <c r="O47" i="19"/>
  <c r="L247" i="19"/>
  <c r="U47" i="19"/>
  <c r="O147" i="19"/>
  <c r="W198" i="19"/>
  <c r="T248" i="19"/>
  <c r="W148" i="19"/>
  <c r="T198" i="19"/>
  <c r="W98" i="19"/>
  <c r="W248" i="19"/>
  <c r="W48" i="19"/>
  <c r="T48" i="19"/>
  <c r="Q98" i="19"/>
  <c r="N148" i="19"/>
  <c r="Q248" i="19"/>
  <c r="Q48" i="19"/>
  <c r="N48" i="19"/>
  <c r="K248" i="19"/>
  <c r="T148" i="19"/>
  <c r="Q198" i="19"/>
  <c r="N248" i="19"/>
  <c r="K98" i="19"/>
  <c r="K148" i="19"/>
  <c r="K48" i="19"/>
  <c r="Q148" i="19"/>
  <c r="N98" i="19"/>
  <c r="K198" i="19"/>
  <c r="T98" i="19"/>
  <c r="N198" i="19"/>
  <c r="X199" i="19"/>
  <c r="U249" i="19"/>
  <c r="X149" i="19"/>
  <c r="U199" i="19"/>
  <c r="X99" i="19"/>
  <c r="X249" i="19"/>
  <c r="X49" i="19"/>
  <c r="U49" i="19"/>
  <c r="R99" i="19"/>
  <c r="O149" i="19"/>
  <c r="R249" i="19"/>
  <c r="R49" i="19"/>
  <c r="O49" i="19"/>
  <c r="L249" i="19"/>
  <c r="U99" i="19"/>
  <c r="R149" i="19"/>
  <c r="O199" i="19"/>
  <c r="L99" i="19"/>
  <c r="L49" i="19"/>
  <c r="U149" i="19"/>
  <c r="O249" i="19"/>
  <c r="O99" i="19"/>
  <c r="L199" i="19"/>
  <c r="R199" i="19"/>
  <c r="L149" i="19"/>
  <c r="W100" i="19"/>
  <c r="W250" i="19"/>
  <c r="W50" i="19"/>
  <c r="W200" i="19"/>
  <c r="T250" i="19"/>
  <c r="W150" i="19"/>
  <c r="T200" i="19"/>
  <c r="T150" i="19"/>
  <c r="Q200" i="19"/>
  <c r="N250" i="19"/>
  <c r="T100" i="19"/>
  <c r="Q150" i="19"/>
  <c r="N200" i="19"/>
  <c r="K150" i="19"/>
  <c r="Q250" i="19"/>
  <c r="Q50" i="19"/>
  <c r="N100" i="19"/>
  <c r="K200" i="19"/>
  <c r="T50" i="19"/>
  <c r="N150" i="19"/>
  <c r="K100" i="19"/>
  <c r="N50" i="19"/>
  <c r="K250" i="19"/>
  <c r="Q100" i="19"/>
  <c r="K50" i="19"/>
  <c r="AA82" i="1"/>
  <c r="AA83" i="1" s="1"/>
  <c r="AA84" i="1" s="1"/>
  <c r="AB84" i="1" s="1"/>
  <c r="AA91" i="1"/>
  <c r="AF134" i="1"/>
  <c r="AF132" i="1"/>
  <c r="AF131" i="1"/>
  <c r="AF128" i="1"/>
  <c r="AF129" i="1"/>
  <c r="AF135" i="1"/>
  <c r="AB121" i="1"/>
  <c r="AC121" i="1"/>
  <c r="AB122" i="1"/>
  <c r="AC122" i="1"/>
  <c r="AB119" i="1"/>
  <c r="AC119" i="1"/>
  <c r="AB118" i="1"/>
  <c r="AC118" i="1"/>
  <c r="AB120" i="1"/>
  <c r="AC120" i="1"/>
  <c r="AB115" i="1"/>
  <c r="AC115" i="1"/>
  <c r="AB116" i="1"/>
  <c r="AC116" i="1"/>
  <c r="AB117" i="1"/>
  <c r="AC117" i="1"/>
  <c r="AB112" i="1"/>
  <c r="AC112" i="1"/>
  <c r="AB113" i="1"/>
  <c r="AC113" i="1"/>
  <c r="AB114" i="1"/>
  <c r="AC114" i="1"/>
  <c r="AB109" i="1"/>
  <c r="AC109" i="1"/>
  <c r="AB110" i="1"/>
  <c r="AC110" i="1"/>
  <c r="AB111" i="1"/>
  <c r="AC111" i="1"/>
  <c r="AB126" i="1"/>
  <c r="AC126" i="1"/>
  <c r="AB125" i="1"/>
  <c r="AC125" i="1"/>
  <c r="AB124" i="1"/>
  <c r="AC124" i="1"/>
  <c r="AB105" i="1"/>
  <c r="AC105" i="1"/>
  <c r="AB104" i="1"/>
  <c r="AC104" i="1"/>
  <c r="AB103" i="1"/>
  <c r="AC103" i="1"/>
  <c r="AB96" i="1"/>
  <c r="AC96" i="1"/>
  <c r="AB95" i="1"/>
  <c r="AC95" i="1"/>
  <c r="AB93" i="1"/>
  <c r="AC93" i="1"/>
  <c r="AB94" i="1"/>
  <c r="AC94" i="1"/>
  <c r="AB92" i="1"/>
  <c r="AC92" i="1"/>
  <c r="AB78" i="1"/>
  <c r="AC78" i="1"/>
  <c r="AB76" i="1"/>
  <c r="AC76" i="1"/>
  <c r="AB77" i="1"/>
  <c r="AC77" i="1"/>
  <c r="AB73" i="1"/>
  <c r="AC73" i="1"/>
  <c r="AB54" i="1"/>
  <c r="AC54" i="1"/>
  <c r="AB53" i="1"/>
  <c r="AC53" i="1"/>
  <c r="AB52" i="1"/>
  <c r="AC52" i="1"/>
  <c r="AB48" i="1"/>
  <c r="AC48" i="1"/>
  <c r="AB47" i="1"/>
  <c r="AC47" i="1"/>
  <c r="AB45" i="1"/>
  <c r="AC45" i="1"/>
  <c r="AB44" i="1"/>
  <c r="AC44" i="1"/>
  <c r="AB46" i="1"/>
  <c r="AC46" i="1"/>
  <c r="AB43" i="1"/>
  <c r="AC43" i="1"/>
  <c r="AB40" i="1"/>
  <c r="AC40" i="1"/>
  <c r="AB39" i="1"/>
  <c r="AC39" i="1"/>
  <c r="AB38" i="1"/>
  <c r="AC38" i="1"/>
  <c r="AB37" i="1"/>
  <c r="AC37" i="1"/>
  <c r="AB36" i="1"/>
  <c r="AC36" i="1"/>
  <c r="AB35" i="1"/>
  <c r="AC35" i="1"/>
  <c r="AB34" i="1"/>
  <c r="AC34" i="1"/>
  <c r="AB33" i="1"/>
  <c r="AC33" i="1"/>
  <c r="AB32" i="1"/>
  <c r="AC32" i="1"/>
  <c r="AB31" i="1"/>
  <c r="AC31" i="1"/>
  <c r="AB30" i="1"/>
  <c r="AC30" i="1"/>
  <c r="AB29" i="1"/>
  <c r="AC29" i="1"/>
  <c r="AB28" i="1"/>
  <c r="AC28" i="1"/>
  <c r="AB27" i="1"/>
  <c r="AC27" i="1"/>
  <c r="AB26" i="1"/>
  <c r="AC26" i="1"/>
  <c r="AB25" i="1"/>
  <c r="AC25" i="1"/>
  <c r="T8" i="1"/>
  <c r="W8" i="1"/>
  <c r="T9" i="1"/>
  <c r="T7" i="1"/>
  <c r="T10" i="1"/>
  <c r="T13" i="1"/>
  <c r="X63" i="19" l="1"/>
  <c r="U113" i="19"/>
  <c r="X113" i="19"/>
  <c r="U163" i="19"/>
  <c r="R213" i="19"/>
  <c r="X163" i="19"/>
  <c r="U213" i="19"/>
  <c r="X213" i="19"/>
  <c r="X13" i="19"/>
  <c r="U63" i="19"/>
  <c r="R63" i="19"/>
  <c r="O113" i="19"/>
  <c r="R163" i="19"/>
  <c r="R113" i="19"/>
  <c r="U13" i="19"/>
  <c r="O213" i="19"/>
  <c r="R13" i="19"/>
  <c r="O63" i="19"/>
  <c r="O163" i="19"/>
  <c r="L163" i="19"/>
  <c r="L113" i="19"/>
  <c r="L63" i="19"/>
  <c r="O13" i="19"/>
  <c r="L213" i="19"/>
  <c r="W66" i="19"/>
  <c r="T116" i="19"/>
  <c r="W116" i="19"/>
  <c r="T166" i="19"/>
  <c r="T16" i="19"/>
  <c r="Q16" i="19"/>
  <c r="W216" i="19"/>
  <c r="W16" i="19"/>
  <c r="T66" i="19"/>
  <c r="Q66" i="19"/>
  <c r="N116" i="19"/>
  <c r="Q166" i="19"/>
  <c r="Q216" i="19"/>
  <c r="Q116" i="19"/>
  <c r="N166" i="19"/>
  <c r="W166" i="19"/>
  <c r="T216" i="19"/>
  <c r="N16" i="19"/>
  <c r="K216" i="19"/>
  <c r="N216" i="19"/>
  <c r="K166" i="19"/>
  <c r="K116" i="19"/>
  <c r="N66" i="19"/>
  <c r="K66" i="19"/>
  <c r="W219" i="19"/>
  <c r="W19" i="19"/>
  <c r="T69" i="19"/>
  <c r="W69" i="19"/>
  <c r="T119" i="19"/>
  <c r="Q219" i="19"/>
  <c r="N219" i="19"/>
  <c r="W169" i="19"/>
  <c r="T219" i="19"/>
  <c r="T19" i="19"/>
  <c r="Q19" i="19"/>
  <c r="N69" i="19"/>
  <c r="Q69" i="19"/>
  <c r="N119" i="19"/>
  <c r="K69" i="19"/>
  <c r="W119" i="19"/>
  <c r="Q119" i="19"/>
  <c r="N169" i="19"/>
  <c r="N19" i="19"/>
  <c r="K219" i="19"/>
  <c r="T169" i="19"/>
  <c r="K169" i="19"/>
  <c r="Q169" i="19"/>
  <c r="K119" i="19"/>
  <c r="W228" i="19"/>
  <c r="W28" i="19"/>
  <c r="T78" i="19"/>
  <c r="W78" i="19"/>
  <c r="T128" i="19"/>
  <c r="Q128" i="19"/>
  <c r="Q178" i="19"/>
  <c r="N228" i="19"/>
  <c r="W128" i="19"/>
  <c r="T178" i="19"/>
  <c r="Q228" i="19"/>
  <c r="Q28" i="19"/>
  <c r="N78" i="19"/>
  <c r="W178" i="19"/>
  <c r="T228" i="19"/>
  <c r="T28" i="19"/>
  <c r="Q78" i="19"/>
  <c r="N128" i="19"/>
  <c r="K78" i="19"/>
  <c r="N28" i="19"/>
  <c r="K228" i="19"/>
  <c r="N178" i="19"/>
  <c r="K178" i="19"/>
  <c r="K128" i="19"/>
  <c r="X229" i="19"/>
  <c r="X29" i="19"/>
  <c r="U79" i="19"/>
  <c r="X79" i="19"/>
  <c r="U129" i="19"/>
  <c r="R179" i="19"/>
  <c r="X129" i="19"/>
  <c r="U179" i="19"/>
  <c r="X179" i="19"/>
  <c r="U229" i="19"/>
  <c r="U29" i="19"/>
  <c r="R29" i="19"/>
  <c r="R79" i="19"/>
  <c r="O179" i="19"/>
  <c r="R129" i="19"/>
  <c r="O229" i="19"/>
  <c r="O29" i="19"/>
  <c r="L229" i="19"/>
  <c r="O129" i="19"/>
  <c r="L179" i="19"/>
  <c r="O79" i="19"/>
  <c r="L129" i="19"/>
  <c r="R229" i="19"/>
  <c r="L79" i="19"/>
  <c r="W135" i="19"/>
  <c r="T185" i="19"/>
  <c r="W185" i="19"/>
  <c r="T235" i="19"/>
  <c r="T35" i="19"/>
  <c r="Q85" i="19"/>
  <c r="N135" i="19"/>
  <c r="W85" i="19"/>
  <c r="T135" i="19"/>
  <c r="W235" i="19"/>
  <c r="W35" i="19"/>
  <c r="T85" i="19"/>
  <c r="N185" i="19"/>
  <c r="N235" i="19"/>
  <c r="Q135" i="19"/>
  <c r="Q185" i="19"/>
  <c r="K185" i="19"/>
  <c r="Q235" i="19"/>
  <c r="K135" i="19"/>
  <c r="Q35" i="19"/>
  <c r="N85" i="19"/>
  <c r="K85" i="19"/>
  <c r="N35" i="19"/>
  <c r="K235" i="19"/>
  <c r="W139" i="19"/>
  <c r="T189" i="19"/>
  <c r="W189" i="19"/>
  <c r="T239" i="19"/>
  <c r="T39" i="19"/>
  <c r="Q239" i="19"/>
  <c r="Q89" i="19"/>
  <c r="N139" i="19"/>
  <c r="N189" i="19"/>
  <c r="W89" i="19"/>
  <c r="T139" i="19"/>
  <c r="N239" i="19"/>
  <c r="W239" i="19"/>
  <c r="W39" i="19"/>
  <c r="T89" i="19"/>
  <c r="Q139" i="19"/>
  <c r="K189" i="19"/>
  <c r="Q189" i="19"/>
  <c r="K139" i="19"/>
  <c r="K89" i="19"/>
  <c r="K39" i="19"/>
  <c r="N89" i="19"/>
  <c r="Q39" i="19"/>
  <c r="N39" i="19"/>
  <c r="K239" i="19"/>
  <c r="X242" i="19"/>
  <c r="X42" i="19"/>
  <c r="U92" i="19"/>
  <c r="X92" i="19"/>
  <c r="U142" i="19"/>
  <c r="R192" i="19"/>
  <c r="X142" i="19"/>
  <c r="U192" i="19"/>
  <c r="X192" i="19"/>
  <c r="U242" i="19"/>
  <c r="U42" i="19"/>
  <c r="R142" i="19"/>
  <c r="R42" i="19"/>
  <c r="R242" i="19"/>
  <c r="R92" i="19"/>
  <c r="O192" i="19"/>
  <c r="O242" i="19"/>
  <c r="O42" i="19"/>
  <c r="L242" i="19"/>
  <c r="O92" i="19"/>
  <c r="L192" i="19"/>
  <c r="L42" i="19"/>
  <c r="L142" i="19"/>
  <c r="O142" i="19"/>
  <c r="L92" i="19"/>
  <c r="W143" i="19"/>
  <c r="T193" i="19"/>
  <c r="W193" i="19"/>
  <c r="T243" i="19"/>
  <c r="T43" i="19"/>
  <c r="Q193" i="19"/>
  <c r="Q243" i="19"/>
  <c r="Q93" i="19"/>
  <c r="N143" i="19"/>
  <c r="W93" i="19"/>
  <c r="T143" i="19"/>
  <c r="N193" i="19"/>
  <c r="W243" i="19"/>
  <c r="W43" i="19"/>
  <c r="T93" i="19"/>
  <c r="N243" i="19"/>
  <c r="N93" i="19"/>
  <c r="K193" i="19"/>
  <c r="K43" i="19"/>
  <c r="K143" i="19"/>
  <c r="K93" i="19"/>
  <c r="Q43" i="19"/>
  <c r="Q143" i="19"/>
  <c r="N43" i="19"/>
  <c r="K243" i="19"/>
  <c r="W194" i="19"/>
  <c r="T244" i="19"/>
  <c r="T44" i="19"/>
  <c r="W244" i="19"/>
  <c r="W44" i="19"/>
  <c r="T94" i="19"/>
  <c r="Q244" i="19"/>
  <c r="W94" i="19"/>
  <c r="T144" i="19"/>
  <c r="N194" i="19"/>
  <c r="N244" i="19"/>
  <c r="Q144" i="19"/>
  <c r="Q44" i="19"/>
  <c r="N94" i="19"/>
  <c r="W144" i="19"/>
  <c r="T194" i="19"/>
  <c r="Q194" i="19"/>
  <c r="K44" i="19"/>
  <c r="K144" i="19"/>
  <c r="Q94" i="19"/>
  <c r="K94" i="19"/>
  <c r="N144" i="19"/>
  <c r="N44" i="19"/>
  <c r="K244" i="19"/>
  <c r="K194" i="19"/>
  <c r="X67" i="19"/>
  <c r="U117" i="19"/>
  <c r="X117" i="19"/>
  <c r="U167" i="19"/>
  <c r="R217" i="19"/>
  <c r="X167" i="19"/>
  <c r="U217" i="19"/>
  <c r="X217" i="19"/>
  <c r="X17" i="19"/>
  <c r="U67" i="19"/>
  <c r="R67" i="19"/>
  <c r="O117" i="19"/>
  <c r="R167" i="19"/>
  <c r="R117" i="19"/>
  <c r="O217" i="19"/>
  <c r="U17" i="19"/>
  <c r="R17" i="19"/>
  <c r="O67" i="19"/>
  <c r="L167" i="19"/>
  <c r="L117" i="19"/>
  <c r="L67" i="19"/>
  <c r="O167" i="19"/>
  <c r="O17" i="19"/>
  <c r="L217" i="19"/>
  <c r="X178" i="19"/>
  <c r="U228" i="19"/>
  <c r="U28" i="19"/>
  <c r="X228" i="19"/>
  <c r="X28" i="19"/>
  <c r="U78" i="19"/>
  <c r="R128" i="19"/>
  <c r="X78" i="19"/>
  <c r="U128" i="19"/>
  <c r="X128" i="19"/>
  <c r="U178" i="19"/>
  <c r="R178" i="19"/>
  <c r="O228" i="19"/>
  <c r="R228" i="19"/>
  <c r="R28" i="19"/>
  <c r="R78" i="19"/>
  <c r="O178" i="19"/>
  <c r="L78" i="19"/>
  <c r="O128" i="19"/>
  <c r="O28" i="19"/>
  <c r="L228" i="19"/>
  <c r="L178" i="19"/>
  <c r="O78" i="19"/>
  <c r="L128" i="19"/>
  <c r="X85" i="19"/>
  <c r="U135" i="19"/>
  <c r="X135" i="19"/>
  <c r="U185" i="19"/>
  <c r="R235" i="19"/>
  <c r="X185" i="19"/>
  <c r="U235" i="19"/>
  <c r="U35" i="19"/>
  <c r="X235" i="19"/>
  <c r="X35" i="19"/>
  <c r="U85" i="19"/>
  <c r="R85" i="19"/>
  <c r="O135" i="19"/>
  <c r="O235" i="19"/>
  <c r="R135" i="19"/>
  <c r="R185" i="19"/>
  <c r="R35" i="19"/>
  <c r="O85" i="19"/>
  <c r="O185" i="19"/>
  <c r="L185" i="19"/>
  <c r="L135" i="19"/>
  <c r="L85" i="19"/>
  <c r="O35" i="19"/>
  <c r="L235" i="19"/>
  <c r="W92" i="19"/>
  <c r="T142" i="19"/>
  <c r="W142" i="19"/>
  <c r="T192" i="19"/>
  <c r="W192" i="19"/>
  <c r="T242" i="19"/>
  <c r="T42" i="19"/>
  <c r="Q192" i="19"/>
  <c r="Q142" i="19"/>
  <c r="Q42" i="19"/>
  <c r="Q242" i="19"/>
  <c r="Q92" i="19"/>
  <c r="N142" i="19"/>
  <c r="W242" i="19"/>
  <c r="W42" i="19"/>
  <c r="T92" i="19"/>
  <c r="N192" i="19"/>
  <c r="N42" i="19"/>
  <c r="K242" i="19"/>
  <c r="K42" i="19"/>
  <c r="N242" i="19"/>
  <c r="N92" i="19"/>
  <c r="K192" i="19"/>
  <c r="K142" i="19"/>
  <c r="K92" i="19"/>
  <c r="W245" i="19"/>
  <c r="W45" i="19"/>
  <c r="T95" i="19"/>
  <c r="W95" i="19"/>
  <c r="T145" i="19"/>
  <c r="W195" i="19"/>
  <c r="T245" i="19"/>
  <c r="T45" i="19"/>
  <c r="N245" i="19"/>
  <c r="Q145" i="19"/>
  <c r="Q45" i="19"/>
  <c r="N95" i="19"/>
  <c r="Q195" i="19"/>
  <c r="W145" i="19"/>
  <c r="T195" i="19"/>
  <c r="Q95" i="19"/>
  <c r="N145" i="19"/>
  <c r="Q245" i="19"/>
  <c r="K95" i="19"/>
  <c r="N45" i="19"/>
  <c r="K245" i="19"/>
  <c r="K195" i="19"/>
  <c r="N195" i="19"/>
  <c r="K145" i="19"/>
  <c r="K45" i="19"/>
  <c r="W215" i="19"/>
  <c r="W15" i="19"/>
  <c r="T65" i="19"/>
  <c r="W65" i="19"/>
  <c r="T115" i="19"/>
  <c r="N215" i="19"/>
  <c r="W115" i="19"/>
  <c r="T165" i="19"/>
  <c r="T15" i="19"/>
  <c r="Q15" i="19"/>
  <c r="N65" i="19"/>
  <c r="Q65" i="19"/>
  <c r="N115" i="19"/>
  <c r="Q165" i="19"/>
  <c r="K65" i="19"/>
  <c r="N15" i="19"/>
  <c r="K215" i="19"/>
  <c r="W165" i="19"/>
  <c r="Q215" i="19"/>
  <c r="K165" i="19"/>
  <c r="T215" i="19"/>
  <c r="Q115" i="19"/>
  <c r="N165" i="19"/>
  <c r="K115" i="19"/>
  <c r="X216" i="19"/>
  <c r="X16" i="19"/>
  <c r="U66" i="19"/>
  <c r="X66" i="19"/>
  <c r="U116" i="19"/>
  <c r="R166" i="19"/>
  <c r="X116" i="19"/>
  <c r="U166" i="19"/>
  <c r="X166" i="19"/>
  <c r="U216" i="19"/>
  <c r="U16" i="19"/>
  <c r="R16" i="19"/>
  <c r="R66" i="19"/>
  <c r="R216" i="19"/>
  <c r="R116" i="19"/>
  <c r="O166" i="19"/>
  <c r="O216" i="19"/>
  <c r="O16" i="19"/>
  <c r="L216" i="19"/>
  <c r="L166" i="19"/>
  <c r="L116" i="19"/>
  <c r="O66" i="19"/>
  <c r="O116" i="19"/>
  <c r="L66" i="19"/>
  <c r="X169" i="19"/>
  <c r="U219" i="19"/>
  <c r="U19" i="19"/>
  <c r="X219" i="19"/>
  <c r="X19" i="19"/>
  <c r="U69" i="19"/>
  <c r="X69" i="19"/>
  <c r="U119" i="19"/>
  <c r="X119" i="19"/>
  <c r="U169" i="19"/>
  <c r="O219" i="19"/>
  <c r="R19" i="19"/>
  <c r="R69" i="19"/>
  <c r="R169" i="19"/>
  <c r="R119" i="19"/>
  <c r="O169" i="19"/>
  <c r="L69" i="19"/>
  <c r="O69" i="19"/>
  <c r="R219" i="19"/>
  <c r="O119" i="19"/>
  <c r="O19" i="19"/>
  <c r="L219" i="19"/>
  <c r="L169" i="19"/>
  <c r="L119" i="19"/>
  <c r="W172" i="19"/>
  <c r="T222" i="19"/>
  <c r="T22" i="19"/>
  <c r="W222" i="19"/>
  <c r="W22" i="19"/>
  <c r="T72" i="19"/>
  <c r="W72" i="19"/>
  <c r="T122" i="19"/>
  <c r="Q122" i="19"/>
  <c r="N172" i="19"/>
  <c r="Q172" i="19"/>
  <c r="Q222" i="19"/>
  <c r="N222" i="19"/>
  <c r="Q22" i="19"/>
  <c r="W122" i="19"/>
  <c r="T172" i="19"/>
  <c r="K122" i="19"/>
  <c r="K72" i="19"/>
  <c r="N72" i="19"/>
  <c r="N22" i="19"/>
  <c r="K222" i="19"/>
  <c r="Q72" i="19"/>
  <c r="N122" i="19"/>
  <c r="K172" i="19"/>
  <c r="W84" i="19"/>
  <c r="T134" i="19"/>
  <c r="W134" i="19"/>
  <c r="T184" i="19"/>
  <c r="W184" i="19"/>
  <c r="T234" i="19"/>
  <c r="T34" i="19"/>
  <c r="Q184" i="19"/>
  <c r="Q134" i="19"/>
  <c r="Q234" i="19"/>
  <c r="Q34" i="19"/>
  <c r="Q84" i="19"/>
  <c r="N134" i="19"/>
  <c r="W234" i="19"/>
  <c r="W34" i="19"/>
  <c r="T84" i="19"/>
  <c r="N184" i="19"/>
  <c r="N234" i="19"/>
  <c r="N34" i="19"/>
  <c r="K234" i="19"/>
  <c r="K184" i="19"/>
  <c r="K134" i="19"/>
  <c r="N84" i="19"/>
  <c r="K84" i="19"/>
  <c r="X89" i="19"/>
  <c r="U139" i="19"/>
  <c r="X139" i="19"/>
  <c r="U189" i="19"/>
  <c r="R239" i="19"/>
  <c r="X189" i="19"/>
  <c r="U239" i="19"/>
  <c r="U39" i="19"/>
  <c r="X239" i="19"/>
  <c r="X39" i="19"/>
  <c r="U89" i="19"/>
  <c r="R89" i="19"/>
  <c r="O139" i="19"/>
  <c r="O239" i="19"/>
  <c r="R139" i="19"/>
  <c r="R189" i="19"/>
  <c r="R39" i="19"/>
  <c r="O89" i="19"/>
  <c r="L189" i="19"/>
  <c r="O189" i="19"/>
  <c r="L139" i="19"/>
  <c r="L89" i="19"/>
  <c r="O39" i="19"/>
  <c r="L239" i="19"/>
  <c r="L39" i="19"/>
  <c r="X191" i="19"/>
  <c r="U241" i="19"/>
  <c r="U41" i="19"/>
  <c r="X241" i="19"/>
  <c r="X41" i="19"/>
  <c r="U91" i="19"/>
  <c r="R141" i="19"/>
  <c r="X91" i="19"/>
  <c r="U141" i="19"/>
  <c r="X141" i="19"/>
  <c r="U191" i="19"/>
  <c r="O241" i="19"/>
  <c r="R191" i="19"/>
  <c r="R41" i="19"/>
  <c r="R241" i="19"/>
  <c r="R91" i="19"/>
  <c r="O141" i="19"/>
  <c r="O191" i="19"/>
  <c r="L91" i="19"/>
  <c r="O41" i="19"/>
  <c r="L241" i="19"/>
  <c r="O91" i="19"/>
  <c r="L191" i="19"/>
  <c r="L41" i="19"/>
  <c r="L141" i="19"/>
  <c r="W70" i="19"/>
  <c r="T120" i="19"/>
  <c r="W120" i="19"/>
  <c r="T170" i="19"/>
  <c r="Q20" i="19"/>
  <c r="W170" i="19"/>
  <c r="T220" i="19"/>
  <c r="T20" i="19"/>
  <c r="Q70" i="19"/>
  <c r="N120" i="19"/>
  <c r="Q170" i="19"/>
  <c r="Q120" i="19"/>
  <c r="N170" i="19"/>
  <c r="W220" i="19"/>
  <c r="W20" i="19"/>
  <c r="T70" i="19"/>
  <c r="Q220" i="19"/>
  <c r="N70" i="19"/>
  <c r="N20" i="19"/>
  <c r="K220" i="19"/>
  <c r="K170" i="19"/>
  <c r="K120" i="19"/>
  <c r="N220" i="19"/>
  <c r="K70" i="19"/>
  <c r="X122" i="19"/>
  <c r="U172" i="19"/>
  <c r="X172" i="19"/>
  <c r="U222" i="19"/>
  <c r="U22" i="19"/>
  <c r="X222" i="19"/>
  <c r="X22" i="19"/>
  <c r="U72" i="19"/>
  <c r="X72" i="19"/>
  <c r="U122" i="19"/>
  <c r="R122" i="19"/>
  <c r="O172" i="19"/>
  <c r="R172" i="19"/>
  <c r="R222" i="19"/>
  <c r="O222" i="19"/>
  <c r="R22" i="19"/>
  <c r="R72" i="19"/>
  <c r="O122" i="19"/>
  <c r="L122" i="19"/>
  <c r="L72" i="19"/>
  <c r="O72" i="19"/>
  <c r="O22" i="19"/>
  <c r="L222" i="19"/>
  <c r="L172" i="19"/>
  <c r="W79" i="19"/>
  <c r="T129" i="19"/>
  <c r="W129" i="19"/>
  <c r="T179" i="19"/>
  <c r="W229" i="19"/>
  <c r="W29" i="19"/>
  <c r="T79" i="19"/>
  <c r="Q229" i="19"/>
  <c r="Q29" i="19"/>
  <c r="Q79" i="19"/>
  <c r="N129" i="19"/>
  <c r="W179" i="19"/>
  <c r="T229" i="19"/>
  <c r="T29" i="19"/>
  <c r="N179" i="19"/>
  <c r="N29" i="19"/>
  <c r="K229" i="19"/>
  <c r="Q179" i="19"/>
  <c r="N229" i="19"/>
  <c r="K179" i="19"/>
  <c r="N79" i="19"/>
  <c r="K129" i="19"/>
  <c r="Q129" i="19"/>
  <c r="K79" i="19"/>
  <c r="W241" i="19"/>
  <c r="W41" i="19"/>
  <c r="T91" i="19"/>
  <c r="W91" i="19"/>
  <c r="T141" i="19"/>
  <c r="N241" i="19"/>
  <c r="W191" i="19"/>
  <c r="T241" i="19"/>
  <c r="T41" i="19"/>
  <c r="Q141" i="19"/>
  <c r="Q191" i="19"/>
  <c r="Q41" i="19"/>
  <c r="N91" i="19"/>
  <c r="Q241" i="19"/>
  <c r="Q91" i="19"/>
  <c r="N141" i="19"/>
  <c r="W141" i="19"/>
  <c r="N191" i="19"/>
  <c r="K91" i="19"/>
  <c r="T191" i="19"/>
  <c r="N41" i="19"/>
  <c r="K241" i="19"/>
  <c r="K41" i="19"/>
  <c r="K191" i="19"/>
  <c r="K141" i="19"/>
  <c r="X144" i="19"/>
  <c r="U194" i="19"/>
  <c r="X194" i="19"/>
  <c r="U244" i="19"/>
  <c r="U44" i="19"/>
  <c r="X244" i="19"/>
  <c r="X44" i="19"/>
  <c r="U94" i="19"/>
  <c r="X94" i="19"/>
  <c r="U144" i="19"/>
  <c r="O194" i="19"/>
  <c r="O244" i="19"/>
  <c r="R144" i="19"/>
  <c r="R44" i="19"/>
  <c r="R194" i="19"/>
  <c r="R94" i="19"/>
  <c r="O144" i="19"/>
  <c r="O94" i="19"/>
  <c r="L144" i="19"/>
  <c r="L44" i="19"/>
  <c r="L94" i="19"/>
  <c r="O44" i="19"/>
  <c r="L244" i="19"/>
  <c r="R244" i="19"/>
  <c r="L194" i="19"/>
  <c r="W164" i="19"/>
  <c r="T214" i="19"/>
  <c r="T14" i="19"/>
  <c r="W214" i="19"/>
  <c r="W14" i="19"/>
  <c r="T64" i="19"/>
  <c r="Q164" i="19"/>
  <c r="Q214" i="19"/>
  <c r="Q114" i="19"/>
  <c r="N164" i="19"/>
  <c r="W114" i="19"/>
  <c r="T164" i="19"/>
  <c r="N214" i="19"/>
  <c r="Q14" i="19"/>
  <c r="W64" i="19"/>
  <c r="T114" i="19"/>
  <c r="N114" i="19"/>
  <c r="Q64" i="19"/>
  <c r="N64" i="19"/>
  <c r="K114" i="19"/>
  <c r="K64" i="19"/>
  <c r="N14" i="19"/>
  <c r="K214" i="19"/>
  <c r="K164" i="19"/>
  <c r="X165" i="19"/>
  <c r="U215" i="19"/>
  <c r="X215" i="19"/>
  <c r="X15" i="19"/>
  <c r="U65" i="19"/>
  <c r="X65" i="19"/>
  <c r="U115" i="19"/>
  <c r="X115" i="19"/>
  <c r="U165" i="19"/>
  <c r="O215" i="19"/>
  <c r="U15" i="19"/>
  <c r="R15" i="19"/>
  <c r="R65" i="19"/>
  <c r="R165" i="19"/>
  <c r="R215" i="19"/>
  <c r="R115" i="19"/>
  <c r="O165" i="19"/>
  <c r="L65" i="19"/>
  <c r="O15" i="19"/>
  <c r="L215" i="19"/>
  <c r="L165" i="19"/>
  <c r="L115" i="19"/>
  <c r="O115" i="19"/>
  <c r="O65" i="19"/>
  <c r="W113" i="19"/>
  <c r="T163" i="19"/>
  <c r="W163" i="19"/>
  <c r="T213" i="19"/>
  <c r="Q63" i="19"/>
  <c r="Q213" i="19"/>
  <c r="Q163" i="19"/>
  <c r="W213" i="19"/>
  <c r="W13" i="19"/>
  <c r="T63" i="19"/>
  <c r="Q113" i="19"/>
  <c r="N163" i="19"/>
  <c r="T13" i="19"/>
  <c r="N213" i="19"/>
  <c r="N113" i="19"/>
  <c r="K163" i="19"/>
  <c r="W63" i="19"/>
  <c r="N63" i="19"/>
  <c r="K113" i="19"/>
  <c r="T113" i="19"/>
  <c r="K63" i="19"/>
  <c r="Q13" i="19"/>
  <c r="N13" i="19"/>
  <c r="K213" i="19"/>
  <c r="X114" i="19"/>
  <c r="U164" i="19"/>
  <c r="X164" i="19"/>
  <c r="U214" i="19"/>
  <c r="U14" i="19"/>
  <c r="X214" i="19"/>
  <c r="X14" i="19"/>
  <c r="U64" i="19"/>
  <c r="X64" i="19"/>
  <c r="U114" i="19"/>
  <c r="R214" i="19"/>
  <c r="R114" i="19"/>
  <c r="O164" i="19"/>
  <c r="O214" i="19"/>
  <c r="R14" i="19"/>
  <c r="R64" i="19"/>
  <c r="O114" i="19"/>
  <c r="O64" i="19"/>
  <c r="L114" i="19"/>
  <c r="R164" i="19"/>
  <c r="L64" i="19"/>
  <c r="O14" i="19"/>
  <c r="L214" i="19"/>
  <c r="L164" i="19"/>
  <c r="W117" i="19"/>
  <c r="T167" i="19"/>
  <c r="W167" i="19"/>
  <c r="T217" i="19"/>
  <c r="W217" i="19"/>
  <c r="W17" i="19"/>
  <c r="T67" i="19"/>
  <c r="Q67" i="19"/>
  <c r="Q217" i="19"/>
  <c r="Q167" i="19"/>
  <c r="Q117" i="19"/>
  <c r="N167" i="19"/>
  <c r="W67" i="19"/>
  <c r="T117" i="19"/>
  <c r="N217" i="19"/>
  <c r="T17" i="19"/>
  <c r="K167" i="19"/>
  <c r="K117" i="19"/>
  <c r="N67" i="19"/>
  <c r="N117" i="19"/>
  <c r="K67" i="19"/>
  <c r="Q17" i="19"/>
  <c r="N17" i="19"/>
  <c r="K217" i="19"/>
  <c r="X220" i="19"/>
  <c r="X20" i="19"/>
  <c r="U70" i="19"/>
  <c r="X70" i="19"/>
  <c r="U120" i="19"/>
  <c r="R170" i="19"/>
  <c r="X120" i="19"/>
  <c r="U170" i="19"/>
  <c r="X170" i="19"/>
  <c r="U220" i="19"/>
  <c r="U20" i="19"/>
  <c r="R20" i="19"/>
  <c r="R70" i="19"/>
  <c r="R120" i="19"/>
  <c r="O170" i="19"/>
  <c r="R220" i="19"/>
  <c r="O220" i="19"/>
  <c r="O20" i="19"/>
  <c r="L220" i="19"/>
  <c r="O120" i="19"/>
  <c r="L170" i="19"/>
  <c r="L120" i="19"/>
  <c r="L70" i="19"/>
  <c r="O70" i="19"/>
  <c r="X234" i="19"/>
  <c r="X34" i="19"/>
  <c r="U84" i="19"/>
  <c r="X84" i="19"/>
  <c r="U134" i="19"/>
  <c r="R184" i="19"/>
  <c r="X134" i="19"/>
  <c r="U184" i="19"/>
  <c r="X184" i="19"/>
  <c r="U234" i="19"/>
  <c r="U34" i="19"/>
  <c r="R234" i="19"/>
  <c r="R34" i="19"/>
  <c r="R84" i="19"/>
  <c r="O184" i="19"/>
  <c r="O234" i="19"/>
  <c r="O34" i="19"/>
  <c r="L234" i="19"/>
  <c r="L184" i="19"/>
  <c r="R134" i="19"/>
  <c r="L134" i="19"/>
  <c r="O134" i="19"/>
  <c r="O84" i="19"/>
  <c r="L84" i="19"/>
  <c r="X93" i="19"/>
  <c r="U143" i="19"/>
  <c r="X143" i="19"/>
  <c r="U193" i="19"/>
  <c r="R243" i="19"/>
  <c r="X193" i="19"/>
  <c r="U243" i="19"/>
  <c r="U43" i="19"/>
  <c r="X243" i="19"/>
  <c r="X43" i="19"/>
  <c r="U93" i="19"/>
  <c r="R93" i="19"/>
  <c r="O143" i="19"/>
  <c r="O243" i="19"/>
  <c r="R143" i="19"/>
  <c r="R43" i="19"/>
  <c r="O93" i="19"/>
  <c r="O193" i="19"/>
  <c r="L193" i="19"/>
  <c r="R193" i="19"/>
  <c r="L143" i="19"/>
  <c r="L43" i="19"/>
  <c r="L93" i="19"/>
  <c r="O43" i="19"/>
  <c r="L243" i="19"/>
  <c r="W96" i="19"/>
  <c r="W246" i="19"/>
  <c r="W46" i="19"/>
  <c r="W196" i="19"/>
  <c r="T246" i="19"/>
  <c r="W146" i="19"/>
  <c r="T196" i="19"/>
  <c r="T146" i="19"/>
  <c r="Q196" i="19"/>
  <c r="N246" i="19"/>
  <c r="T96" i="19"/>
  <c r="Q146" i="19"/>
  <c r="N196" i="19"/>
  <c r="T46" i="19"/>
  <c r="Q96" i="19"/>
  <c r="N146" i="19"/>
  <c r="K146" i="19"/>
  <c r="N96" i="19"/>
  <c r="K196" i="19"/>
  <c r="Q46" i="19"/>
  <c r="Q246" i="19"/>
  <c r="K96" i="19"/>
  <c r="K46" i="19"/>
  <c r="N46" i="19"/>
  <c r="K246" i="19"/>
  <c r="X246" i="19"/>
  <c r="X46" i="19"/>
  <c r="X196" i="19"/>
  <c r="U246" i="19"/>
  <c r="X146" i="19"/>
  <c r="U196" i="19"/>
  <c r="X96" i="19"/>
  <c r="U96" i="19"/>
  <c r="R146" i="19"/>
  <c r="O196" i="19"/>
  <c r="U46" i="19"/>
  <c r="R96" i="19"/>
  <c r="O146" i="19"/>
  <c r="U146" i="19"/>
  <c r="R196" i="19"/>
  <c r="O246" i="19"/>
  <c r="O96" i="19"/>
  <c r="L196" i="19"/>
  <c r="O46" i="19"/>
  <c r="L246" i="19"/>
  <c r="R246" i="19"/>
  <c r="L96" i="19"/>
  <c r="L46" i="19"/>
  <c r="R46" i="19"/>
  <c r="L146" i="19"/>
  <c r="L13" i="19"/>
  <c r="K14" i="19"/>
  <c r="L15" i="19"/>
  <c r="K16" i="19"/>
  <c r="L17" i="19"/>
  <c r="K19" i="19"/>
  <c r="K20" i="19"/>
  <c r="L22" i="19"/>
  <c r="K28" i="19"/>
  <c r="K29" i="19"/>
  <c r="L29" i="19"/>
  <c r="K35" i="19"/>
  <c r="K13" i="19"/>
  <c r="L14" i="19"/>
  <c r="K15" i="19"/>
  <c r="L16" i="19"/>
  <c r="K17" i="19"/>
  <c r="L19" i="19"/>
  <c r="L20" i="19"/>
  <c r="K22" i="19"/>
  <c r="L28" i="19"/>
  <c r="K34" i="19"/>
  <c r="L34" i="19"/>
  <c r="L35" i="19"/>
  <c r="AC83" i="1"/>
  <c r="AB83" i="1"/>
  <c r="AC84" i="1"/>
  <c r="AF29" i="1"/>
  <c r="AF93" i="1"/>
  <c r="AF113" i="1"/>
  <c r="AF26" i="1"/>
  <c r="AF38" i="1"/>
  <c r="AF47" i="1"/>
  <c r="AF77" i="1"/>
  <c r="AF95" i="1"/>
  <c r="AF104" i="1"/>
  <c r="AF110" i="1"/>
  <c r="AF120" i="1"/>
  <c r="AF33" i="1"/>
  <c r="AF30" i="1"/>
  <c r="AF92" i="1"/>
  <c r="AF96" i="1"/>
  <c r="AF105" i="1"/>
  <c r="AF117" i="1"/>
  <c r="AF111" i="1"/>
  <c r="AF35" i="1"/>
  <c r="AF39" i="1"/>
  <c r="AF48" i="1"/>
  <c r="AF53" i="1"/>
  <c r="AF125" i="1"/>
  <c r="AF122" i="1"/>
  <c r="AF27" i="1"/>
  <c r="AF32" i="1"/>
  <c r="AF36" i="1"/>
  <c r="AF44" i="1"/>
  <c r="AF54" i="1"/>
  <c r="AF78" i="1"/>
  <c r="AF126" i="1"/>
  <c r="AF114" i="1"/>
  <c r="AF116" i="1"/>
  <c r="AF119" i="1"/>
  <c r="AF45" i="1"/>
  <c r="AA49" i="1"/>
  <c r="AA50" i="1" s="1"/>
  <c r="AA58" i="1"/>
  <c r="AA59" i="1" s="1"/>
  <c r="AA61" i="1"/>
  <c r="AA62" i="1" s="1"/>
  <c r="AA64" i="1"/>
  <c r="AA67" i="1"/>
  <c r="AA79" i="1"/>
  <c r="AA80" i="1" s="1"/>
  <c r="AA88" i="1"/>
  <c r="AA89" i="1" s="1"/>
  <c r="AA106" i="1"/>
  <c r="AA107" i="1" s="1"/>
  <c r="AA108" i="1" l="1"/>
  <c r="AC107" i="1"/>
  <c r="AB107" i="1"/>
  <c r="AA63" i="1"/>
  <c r="AB62" i="1"/>
  <c r="AC62" i="1"/>
  <c r="AA51" i="1"/>
  <c r="AC50" i="1"/>
  <c r="AB50" i="1"/>
  <c r="AA90" i="1"/>
  <c r="AB89" i="1"/>
  <c r="AC89" i="1"/>
  <c r="AA81" i="1"/>
  <c r="AB80" i="1"/>
  <c r="AC80" i="1"/>
  <c r="AA60" i="1"/>
  <c r="AB59" i="1"/>
  <c r="AC59" i="1"/>
  <c r="AC88" i="1"/>
  <c r="AB88" i="1"/>
  <c r="AC58" i="1"/>
  <c r="AB58" i="1"/>
  <c r="AC61" i="1"/>
  <c r="AB61" i="1"/>
  <c r="AC82" i="1"/>
  <c r="AB82" i="1"/>
  <c r="AC67" i="1"/>
  <c r="AB67" i="1"/>
  <c r="AC91" i="1"/>
  <c r="AB91" i="1"/>
  <c r="AC49" i="1"/>
  <c r="AB49" i="1"/>
  <c r="AC106" i="1"/>
  <c r="AB106" i="1"/>
  <c r="AC79" i="1"/>
  <c r="AB79" i="1"/>
  <c r="AC64" i="1"/>
  <c r="AB64" i="1"/>
  <c r="AA97" i="1"/>
  <c r="AA55" i="1"/>
  <c r="AA56" i="1" s="1"/>
  <c r="AA19" i="1"/>
  <c r="AA20" i="1" s="1"/>
  <c r="AA16" i="1"/>
  <c r="AA17" i="1" s="1"/>
  <c r="W7" i="1"/>
  <c r="K7" i="1"/>
  <c r="W130" i="19" l="1"/>
  <c r="T180" i="19"/>
  <c r="W180" i="19"/>
  <c r="T230" i="19"/>
  <c r="T30" i="19"/>
  <c r="Q80" i="19"/>
  <c r="N130" i="19"/>
  <c r="N180" i="19"/>
  <c r="W80" i="19"/>
  <c r="T130" i="19"/>
  <c r="Q130" i="19"/>
  <c r="N230" i="19"/>
  <c r="Q230" i="19"/>
  <c r="Q180" i="19"/>
  <c r="K180" i="19"/>
  <c r="W230" i="19"/>
  <c r="N80" i="19"/>
  <c r="K130" i="19"/>
  <c r="W30" i="19"/>
  <c r="K80" i="19"/>
  <c r="T80" i="19"/>
  <c r="Q30" i="19"/>
  <c r="N30" i="19"/>
  <c r="K230" i="19"/>
  <c r="W125" i="19"/>
  <c r="T175" i="19"/>
  <c r="W175" i="19"/>
  <c r="T225" i="19"/>
  <c r="T25" i="19"/>
  <c r="W75" i="19"/>
  <c r="T125" i="19"/>
  <c r="Q75" i="19"/>
  <c r="N125" i="19"/>
  <c r="W225" i="19"/>
  <c r="W25" i="19"/>
  <c r="T75" i="19"/>
  <c r="N175" i="19"/>
  <c r="Q125" i="19"/>
  <c r="Q225" i="19"/>
  <c r="Q175" i="19"/>
  <c r="N225" i="19"/>
  <c r="N75" i="19"/>
  <c r="K175" i="19"/>
  <c r="Q25" i="19"/>
  <c r="K125" i="19"/>
  <c r="K75" i="19"/>
  <c r="N25" i="19"/>
  <c r="K225" i="19"/>
  <c r="W233" i="19"/>
  <c r="W33" i="19"/>
  <c r="T83" i="19"/>
  <c r="W83" i="19"/>
  <c r="T133" i="19"/>
  <c r="W183" i="19"/>
  <c r="T233" i="19"/>
  <c r="T33" i="19"/>
  <c r="Q133" i="19"/>
  <c r="N233" i="19"/>
  <c r="Q183" i="19"/>
  <c r="Q233" i="19"/>
  <c r="Q33" i="19"/>
  <c r="N83" i="19"/>
  <c r="Q83" i="19"/>
  <c r="N133" i="19"/>
  <c r="N183" i="19"/>
  <c r="K83" i="19"/>
  <c r="N33" i="19"/>
  <c r="K233" i="19"/>
  <c r="W133" i="19"/>
  <c r="K183" i="19"/>
  <c r="T183" i="19"/>
  <c r="K133" i="19"/>
  <c r="W190" i="19"/>
  <c r="T240" i="19"/>
  <c r="T40" i="19"/>
  <c r="W240" i="19"/>
  <c r="W40" i="19"/>
  <c r="T90" i="19"/>
  <c r="W140" i="19"/>
  <c r="T190" i="19"/>
  <c r="N190" i="19"/>
  <c r="W90" i="19"/>
  <c r="T140" i="19"/>
  <c r="N240" i="19"/>
  <c r="Q140" i="19"/>
  <c r="Q190" i="19"/>
  <c r="Q40" i="19"/>
  <c r="N90" i="19"/>
  <c r="K140" i="19"/>
  <c r="K90" i="19"/>
  <c r="Q90" i="19"/>
  <c r="K40" i="19"/>
  <c r="N40" i="19"/>
  <c r="K240" i="19"/>
  <c r="Q240" i="19"/>
  <c r="N140" i="19"/>
  <c r="K190" i="19"/>
  <c r="W74" i="19"/>
  <c r="T124" i="19"/>
  <c r="W124" i="19"/>
  <c r="T174" i="19"/>
  <c r="W174" i="19"/>
  <c r="T224" i="19"/>
  <c r="T24" i="19"/>
  <c r="Q24" i="19"/>
  <c r="Q74" i="19"/>
  <c r="N124" i="19"/>
  <c r="W224" i="19"/>
  <c r="W24" i="19"/>
  <c r="T74" i="19"/>
  <c r="N174" i="19"/>
  <c r="Q174" i="19"/>
  <c r="Q124" i="19"/>
  <c r="Q224" i="19"/>
  <c r="N24" i="19"/>
  <c r="K224" i="19"/>
  <c r="N74" i="19"/>
  <c r="K174" i="19"/>
  <c r="K124" i="19"/>
  <c r="N224" i="19"/>
  <c r="K74" i="19"/>
  <c r="W121" i="19"/>
  <c r="T171" i="19"/>
  <c r="W171" i="19"/>
  <c r="T221" i="19"/>
  <c r="T21" i="19"/>
  <c r="Q71" i="19"/>
  <c r="W71" i="19"/>
  <c r="T121" i="19"/>
  <c r="Q121" i="19"/>
  <c r="N171" i="19"/>
  <c r="Q221" i="19"/>
  <c r="Q171" i="19"/>
  <c r="W221" i="19"/>
  <c r="W21" i="19"/>
  <c r="T71" i="19"/>
  <c r="N221" i="19"/>
  <c r="N121" i="19"/>
  <c r="K171" i="19"/>
  <c r="Q21" i="19"/>
  <c r="K121" i="19"/>
  <c r="K71" i="19"/>
  <c r="N71" i="19"/>
  <c r="N21" i="19"/>
  <c r="K221" i="19"/>
  <c r="T226" i="19"/>
  <c r="Q76" i="19"/>
  <c r="W126" i="19"/>
  <c r="W26" i="19"/>
  <c r="Q126" i="19"/>
  <c r="Q176" i="19"/>
  <c r="N26" i="19"/>
  <c r="N76" i="19"/>
  <c r="W176" i="19"/>
  <c r="T26" i="19"/>
  <c r="N126" i="19"/>
  <c r="W226" i="19"/>
  <c r="T76" i="19"/>
  <c r="N176" i="19"/>
  <c r="T126" i="19"/>
  <c r="N226" i="19"/>
  <c r="K226" i="19"/>
  <c r="W76" i="19"/>
  <c r="T176" i="19"/>
  <c r="Q26" i="19"/>
  <c r="K176" i="19"/>
  <c r="K126" i="19"/>
  <c r="K76" i="19"/>
  <c r="Q226" i="19"/>
  <c r="K33" i="19"/>
  <c r="K21" i="19"/>
  <c r="K25" i="19"/>
  <c r="K30" i="19"/>
  <c r="K24" i="19"/>
  <c r="K27" i="19"/>
  <c r="K26" i="19"/>
  <c r="AF89" i="1"/>
  <c r="AA18" i="1"/>
  <c r="AC17" i="1"/>
  <c r="AB17" i="1"/>
  <c r="AF80" i="1"/>
  <c r="AC90" i="1"/>
  <c r="AB90" i="1"/>
  <c r="AF50" i="1"/>
  <c r="AF62" i="1"/>
  <c r="AB108" i="1"/>
  <c r="AC108" i="1"/>
  <c r="AA21" i="1"/>
  <c r="AB20" i="1"/>
  <c r="AC20" i="1"/>
  <c r="AF59" i="1"/>
  <c r="AB81" i="1"/>
  <c r="AC81" i="1"/>
  <c r="AB63" i="1"/>
  <c r="AC63" i="1"/>
  <c r="AA57" i="1"/>
  <c r="AB56" i="1"/>
  <c r="AC56" i="1"/>
  <c r="AC60" i="1"/>
  <c r="AB60" i="1"/>
  <c r="AB51" i="1"/>
  <c r="AC51" i="1"/>
  <c r="AF107" i="1"/>
  <c r="AC19" i="1"/>
  <c r="AB19" i="1"/>
  <c r="AC55" i="1"/>
  <c r="AB55" i="1"/>
  <c r="AC16" i="1"/>
  <c r="AB16" i="1"/>
  <c r="AC97" i="1"/>
  <c r="AB97" i="1"/>
  <c r="L7" i="1"/>
  <c r="AA8" i="1" s="1"/>
  <c r="AA9" i="1" s="1"/>
  <c r="AA22" i="1"/>
  <c r="AA23" i="1" s="1"/>
  <c r="B221" i="13" a="1"/>
  <c r="X75" i="19" l="1"/>
  <c r="U125" i="19"/>
  <c r="X125" i="19"/>
  <c r="U175" i="19"/>
  <c r="R225" i="19"/>
  <c r="X175" i="19"/>
  <c r="U225" i="19"/>
  <c r="U25" i="19"/>
  <c r="X225" i="19"/>
  <c r="X25" i="19"/>
  <c r="U75" i="19"/>
  <c r="R75" i="19"/>
  <c r="O125" i="19"/>
  <c r="R125" i="19"/>
  <c r="R175" i="19"/>
  <c r="O225" i="19"/>
  <c r="R25" i="19"/>
  <c r="O75" i="19"/>
  <c r="O175" i="19"/>
  <c r="L175" i="19"/>
  <c r="L125" i="19"/>
  <c r="L75" i="19"/>
  <c r="O25" i="19"/>
  <c r="L225" i="19"/>
  <c r="X224" i="19"/>
  <c r="X24" i="19"/>
  <c r="U74" i="19"/>
  <c r="X74" i="19"/>
  <c r="U124" i="19"/>
  <c r="R174" i="19"/>
  <c r="X124" i="19"/>
  <c r="U174" i="19"/>
  <c r="X174" i="19"/>
  <c r="U224" i="19"/>
  <c r="U24" i="19"/>
  <c r="R24" i="19"/>
  <c r="R74" i="19"/>
  <c r="O174" i="19"/>
  <c r="R124" i="19"/>
  <c r="R224" i="19"/>
  <c r="O224" i="19"/>
  <c r="O24" i="19"/>
  <c r="L224" i="19"/>
  <c r="O74" i="19"/>
  <c r="L174" i="19"/>
  <c r="L124" i="19"/>
  <c r="O124" i="19"/>
  <c r="L74" i="19"/>
  <c r="X80" i="19"/>
  <c r="U130" i="19"/>
  <c r="X130" i="19"/>
  <c r="U180" i="19"/>
  <c r="R230" i="19"/>
  <c r="X180" i="19"/>
  <c r="U230" i="19"/>
  <c r="U30" i="19"/>
  <c r="X230" i="19"/>
  <c r="X30" i="19"/>
  <c r="U80" i="19"/>
  <c r="R80" i="19"/>
  <c r="O130" i="19"/>
  <c r="R130" i="19"/>
  <c r="O230" i="19"/>
  <c r="R180" i="19"/>
  <c r="R30" i="19"/>
  <c r="O80" i="19"/>
  <c r="L180" i="19"/>
  <c r="L130" i="19"/>
  <c r="O180" i="19"/>
  <c r="L80" i="19"/>
  <c r="O30" i="19"/>
  <c r="L230" i="19"/>
  <c r="X183" i="19"/>
  <c r="U233" i="19"/>
  <c r="U33" i="19"/>
  <c r="X233" i="19"/>
  <c r="X33" i="19"/>
  <c r="U83" i="19"/>
  <c r="R133" i="19"/>
  <c r="X83" i="19"/>
  <c r="U133" i="19"/>
  <c r="X133" i="19"/>
  <c r="U183" i="19"/>
  <c r="O233" i="19"/>
  <c r="R183" i="19"/>
  <c r="R233" i="19"/>
  <c r="R33" i="19"/>
  <c r="R83" i="19"/>
  <c r="O183" i="19"/>
  <c r="L83" i="19"/>
  <c r="O33" i="19"/>
  <c r="L233" i="19"/>
  <c r="L183" i="19"/>
  <c r="O133" i="19"/>
  <c r="L133" i="19"/>
  <c r="O83" i="19"/>
  <c r="W186" i="19"/>
  <c r="T236" i="19"/>
  <c r="T36" i="19"/>
  <c r="W236" i="19"/>
  <c r="W36" i="19"/>
  <c r="T86" i="19"/>
  <c r="W86" i="19"/>
  <c r="T136" i="19"/>
  <c r="N186" i="19"/>
  <c r="N236" i="19"/>
  <c r="Q136" i="19"/>
  <c r="Q186" i="19"/>
  <c r="Q36" i="19"/>
  <c r="W136" i="19"/>
  <c r="T186" i="19"/>
  <c r="Q236" i="19"/>
  <c r="Q86" i="19"/>
  <c r="K136" i="19"/>
  <c r="N86" i="19"/>
  <c r="K86" i="19"/>
  <c r="N136" i="19"/>
  <c r="N36" i="19"/>
  <c r="K236" i="19"/>
  <c r="K186" i="19"/>
  <c r="W160" i="19"/>
  <c r="T210" i="19"/>
  <c r="W210" i="19"/>
  <c r="W10" i="19"/>
  <c r="T60" i="19"/>
  <c r="W60" i="19"/>
  <c r="T110" i="19"/>
  <c r="Q210" i="19"/>
  <c r="Q110" i="19"/>
  <c r="N160" i="19"/>
  <c r="T10" i="19"/>
  <c r="N210" i="19"/>
  <c r="W110" i="19"/>
  <c r="T160" i="19"/>
  <c r="Q10" i="19"/>
  <c r="K110" i="19"/>
  <c r="Q60" i="19"/>
  <c r="Q160" i="19"/>
  <c r="K60" i="19"/>
  <c r="N110" i="19"/>
  <c r="N10" i="19"/>
  <c r="K210" i="19"/>
  <c r="N60" i="19"/>
  <c r="K160" i="19"/>
  <c r="X140" i="19"/>
  <c r="U190" i="19"/>
  <c r="X190" i="19"/>
  <c r="U240" i="19"/>
  <c r="U40" i="19"/>
  <c r="X240" i="19"/>
  <c r="X40" i="19"/>
  <c r="U90" i="19"/>
  <c r="X90" i="19"/>
  <c r="U140" i="19"/>
  <c r="O190" i="19"/>
  <c r="O240" i="19"/>
  <c r="R140" i="19"/>
  <c r="R190" i="19"/>
  <c r="R40" i="19"/>
  <c r="R240" i="19"/>
  <c r="R90" i="19"/>
  <c r="O140" i="19"/>
  <c r="L140" i="19"/>
  <c r="L90" i="19"/>
  <c r="O40" i="19"/>
  <c r="L240" i="19"/>
  <c r="O90" i="19"/>
  <c r="L40" i="19"/>
  <c r="L190" i="19"/>
  <c r="X71" i="19"/>
  <c r="U121" i="19"/>
  <c r="X121" i="19"/>
  <c r="U171" i="19"/>
  <c r="R221" i="19"/>
  <c r="X171" i="19"/>
  <c r="U221" i="19"/>
  <c r="U21" i="19"/>
  <c r="X221" i="19"/>
  <c r="X21" i="19"/>
  <c r="U71" i="19"/>
  <c r="R71" i="19"/>
  <c r="O121" i="19"/>
  <c r="R121" i="19"/>
  <c r="R171" i="19"/>
  <c r="O221" i="19"/>
  <c r="R21" i="19"/>
  <c r="O71" i="19"/>
  <c r="L171" i="19"/>
  <c r="O171" i="19"/>
  <c r="L121" i="19"/>
  <c r="L71" i="19"/>
  <c r="O21" i="19"/>
  <c r="L221" i="19"/>
  <c r="W223" i="19"/>
  <c r="W23" i="19"/>
  <c r="T73" i="19"/>
  <c r="W73" i="19"/>
  <c r="T123" i="19"/>
  <c r="Q173" i="19"/>
  <c r="W173" i="19"/>
  <c r="T223" i="19"/>
  <c r="T23" i="19"/>
  <c r="Q223" i="19"/>
  <c r="N223" i="19"/>
  <c r="Q23" i="19"/>
  <c r="N73" i="19"/>
  <c r="W123" i="19"/>
  <c r="T173" i="19"/>
  <c r="Q73" i="19"/>
  <c r="N123" i="19"/>
  <c r="N173" i="19"/>
  <c r="K73" i="19"/>
  <c r="Q123" i="19"/>
  <c r="N23" i="19"/>
  <c r="K223" i="19"/>
  <c r="K173" i="19"/>
  <c r="K123" i="19"/>
  <c r="W211" i="19"/>
  <c r="W11" i="19"/>
  <c r="T61" i="19"/>
  <c r="W61" i="19"/>
  <c r="T111" i="19"/>
  <c r="W161" i="19"/>
  <c r="T211" i="19"/>
  <c r="T11" i="19"/>
  <c r="N211" i="19"/>
  <c r="Q11" i="19"/>
  <c r="N61" i="19"/>
  <c r="W111" i="19"/>
  <c r="T161" i="19"/>
  <c r="Q161" i="19"/>
  <c r="Q61" i="19"/>
  <c r="N111" i="19"/>
  <c r="Q211" i="19"/>
  <c r="N161" i="19"/>
  <c r="K61" i="19"/>
  <c r="N11" i="19"/>
  <c r="K211" i="19"/>
  <c r="K161" i="19"/>
  <c r="Q111" i="19"/>
  <c r="K111" i="19"/>
  <c r="W237" i="19"/>
  <c r="W37" i="19"/>
  <c r="T87" i="19"/>
  <c r="W87" i="19"/>
  <c r="T137" i="19"/>
  <c r="N237" i="19"/>
  <c r="Q137" i="19"/>
  <c r="Q187" i="19"/>
  <c r="Q37" i="19"/>
  <c r="N87" i="19"/>
  <c r="W137" i="19"/>
  <c r="T187" i="19"/>
  <c r="Q237" i="19"/>
  <c r="Q87" i="19"/>
  <c r="N137" i="19"/>
  <c r="W187" i="19"/>
  <c r="T237" i="19"/>
  <c r="T37" i="19"/>
  <c r="K87" i="19"/>
  <c r="N37" i="19"/>
  <c r="K237" i="19"/>
  <c r="K187" i="19"/>
  <c r="N187" i="19"/>
  <c r="K137" i="19"/>
  <c r="U177" i="19"/>
  <c r="R27" i="19"/>
  <c r="L177" i="19"/>
  <c r="U227" i="19"/>
  <c r="R77" i="19"/>
  <c r="L127" i="19"/>
  <c r="O77" i="19"/>
  <c r="X27" i="19"/>
  <c r="R127" i="19"/>
  <c r="L77" i="19"/>
  <c r="X127" i="19"/>
  <c r="U27" i="19"/>
  <c r="X77" i="19"/>
  <c r="R177" i="19"/>
  <c r="O27" i="19"/>
  <c r="R227" i="19"/>
  <c r="X177" i="19"/>
  <c r="X227" i="19"/>
  <c r="U77" i="19"/>
  <c r="O177" i="19"/>
  <c r="O127" i="19"/>
  <c r="U127" i="19"/>
  <c r="O227" i="19"/>
  <c r="L227" i="19"/>
  <c r="L21" i="19"/>
  <c r="L25" i="19"/>
  <c r="K23" i="19"/>
  <c r="K11" i="19"/>
  <c r="L27" i="19"/>
  <c r="K36" i="19"/>
  <c r="L24" i="19"/>
  <c r="L30" i="19"/>
  <c r="K10" i="19"/>
  <c r="L33" i="19"/>
  <c r="K37" i="19"/>
  <c r="AF60" i="1"/>
  <c r="AB57" i="1"/>
  <c r="AC57" i="1"/>
  <c r="AF81" i="1"/>
  <c r="AF20" i="1"/>
  <c r="AF90" i="1"/>
  <c r="AF17" i="1"/>
  <c r="AF51" i="1"/>
  <c r="AB21" i="1"/>
  <c r="AC21" i="1"/>
  <c r="AA24" i="1"/>
  <c r="AC23" i="1"/>
  <c r="AB23" i="1"/>
  <c r="AF63" i="1"/>
  <c r="AB18" i="1"/>
  <c r="AC18" i="1"/>
  <c r="AF56" i="1"/>
  <c r="AF108" i="1"/>
  <c r="AC22" i="1"/>
  <c r="AB22" i="1"/>
  <c r="AA7" i="1"/>
  <c r="B221" i="13"/>
  <c r="X173" i="19" l="1"/>
  <c r="U223" i="19"/>
  <c r="U23" i="19"/>
  <c r="X223" i="19"/>
  <c r="X23" i="19"/>
  <c r="U73" i="19"/>
  <c r="R123" i="19"/>
  <c r="X73" i="19"/>
  <c r="U123" i="19"/>
  <c r="X123" i="19"/>
  <c r="U173" i="19"/>
  <c r="R223" i="19"/>
  <c r="O223" i="19"/>
  <c r="R23" i="19"/>
  <c r="R73" i="19"/>
  <c r="O173" i="19"/>
  <c r="L73" i="19"/>
  <c r="O23" i="19"/>
  <c r="L223" i="19"/>
  <c r="O73" i="19"/>
  <c r="L173" i="19"/>
  <c r="R173" i="19"/>
  <c r="O123" i="19"/>
  <c r="L123" i="19"/>
  <c r="X161" i="19"/>
  <c r="U211" i="19"/>
  <c r="X211" i="19"/>
  <c r="X11" i="19"/>
  <c r="U61" i="19"/>
  <c r="X61" i="19"/>
  <c r="U111" i="19"/>
  <c r="X111" i="19"/>
  <c r="U161" i="19"/>
  <c r="U11" i="19"/>
  <c r="O211" i="19"/>
  <c r="R11" i="19"/>
  <c r="R161" i="19"/>
  <c r="R61" i="19"/>
  <c r="R211" i="19"/>
  <c r="R111" i="19"/>
  <c r="O161" i="19"/>
  <c r="L61" i="19"/>
  <c r="O11" i="19"/>
  <c r="L211" i="19"/>
  <c r="O111" i="19"/>
  <c r="L161" i="19"/>
  <c r="O61" i="19"/>
  <c r="L111" i="19"/>
  <c r="X110" i="19"/>
  <c r="U160" i="19"/>
  <c r="X160" i="19"/>
  <c r="U210" i="19"/>
  <c r="U10" i="19"/>
  <c r="X210" i="19"/>
  <c r="X10" i="19"/>
  <c r="U60" i="19"/>
  <c r="X60" i="19"/>
  <c r="U110" i="19"/>
  <c r="R110" i="19"/>
  <c r="O160" i="19"/>
  <c r="O210" i="19"/>
  <c r="R10" i="19"/>
  <c r="R160" i="19"/>
  <c r="R60" i="19"/>
  <c r="O110" i="19"/>
  <c r="L110" i="19"/>
  <c r="L60" i="19"/>
  <c r="O10" i="19"/>
  <c r="L210" i="19"/>
  <c r="R210" i="19"/>
  <c r="O60" i="19"/>
  <c r="L160" i="19"/>
  <c r="W62" i="19"/>
  <c r="T112" i="19"/>
  <c r="W112" i="19"/>
  <c r="T162" i="19"/>
  <c r="W162" i="19"/>
  <c r="T212" i="19"/>
  <c r="Q12" i="19"/>
  <c r="Q162" i="19"/>
  <c r="Q62" i="19"/>
  <c r="N112" i="19"/>
  <c r="W212" i="19"/>
  <c r="W12" i="19"/>
  <c r="T62" i="19"/>
  <c r="Q212" i="19"/>
  <c r="Q112" i="19"/>
  <c r="N162" i="19"/>
  <c r="T12" i="19"/>
  <c r="N12" i="19"/>
  <c r="K212" i="19"/>
  <c r="N212" i="19"/>
  <c r="K162" i="19"/>
  <c r="N62" i="19"/>
  <c r="K112" i="19"/>
  <c r="K62" i="19"/>
  <c r="L10" i="19"/>
  <c r="L23" i="19"/>
  <c r="K12" i="19"/>
  <c r="L11" i="19"/>
  <c r="AF18" i="1"/>
  <c r="AB24" i="1"/>
  <c r="AC24" i="1"/>
  <c r="AF21" i="1"/>
  <c r="AF57" i="1"/>
  <c r="AF23" i="1"/>
  <c r="AB9" i="1"/>
  <c r="AC9" i="1"/>
  <c r="AC8" i="1"/>
  <c r="AB8" i="1"/>
  <c r="H210" i="13"/>
  <c r="X212" i="19" l="1"/>
  <c r="X12" i="19"/>
  <c r="U62" i="19"/>
  <c r="X62" i="19"/>
  <c r="U112" i="19"/>
  <c r="R162" i="19"/>
  <c r="X112" i="19"/>
  <c r="U162" i="19"/>
  <c r="X162" i="19"/>
  <c r="U212" i="19"/>
  <c r="R12" i="19"/>
  <c r="R62" i="19"/>
  <c r="R212" i="19"/>
  <c r="R112" i="19"/>
  <c r="O162" i="19"/>
  <c r="U12" i="19"/>
  <c r="O212" i="19"/>
  <c r="O12" i="19"/>
  <c r="L212" i="19"/>
  <c r="O112" i="19"/>
  <c r="L162" i="19"/>
  <c r="O62" i="19"/>
  <c r="L112" i="19"/>
  <c r="L62" i="19"/>
  <c r="BD46" i="18"/>
  <c r="AJ86" i="18"/>
  <c r="BD86" i="18"/>
  <c r="AT26" i="18"/>
  <c r="BD26" i="18"/>
  <c r="AJ66" i="18"/>
  <c r="AT86" i="18"/>
  <c r="Z46" i="18"/>
  <c r="AT66" i="18"/>
  <c r="AT6" i="18"/>
  <c r="AJ6" i="18"/>
  <c r="Z26" i="18"/>
  <c r="AT46" i="18"/>
  <c r="AJ26" i="18"/>
  <c r="P26" i="18"/>
  <c r="BD66" i="18"/>
  <c r="P66" i="18"/>
  <c r="Z86" i="18"/>
  <c r="Z66" i="18"/>
  <c r="AJ46" i="18"/>
  <c r="Z6" i="18"/>
  <c r="P86" i="18"/>
  <c r="BD6" i="18"/>
  <c r="P46" i="18"/>
  <c r="AZ38" i="18"/>
  <c r="AF78" i="18"/>
  <c r="AZ78" i="18"/>
  <c r="AP18" i="18"/>
  <c r="AZ18" i="18"/>
  <c r="AF58" i="18"/>
  <c r="AP38" i="18"/>
  <c r="V38" i="18"/>
  <c r="AP78" i="18"/>
  <c r="V18" i="18"/>
  <c r="AF98" i="18"/>
  <c r="AF18" i="18"/>
  <c r="V78" i="18"/>
  <c r="V58" i="18"/>
  <c r="AZ98" i="18"/>
  <c r="V98" i="18"/>
  <c r="L98" i="18"/>
  <c r="AZ58" i="18"/>
  <c r="L78" i="18"/>
  <c r="L58" i="18"/>
  <c r="AF38" i="18"/>
  <c r="AP98" i="18"/>
  <c r="AP58" i="18"/>
  <c r="L38" i="18"/>
  <c r="L12" i="19"/>
  <c r="L18" i="18"/>
  <c r="AF24" i="1"/>
  <c r="P6" i="18"/>
  <c r="V237" i="19" l="1"/>
  <c r="S87" i="19"/>
  <c r="S237" i="19"/>
  <c r="P87" i="19"/>
  <c r="V187" i="19"/>
  <c r="V137" i="19"/>
  <c r="P237" i="19"/>
  <c r="S137" i="19"/>
  <c r="V37" i="19"/>
  <c r="P137" i="19"/>
  <c r="S37" i="19"/>
  <c r="S187" i="19"/>
  <c r="M87" i="19"/>
  <c r="P187" i="19"/>
  <c r="M237" i="19"/>
  <c r="J87" i="19"/>
  <c r="V87" i="19"/>
  <c r="M137" i="19"/>
  <c r="P37" i="19"/>
  <c r="J187" i="19"/>
  <c r="M37" i="19"/>
  <c r="M187" i="19"/>
  <c r="J137" i="19"/>
  <c r="J237" i="19"/>
  <c r="J37" i="19"/>
  <c r="AE15" i="1"/>
  <c r="AD15" i="1" s="1"/>
  <c r="AE14" i="1"/>
  <c r="AD14" i="1" s="1"/>
  <c r="AE12" i="1"/>
  <c r="AD12" i="1" s="1"/>
  <c r="AE11" i="1"/>
  <c r="AD11" i="1" s="1"/>
  <c r="W10" i="1"/>
  <c r="AA10" i="1" s="1"/>
  <c r="AA11" i="1" s="1"/>
  <c r="W13" i="1"/>
  <c r="AA13" i="1" s="1"/>
  <c r="AA14" i="1" s="1"/>
  <c r="AA15" i="1" l="1"/>
  <c r="AC14" i="1"/>
  <c r="AB14" i="1"/>
  <c r="W208" i="19" s="1"/>
  <c r="AA12" i="1"/>
  <c r="AB11" i="1"/>
  <c r="W207" i="19" s="1"/>
  <c r="AC11" i="1"/>
  <c r="AB7" i="1"/>
  <c r="Q57" i="19" l="1"/>
  <c r="K107" i="19"/>
  <c r="W157" i="19"/>
  <c r="Q107" i="19"/>
  <c r="K58" i="19"/>
  <c r="N108" i="19"/>
  <c r="N158" i="19"/>
  <c r="N8" i="19"/>
  <c r="N107" i="19"/>
  <c r="T58" i="19"/>
  <c r="K57" i="19"/>
  <c r="Q158" i="19"/>
  <c r="N57" i="19"/>
  <c r="K207" i="19"/>
  <c r="W7" i="19"/>
  <c r="K208" i="19"/>
  <c r="K158" i="19"/>
  <c r="W58" i="19"/>
  <c r="N157" i="19"/>
  <c r="N207" i="19"/>
  <c r="T107" i="19"/>
  <c r="N208" i="19"/>
  <c r="Q8" i="19"/>
  <c r="T158" i="19"/>
  <c r="N7" i="19"/>
  <c r="Q157" i="19"/>
  <c r="Q207" i="19"/>
  <c r="N58" i="19"/>
  <c r="T108" i="19"/>
  <c r="T8" i="19"/>
  <c r="T57" i="19"/>
  <c r="W57" i="19"/>
  <c r="W107" i="19"/>
  <c r="Q108" i="19"/>
  <c r="Q208" i="19"/>
  <c r="W158" i="19"/>
  <c r="Q7" i="19"/>
  <c r="T157" i="19"/>
  <c r="T207" i="19"/>
  <c r="K108" i="19"/>
  <c r="W108" i="19"/>
  <c r="W8" i="19"/>
  <c r="K157" i="19"/>
  <c r="T7" i="19"/>
  <c r="Q58" i="19"/>
  <c r="T208" i="19"/>
  <c r="K7" i="19"/>
  <c r="K8" i="19"/>
  <c r="AF14" i="1"/>
  <c r="AF11" i="1"/>
  <c r="AC15" i="1"/>
  <c r="AB15" i="1"/>
  <c r="AB12" i="1"/>
  <c r="AC12" i="1"/>
  <c r="AC7" i="1"/>
  <c r="X107" i="19" l="1"/>
  <c r="U57" i="19"/>
  <c r="X207" i="19"/>
  <c r="X57" i="19"/>
  <c r="U107" i="19"/>
  <c r="L57" i="19"/>
  <c r="R107" i="19"/>
  <c r="O157" i="19"/>
  <c r="X7" i="19"/>
  <c r="O107" i="19"/>
  <c r="R57" i="19"/>
  <c r="O7" i="19"/>
  <c r="X157" i="19"/>
  <c r="R207" i="19"/>
  <c r="L107" i="19"/>
  <c r="O57" i="19"/>
  <c r="U7" i="19"/>
  <c r="R7" i="19"/>
  <c r="U207" i="19"/>
  <c r="U157" i="19"/>
  <c r="L157" i="19"/>
  <c r="L207" i="19"/>
  <c r="R157" i="19"/>
  <c r="O207" i="19"/>
  <c r="X208" i="19"/>
  <c r="R208" i="19"/>
  <c r="R108" i="19"/>
  <c r="X158" i="19"/>
  <c r="U108" i="19"/>
  <c r="O58" i="19"/>
  <c r="R158" i="19"/>
  <c r="U8" i="19"/>
  <c r="O8" i="19"/>
  <c r="O208" i="19"/>
  <c r="O108" i="19"/>
  <c r="U158" i="19"/>
  <c r="O158" i="19"/>
  <c r="L208" i="19"/>
  <c r="U208" i="19"/>
  <c r="L158" i="19"/>
  <c r="X58" i="19"/>
  <c r="X8" i="19"/>
  <c r="L58" i="19"/>
  <c r="U58" i="19"/>
  <c r="R58" i="19"/>
  <c r="R8" i="19"/>
  <c r="L108" i="19"/>
  <c r="X108" i="19"/>
  <c r="L8" i="19"/>
  <c r="L7" i="19"/>
  <c r="AF15" i="1"/>
  <c r="AF12" i="1"/>
  <c r="AB10" i="1"/>
  <c r="AC10" i="1" l="1"/>
  <c r="AB13" i="1" s="1"/>
  <c r="AC13" i="1" l="1"/>
  <c r="P159" i="19" l="1"/>
  <c r="S9" i="19"/>
  <c r="J59" i="19"/>
  <c r="V209" i="19"/>
  <c r="M59" i="19"/>
  <c r="S59" i="19"/>
  <c r="M159" i="19"/>
  <c r="M109" i="19"/>
  <c r="S209" i="19"/>
  <c r="P59" i="19"/>
  <c r="P9" i="19"/>
  <c r="M9" i="19"/>
  <c r="V109" i="19"/>
  <c r="V159" i="19"/>
  <c r="J109" i="19"/>
  <c r="P209" i="19"/>
  <c r="P109" i="19"/>
  <c r="J159" i="19"/>
  <c r="S159" i="19"/>
  <c r="S109" i="19"/>
  <c r="M209" i="19"/>
  <c r="V59" i="19"/>
  <c r="V9" i="19"/>
  <c r="J209" i="19"/>
  <c r="J9" i="19"/>
  <c r="AE9" i="1" l="1"/>
  <c r="AD9" i="1" s="1"/>
  <c r="AE8" i="1"/>
  <c r="AD8" i="1" s="1"/>
  <c r="X206" i="19" l="1"/>
  <c r="X56" i="19"/>
  <c r="U56" i="19"/>
  <c r="U206" i="19"/>
  <c r="X106" i="19"/>
  <c r="R206" i="19"/>
  <c r="U106" i="19"/>
  <c r="X6" i="19"/>
  <c r="X156" i="19"/>
  <c r="U6" i="19"/>
  <c r="R56" i="19"/>
  <c r="L106" i="19"/>
  <c r="O56" i="19"/>
  <c r="O206" i="19"/>
  <c r="L206" i="19"/>
  <c r="L56" i="19"/>
  <c r="U156" i="19"/>
  <c r="O106" i="19"/>
  <c r="R106" i="19"/>
  <c r="R156" i="19"/>
  <c r="R6" i="19"/>
  <c r="L156" i="19"/>
  <c r="O156" i="19"/>
  <c r="O6" i="19"/>
  <c r="T156" i="19"/>
  <c r="W56" i="19"/>
  <c r="Q156" i="19"/>
  <c r="W206" i="19"/>
  <c r="T56" i="19"/>
  <c r="T206" i="19"/>
  <c r="W106" i="19"/>
  <c r="Q206" i="19"/>
  <c r="T106" i="19"/>
  <c r="W6" i="19"/>
  <c r="N156" i="19"/>
  <c r="T6" i="19"/>
  <c r="Q56" i="19"/>
  <c r="N56" i="19"/>
  <c r="W156" i="19"/>
  <c r="N206" i="19"/>
  <c r="K206" i="19"/>
  <c r="K56" i="19"/>
  <c r="N106" i="19"/>
  <c r="N6" i="19"/>
  <c r="Q6" i="19"/>
  <c r="Q106" i="19"/>
  <c r="K156" i="19"/>
  <c r="K106" i="19"/>
  <c r="K6" i="19"/>
  <c r="L6" i="19"/>
  <c r="AF9" i="1"/>
  <c r="AF8" i="1"/>
  <c r="N70" i="1" l="1"/>
  <c r="O70" i="1" s="1"/>
  <c r="N76" i="1"/>
  <c r="O76" i="1" s="1"/>
  <c r="N55" i="1"/>
  <c r="O55" i="1" s="1"/>
  <c r="N61" i="1"/>
  <c r="O61" i="1" s="1"/>
  <c r="N97" i="1"/>
  <c r="O97" i="1" s="1"/>
  <c r="N19" i="1"/>
  <c r="O19" i="1" s="1"/>
  <c r="N34" i="1"/>
  <c r="O34" i="1" s="1"/>
  <c r="N40" i="1"/>
  <c r="O40" i="1" s="1"/>
  <c r="N148" i="1"/>
  <c r="O148" i="1" s="1"/>
  <c r="N133" i="1"/>
  <c r="O133" i="1" s="1"/>
  <c r="N49" i="1"/>
  <c r="O49" i="1" s="1"/>
  <c r="N145" i="1"/>
  <c r="O145" i="1" s="1"/>
  <c r="N130" i="1"/>
  <c r="O130" i="1" s="1"/>
  <c r="N127" i="1"/>
  <c r="O127" i="1" s="1"/>
  <c r="N151" i="1"/>
  <c r="O151" i="1" s="1"/>
  <c r="N139" i="1"/>
  <c r="O139" i="1" s="1"/>
  <c r="N136" i="1"/>
  <c r="O136" i="1" s="1"/>
  <c r="N106" i="1"/>
  <c r="O106" i="1" s="1"/>
  <c r="N28" i="1"/>
  <c r="O28" i="1" s="1"/>
  <c r="N58" i="1"/>
  <c r="O58" i="1" s="1"/>
  <c r="N124" i="1"/>
  <c r="O124" i="1" s="1"/>
  <c r="N67" i="1"/>
  <c r="O67" i="1" s="1"/>
  <c r="N142" i="1"/>
  <c r="O142" i="1" s="1"/>
  <c r="N94" i="1"/>
  <c r="O94" i="1" s="1"/>
  <c r="N16" i="1"/>
  <c r="O16" i="1" s="1"/>
  <c r="N121" i="1"/>
  <c r="O121" i="1" s="1"/>
  <c r="N46" i="1"/>
  <c r="O46" i="1" s="1"/>
  <c r="N13" i="1"/>
  <c r="O13" i="1" s="1"/>
  <c r="N79" i="1"/>
  <c r="O79" i="1" s="1"/>
  <c r="N103" i="1"/>
  <c r="O103" i="1" s="1"/>
  <c r="N118" i="1"/>
  <c r="O118" i="1" s="1"/>
  <c r="N37" i="1"/>
  <c r="O37" i="1" s="1"/>
  <c r="N43" i="1"/>
  <c r="O43" i="1" s="1"/>
  <c r="N82" i="1"/>
  <c r="O82" i="1" s="1"/>
  <c r="N52" i="1"/>
  <c r="O52" i="1" s="1"/>
  <c r="N112" i="1"/>
  <c r="O112" i="1" s="1"/>
  <c r="N22" i="1"/>
  <c r="O22" i="1" s="1"/>
  <c r="N31" i="1"/>
  <c r="O31" i="1" s="1"/>
  <c r="N109" i="1"/>
  <c r="O109" i="1" s="1"/>
  <c r="N85" i="1"/>
  <c r="O85" i="1" s="1"/>
  <c r="N88" i="1"/>
  <c r="O88" i="1" s="1"/>
  <c r="N73" i="1"/>
  <c r="O73" i="1" s="1"/>
  <c r="N64" i="1"/>
  <c r="O64" i="1" s="1"/>
  <c r="N91" i="1"/>
  <c r="O91" i="1" s="1"/>
  <c r="N115" i="1"/>
  <c r="O115" i="1" s="1"/>
  <c r="N25" i="1"/>
  <c r="O25" i="1" s="1"/>
  <c r="N10" i="1"/>
  <c r="O10" i="1" s="1"/>
  <c r="N7" i="1"/>
  <c r="O7" i="1" s="1"/>
  <c r="AX66" i="18" l="1"/>
  <c r="AD66" i="18"/>
  <c r="J46" i="18"/>
  <c r="J6" i="18"/>
  <c r="AN86" i="18"/>
  <c r="AN66" i="18"/>
  <c r="AD6" i="18"/>
  <c r="AN6" i="18"/>
  <c r="AD46" i="18"/>
  <c r="J26" i="18"/>
  <c r="AD26" i="18"/>
  <c r="AN46" i="18"/>
  <c r="AX26" i="18"/>
  <c r="T86" i="18"/>
  <c r="AX46" i="18"/>
  <c r="T46" i="18"/>
  <c r="AX6" i="18"/>
  <c r="P7" i="1"/>
  <c r="AE7" i="1" s="1"/>
  <c r="AD7" i="1" s="1"/>
  <c r="Q7" i="1"/>
  <c r="T26" i="18"/>
  <c r="J86" i="18"/>
  <c r="AD86" i="18"/>
  <c r="J66" i="18"/>
  <c r="T66" i="18"/>
  <c r="T6" i="18"/>
  <c r="AN26" i="18"/>
  <c r="AX86" i="18"/>
  <c r="AF96" i="18"/>
  <c r="L96" i="18"/>
  <c r="V56" i="18"/>
  <c r="AF36" i="18"/>
  <c r="AP16" i="18"/>
  <c r="V96" i="18"/>
  <c r="AP56" i="18"/>
  <c r="AF16" i="18"/>
  <c r="AP76" i="18"/>
  <c r="AF76" i="18"/>
  <c r="L36" i="18"/>
  <c r="L76" i="18"/>
  <c r="AZ16" i="18"/>
  <c r="V16" i="18"/>
  <c r="AZ76" i="18"/>
  <c r="AZ56" i="18"/>
  <c r="AZ96" i="18"/>
  <c r="V76" i="18"/>
  <c r="AF56" i="18"/>
  <c r="L16" i="18"/>
  <c r="AP96" i="18"/>
  <c r="P85" i="1"/>
  <c r="AE85" i="1" s="1"/>
  <c r="AD85" i="1" s="1"/>
  <c r="AP36" i="18"/>
  <c r="L56" i="18"/>
  <c r="AZ36" i="18"/>
  <c r="Q85" i="1"/>
  <c r="V36" i="18"/>
  <c r="AF90" i="18"/>
  <c r="AF50" i="18"/>
  <c r="AP50" i="18"/>
  <c r="AZ90" i="18"/>
  <c r="AF30" i="18"/>
  <c r="V90" i="18"/>
  <c r="AP30" i="18"/>
  <c r="V30" i="18"/>
  <c r="V70" i="18"/>
  <c r="AZ30" i="18"/>
  <c r="AZ70" i="18"/>
  <c r="L50" i="18"/>
  <c r="AF70" i="18"/>
  <c r="AF10" i="18"/>
  <c r="AP10" i="18"/>
  <c r="AZ50" i="18"/>
  <c r="AP90" i="18"/>
  <c r="AP70" i="18"/>
  <c r="L10" i="18"/>
  <c r="V50" i="18"/>
  <c r="P37" i="1"/>
  <c r="AE37" i="1" s="1"/>
  <c r="AD37" i="1" s="1"/>
  <c r="L30" i="18"/>
  <c r="Q37" i="1"/>
  <c r="L70" i="18"/>
  <c r="V10" i="18"/>
  <c r="L90" i="18"/>
  <c r="AZ10" i="18"/>
  <c r="BF96" i="18"/>
  <c r="AB76" i="18"/>
  <c r="AV56" i="18"/>
  <c r="AV96" i="18"/>
  <c r="AV16" i="18"/>
  <c r="AL96" i="18"/>
  <c r="AL36" i="18"/>
  <c r="AB96" i="18"/>
  <c r="AB56" i="18"/>
  <c r="BF36" i="18"/>
  <c r="R76" i="18"/>
  <c r="AB36" i="18"/>
  <c r="AV76" i="18"/>
  <c r="AV36" i="18"/>
  <c r="AB16" i="18"/>
  <c r="AL16" i="18"/>
  <c r="R36" i="18"/>
  <c r="BF16" i="18"/>
  <c r="BF56" i="18"/>
  <c r="BF76" i="18"/>
  <c r="AL76" i="18"/>
  <c r="R96" i="18"/>
  <c r="AL56" i="18"/>
  <c r="R56" i="18"/>
  <c r="P94" i="1"/>
  <c r="AE94" i="1" s="1"/>
  <c r="AD94" i="1" s="1"/>
  <c r="R16" i="18"/>
  <c r="Q94" i="1"/>
  <c r="P139" i="1"/>
  <c r="AE139" i="1" s="1"/>
  <c r="AD139" i="1" s="1"/>
  <c r="AX104" i="18"/>
  <c r="AN104" i="18"/>
  <c r="AD24" i="18"/>
  <c r="J44" i="18"/>
  <c r="AX24" i="18"/>
  <c r="AN24" i="18"/>
  <c r="T44" i="18"/>
  <c r="AN44" i="18"/>
  <c r="AD44" i="18"/>
  <c r="J64" i="18"/>
  <c r="AX84" i="18"/>
  <c r="AD64" i="18"/>
  <c r="T64" i="18"/>
  <c r="AX44" i="18"/>
  <c r="T84" i="18"/>
  <c r="J84" i="18"/>
  <c r="AN64" i="18"/>
  <c r="J104" i="18"/>
  <c r="AX64" i="18"/>
  <c r="AD84" i="18"/>
  <c r="AD104" i="18"/>
  <c r="T24" i="18"/>
  <c r="J24" i="18"/>
  <c r="AN84" i="18"/>
  <c r="T104" i="18"/>
  <c r="Q139" i="1"/>
  <c r="AR50" i="18"/>
  <c r="BB70" i="18"/>
  <c r="X30" i="18"/>
  <c r="BB50" i="18"/>
  <c r="BB10" i="18"/>
  <c r="BB90" i="18"/>
  <c r="AR90" i="18"/>
  <c r="AH90" i="18"/>
  <c r="X90" i="18"/>
  <c r="AH30" i="18"/>
  <c r="AH70" i="18"/>
  <c r="X70" i="18"/>
  <c r="BB30" i="18"/>
  <c r="AH50" i="18"/>
  <c r="N50" i="18"/>
  <c r="AR70" i="18"/>
  <c r="AR30" i="18"/>
  <c r="AR10" i="18"/>
  <c r="AH10" i="18"/>
  <c r="N70" i="18"/>
  <c r="X50" i="18"/>
  <c r="N30" i="18"/>
  <c r="X10" i="18"/>
  <c r="P40" i="1"/>
  <c r="AE40" i="1" s="1"/>
  <c r="AD40" i="1" s="1"/>
  <c r="N10" i="18"/>
  <c r="N90" i="18"/>
  <c r="Q40" i="1"/>
  <c r="V6" i="18"/>
  <c r="L46" i="18"/>
  <c r="V66" i="18"/>
  <c r="AF86" i="18"/>
  <c r="AP26" i="18"/>
  <c r="V26" i="18"/>
  <c r="AZ6" i="18"/>
  <c r="AF66" i="18"/>
  <c r="AP6" i="18"/>
  <c r="AF46" i="18"/>
  <c r="AZ26" i="18"/>
  <c r="L26" i="18"/>
  <c r="AZ46" i="18"/>
  <c r="L86" i="18"/>
  <c r="AZ66" i="18"/>
  <c r="AP86" i="18"/>
  <c r="AP66" i="18"/>
  <c r="V86" i="18"/>
  <c r="AF26" i="18"/>
  <c r="AF6" i="18"/>
  <c r="L66" i="18"/>
  <c r="AZ86" i="18"/>
  <c r="AP46" i="18"/>
  <c r="P10" i="1"/>
  <c r="AE10" i="1" s="1"/>
  <c r="AD10" i="1" s="1"/>
  <c r="V46" i="18"/>
  <c r="L6" i="18"/>
  <c r="Q10" i="1"/>
  <c r="AD100" i="18"/>
  <c r="AD20" i="18"/>
  <c r="T80" i="18"/>
  <c r="AD40" i="18"/>
  <c r="T100" i="18"/>
  <c r="T40" i="18"/>
  <c r="AN80" i="18"/>
  <c r="J80" i="18"/>
  <c r="J20" i="18"/>
  <c r="T20" i="18"/>
  <c r="J60" i="18"/>
  <c r="AX100" i="18"/>
  <c r="AX20" i="18"/>
  <c r="AX80" i="18"/>
  <c r="AX40" i="18"/>
  <c r="AN20" i="18"/>
  <c r="AX60" i="18"/>
  <c r="AN60" i="18"/>
  <c r="AD80" i="18"/>
  <c r="J100" i="18"/>
  <c r="J40" i="18"/>
  <c r="AN40" i="18"/>
  <c r="T60" i="18"/>
  <c r="AN100" i="18"/>
  <c r="P109" i="1"/>
  <c r="AE109" i="1" s="1"/>
  <c r="AD109" i="1" s="1"/>
  <c r="Q109" i="1"/>
  <c r="AD60" i="18"/>
  <c r="AT100" i="18"/>
  <c r="P100" i="18"/>
  <c r="AT40" i="18"/>
  <c r="BD80" i="18"/>
  <c r="AJ40" i="18"/>
  <c r="AJ100" i="18"/>
  <c r="Z60" i="18"/>
  <c r="BD40" i="18"/>
  <c r="BD60" i="18"/>
  <c r="Z40" i="18"/>
  <c r="AT80" i="18"/>
  <c r="P80" i="18"/>
  <c r="Z20" i="18"/>
  <c r="P118" i="1"/>
  <c r="AE118" i="1" s="1"/>
  <c r="AD118" i="1" s="1"/>
  <c r="AJ20" i="18"/>
  <c r="P40" i="18"/>
  <c r="AT20" i="18"/>
  <c r="Q118" i="1"/>
  <c r="AJ60" i="18"/>
  <c r="AT60" i="18"/>
  <c r="BD100" i="18"/>
  <c r="BD20" i="18"/>
  <c r="AJ80" i="18"/>
  <c r="Z100" i="18"/>
  <c r="Z80" i="18"/>
  <c r="P60" i="18"/>
  <c r="P20" i="18"/>
  <c r="AF44" i="18"/>
  <c r="L64" i="18"/>
  <c r="AZ24" i="18"/>
  <c r="V64" i="18"/>
  <c r="AZ44" i="18"/>
  <c r="AP44" i="18"/>
  <c r="Q142" i="1"/>
  <c r="L84" i="18"/>
  <c r="AP64" i="18"/>
  <c r="AF64" i="18"/>
  <c r="P142" i="1"/>
  <c r="AE142" i="1" s="1"/>
  <c r="AD142" i="1" s="1"/>
  <c r="AZ64" i="18"/>
  <c r="AF84" i="18"/>
  <c r="V84" i="18"/>
  <c r="AP84" i="18"/>
  <c r="V104" i="18"/>
  <c r="L104" i="18"/>
  <c r="AF104" i="18"/>
  <c r="V24" i="18"/>
  <c r="L24" i="18"/>
  <c r="AZ84" i="18"/>
  <c r="AP104" i="18"/>
  <c r="AF24" i="18"/>
  <c r="L44" i="18"/>
  <c r="AP24" i="18"/>
  <c r="V44" i="18"/>
  <c r="AZ104" i="18"/>
  <c r="P151" i="1"/>
  <c r="AL64" i="18"/>
  <c r="AB64" i="18"/>
  <c r="BF44" i="18"/>
  <c r="AB84" i="18"/>
  <c r="R84" i="18"/>
  <c r="AV64" i="18"/>
  <c r="AV44" i="18"/>
  <c r="R104" i="18"/>
  <c r="BF64" i="18"/>
  <c r="AL84" i="18"/>
  <c r="R64" i="18"/>
  <c r="R24" i="18"/>
  <c r="AV84" i="18"/>
  <c r="AB104" i="18"/>
  <c r="BF84" i="18"/>
  <c r="AL104" i="18"/>
  <c r="AB24" i="18"/>
  <c r="Q151" i="1"/>
  <c r="BF104" i="18"/>
  <c r="AV104" i="18"/>
  <c r="AL24" i="18"/>
  <c r="R44" i="18"/>
  <c r="AL44" i="18"/>
  <c r="BF24" i="18"/>
  <c r="AV24" i="18"/>
  <c r="AB44" i="18"/>
  <c r="AX50" i="18"/>
  <c r="AX30" i="18"/>
  <c r="T70" i="18"/>
  <c r="AD70" i="18"/>
  <c r="J30" i="18"/>
  <c r="J50" i="18"/>
  <c r="AN50" i="18"/>
  <c r="T90" i="18"/>
  <c r="AX10" i="18"/>
  <c r="AN90" i="18"/>
  <c r="AN10" i="18"/>
  <c r="J70" i="18"/>
  <c r="AX90" i="18"/>
  <c r="T10" i="18"/>
  <c r="AN70" i="18"/>
  <c r="AN30" i="18"/>
  <c r="J90" i="18"/>
  <c r="AD30" i="18"/>
  <c r="AX70" i="18"/>
  <c r="AD50" i="18"/>
  <c r="T50" i="18"/>
  <c r="T30" i="18"/>
  <c r="P34" i="1"/>
  <c r="AE34" i="1" s="1"/>
  <c r="AD34" i="1" s="1"/>
  <c r="Q34" i="1"/>
  <c r="AD10" i="18"/>
  <c r="J10" i="18"/>
  <c r="AD90" i="18"/>
  <c r="BB68" i="18"/>
  <c r="AH88" i="18"/>
  <c r="N68" i="18"/>
  <c r="AR8" i="18"/>
  <c r="X8" i="18"/>
  <c r="AH68" i="18"/>
  <c r="AR68" i="18"/>
  <c r="X88" i="18"/>
  <c r="N88" i="18"/>
  <c r="BB8" i="18"/>
  <c r="X68" i="18"/>
  <c r="N48" i="18"/>
  <c r="AR48" i="18"/>
  <c r="X48" i="18"/>
  <c r="AH48" i="18"/>
  <c r="BB28" i="18"/>
  <c r="BB88" i="18"/>
  <c r="AR88" i="18"/>
  <c r="AH8" i="18"/>
  <c r="BB48" i="18"/>
  <c r="N28" i="18"/>
  <c r="AR28" i="18"/>
  <c r="X28" i="18"/>
  <c r="AH28" i="18"/>
  <c r="N8" i="18"/>
  <c r="P25" i="1"/>
  <c r="AE25" i="1" s="1"/>
  <c r="AD25" i="1" s="1"/>
  <c r="Q25" i="1"/>
  <c r="BF48" i="18"/>
  <c r="AB68" i="18"/>
  <c r="R28" i="18"/>
  <c r="AL28" i="18"/>
  <c r="AB28" i="18"/>
  <c r="R68" i="18"/>
  <c r="AV8" i="18"/>
  <c r="R48" i="18"/>
  <c r="AV68" i="18"/>
  <c r="AB8" i="18"/>
  <c r="AL88" i="18"/>
  <c r="AV28" i="18"/>
  <c r="AV48" i="18"/>
  <c r="BF68" i="18"/>
  <c r="AB88" i="18"/>
  <c r="AV88" i="18"/>
  <c r="R88" i="18"/>
  <c r="BF88" i="18"/>
  <c r="AB48" i="18"/>
  <c r="P31" i="1"/>
  <c r="AE31" i="1" s="1"/>
  <c r="AD31" i="1" s="1"/>
  <c r="BF28" i="18"/>
  <c r="Q31" i="1"/>
  <c r="AL48" i="18"/>
  <c r="R8" i="18"/>
  <c r="BF8" i="18"/>
  <c r="AL8" i="18"/>
  <c r="AL68" i="18"/>
  <c r="BD78" i="18"/>
  <c r="BD38" i="18"/>
  <c r="AJ58" i="18"/>
  <c r="AT78" i="18"/>
  <c r="Z38" i="18"/>
  <c r="AJ78" i="18"/>
  <c r="Z58" i="18"/>
  <c r="AJ18" i="18"/>
  <c r="Z18" i="18"/>
  <c r="AJ38" i="18"/>
  <c r="BD18" i="18"/>
  <c r="P98" i="18"/>
  <c r="AT98" i="18"/>
  <c r="AT58" i="18"/>
  <c r="P18" i="18"/>
  <c r="P38" i="18"/>
  <c r="AT18" i="18"/>
  <c r="P58" i="18"/>
  <c r="AT38" i="18"/>
  <c r="BD98" i="18"/>
  <c r="BD58" i="18"/>
  <c r="P78" i="18"/>
  <c r="Q103" i="1"/>
  <c r="AJ98" i="18"/>
  <c r="Z98" i="18"/>
  <c r="Z78" i="18"/>
  <c r="P103" i="1"/>
  <c r="AE103" i="1" s="1"/>
  <c r="AD103" i="1" s="1"/>
  <c r="AP94" i="18"/>
  <c r="AP54" i="18"/>
  <c r="AP34" i="18"/>
  <c r="AF34" i="18"/>
  <c r="L74" i="18"/>
  <c r="AF94" i="18"/>
  <c r="AZ34" i="18"/>
  <c r="AF74" i="18"/>
  <c r="AF54" i="18"/>
  <c r="AP74" i="18"/>
  <c r="V94" i="18"/>
  <c r="AZ94" i="18"/>
  <c r="AF14" i="18"/>
  <c r="V54" i="18"/>
  <c r="AZ74" i="18"/>
  <c r="AP14" i="18"/>
  <c r="V34" i="18"/>
  <c r="L54" i="18"/>
  <c r="L94" i="18"/>
  <c r="V14" i="18"/>
  <c r="AZ54" i="18"/>
  <c r="AZ14" i="18"/>
  <c r="L34" i="18"/>
  <c r="V74" i="18"/>
  <c r="P67" i="1"/>
  <c r="AE67" i="1" s="1"/>
  <c r="AD67" i="1" s="1"/>
  <c r="Q67" i="1"/>
  <c r="L14" i="18"/>
  <c r="AZ62" i="18"/>
  <c r="V62" i="18"/>
  <c r="AF102" i="18"/>
  <c r="AZ102" i="18"/>
  <c r="V22" i="18"/>
  <c r="AZ82" i="18"/>
  <c r="AP82" i="18"/>
  <c r="AF82" i="18"/>
  <c r="L102" i="18"/>
  <c r="AZ42" i="18"/>
  <c r="AF22" i="18"/>
  <c r="AF42" i="18"/>
  <c r="L62" i="18"/>
  <c r="AZ22" i="18"/>
  <c r="L22" i="18"/>
  <c r="L82" i="18"/>
  <c r="AP62" i="18"/>
  <c r="AP102" i="18"/>
  <c r="AP22" i="18"/>
  <c r="V102" i="18"/>
  <c r="V82" i="18"/>
  <c r="AF62" i="18"/>
  <c r="P127" i="1"/>
  <c r="AE127" i="1" s="1"/>
  <c r="AD127" i="1" s="1"/>
  <c r="Q127" i="1"/>
  <c r="AP42" i="18"/>
  <c r="L42" i="18"/>
  <c r="V42" i="18"/>
  <c r="AN8" i="18"/>
  <c r="T28" i="18"/>
  <c r="AD8" i="18"/>
  <c r="T88" i="18"/>
  <c r="AX48" i="18"/>
  <c r="AN48" i="18"/>
  <c r="AX8" i="18"/>
  <c r="AD88" i="18"/>
  <c r="J28" i="18"/>
  <c r="AX88" i="18"/>
  <c r="T68" i="18"/>
  <c r="AD48" i="18"/>
  <c r="AN28" i="18"/>
  <c r="AD68" i="18"/>
  <c r="J88" i="18"/>
  <c r="AN68" i="18"/>
  <c r="J68" i="18"/>
  <c r="AX68" i="18"/>
  <c r="T48" i="18"/>
  <c r="AX28" i="18"/>
  <c r="J48" i="18"/>
  <c r="AN88" i="18"/>
  <c r="P19" i="1"/>
  <c r="AE19" i="1" s="1"/>
  <c r="AD19" i="1" s="1"/>
  <c r="Q19" i="1"/>
  <c r="T8" i="18"/>
  <c r="J8" i="18"/>
  <c r="AD28" i="18"/>
  <c r="BB100" i="18"/>
  <c r="N40" i="18"/>
  <c r="N100" i="18"/>
  <c r="AR40" i="18"/>
  <c r="BB20" i="18"/>
  <c r="AR20" i="18"/>
  <c r="BB40" i="18"/>
  <c r="AR100" i="18"/>
  <c r="AH60" i="18"/>
  <c r="AH80" i="18"/>
  <c r="AH40" i="18"/>
  <c r="AH20" i="18"/>
  <c r="BB80" i="18"/>
  <c r="AR80" i="18"/>
  <c r="X100" i="18"/>
  <c r="AH100" i="18"/>
  <c r="X40" i="18"/>
  <c r="X20" i="18"/>
  <c r="P115" i="1"/>
  <c r="AE115" i="1" s="1"/>
  <c r="AD115" i="1" s="1"/>
  <c r="Q115" i="1"/>
  <c r="BB60" i="18"/>
  <c r="X60" i="18"/>
  <c r="AR60" i="18"/>
  <c r="X80" i="18"/>
  <c r="N20" i="18"/>
  <c r="N80" i="18"/>
  <c r="N60" i="18"/>
  <c r="AZ28" i="18"/>
  <c r="AP48" i="18"/>
  <c r="AZ48" i="18"/>
  <c r="AF68" i="18"/>
  <c r="V8" i="18"/>
  <c r="AF88" i="18"/>
  <c r="AZ68" i="18"/>
  <c r="AF28" i="18"/>
  <c r="L88" i="18"/>
  <c r="AP8" i="18"/>
  <c r="L68" i="18"/>
  <c r="L48" i="18"/>
  <c r="AZ8" i="18"/>
  <c r="AP28" i="18"/>
  <c r="AF8" i="18"/>
  <c r="AF48" i="18"/>
  <c r="V88" i="18"/>
  <c r="AP88" i="18"/>
  <c r="AZ88" i="18"/>
  <c r="V68" i="18"/>
  <c r="L28" i="18"/>
  <c r="V28" i="18"/>
  <c r="V48" i="18"/>
  <c r="AP68" i="18"/>
  <c r="L8" i="18"/>
  <c r="P22" i="1"/>
  <c r="AE22" i="1" s="1"/>
  <c r="AD22" i="1" s="1"/>
  <c r="Q22" i="1"/>
  <c r="BF54" i="18"/>
  <c r="BF94" i="18"/>
  <c r="AB14" i="18"/>
  <c r="AL74" i="18"/>
  <c r="AV14" i="18"/>
  <c r="R94" i="18"/>
  <c r="P79" i="1"/>
  <c r="AE79" i="1" s="1"/>
  <c r="AD79" i="1" s="1"/>
  <c r="AL54" i="18"/>
  <c r="AV74" i="18"/>
  <c r="AL94" i="18"/>
  <c r="AL14" i="18"/>
  <c r="AL34" i="18"/>
  <c r="AB74" i="18"/>
  <c r="BF14" i="18"/>
  <c r="AV94" i="18"/>
  <c r="AB54" i="18"/>
  <c r="R14" i="18"/>
  <c r="BF74" i="18"/>
  <c r="R54" i="18"/>
  <c r="AB34" i="18"/>
  <c r="Q79" i="1"/>
  <c r="R74" i="18"/>
  <c r="BF34" i="18"/>
  <c r="AV34" i="18"/>
  <c r="R34" i="18"/>
  <c r="AV54" i="18"/>
  <c r="AB94" i="18"/>
  <c r="AD82" i="18"/>
  <c r="AN42" i="18"/>
  <c r="J102" i="18"/>
  <c r="AX82" i="18"/>
  <c r="T22" i="18"/>
  <c r="J62" i="18"/>
  <c r="AN22" i="18"/>
  <c r="AD42" i="18"/>
  <c r="T102" i="18"/>
  <c r="AX22" i="18"/>
  <c r="J22" i="18"/>
  <c r="J82" i="18"/>
  <c r="AD62" i="18"/>
  <c r="AN82" i="18"/>
  <c r="AX102" i="18"/>
  <c r="AX42" i="18"/>
  <c r="AN102" i="18"/>
  <c r="AN62" i="18"/>
  <c r="AX62" i="18"/>
  <c r="P124" i="1"/>
  <c r="AE124" i="1" s="1"/>
  <c r="AD124" i="1" s="1"/>
  <c r="Q124" i="1"/>
  <c r="T62" i="18"/>
  <c r="AD102" i="18"/>
  <c r="T42" i="18"/>
  <c r="AD22" i="18"/>
  <c r="J42" i="18"/>
  <c r="T82" i="18"/>
  <c r="AH102" i="18"/>
  <c r="X42" i="18"/>
  <c r="AH22" i="18"/>
  <c r="X82" i="18"/>
  <c r="N102" i="18"/>
  <c r="AH42" i="18"/>
  <c r="BB102" i="18"/>
  <c r="N62" i="18"/>
  <c r="AH82" i="18"/>
  <c r="BB82" i="18"/>
  <c r="BB42" i="18"/>
  <c r="N82" i="18"/>
  <c r="N22" i="18"/>
  <c r="AR22" i="18"/>
  <c r="X62" i="18"/>
  <c r="AR42" i="18"/>
  <c r="BB62" i="18"/>
  <c r="AR82" i="18"/>
  <c r="X102" i="18"/>
  <c r="AR62" i="18"/>
  <c r="AR102" i="18"/>
  <c r="P130" i="1"/>
  <c r="AE130" i="1" s="1"/>
  <c r="AD130" i="1" s="1"/>
  <c r="BB22" i="18"/>
  <c r="Q130" i="1"/>
  <c r="X22" i="18"/>
  <c r="N42" i="18"/>
  <c r="AH62" i="18"/>
  <c r="AN98" i="18"/>
  <c r="T18" i="18"/>
  <c r="AD38" i="18"/>
  <c r="T78" i="18"/>
  <c r="J98" i="18"/>
  <c r="J38" i="18"/>
  <c r="AX98" i="18"/>
  <c r="AD58" i="18"/>
  <c r="AX58" i="18"/>
  <c r="AN38" i="18"/>
  <c r="AD98" i="18"/>
  <c r="AX18" i="18"/>
  <c r="AN78" i="18"/>
  <c r="AD18" i="18"/>
  <c r="AD78" i="18"/>
  <c r="AX78" i="18"/>
  <c r="T58" i="18"/>
  <c r="J78" i="18"/>
  <c r="AN18" i="18"/>
  <c r="T38" i="18"/>
  <c r="J58" i="18"/>
  <c r="AX38" i="18"/>
  <c r="T98" i="18"/>
  <c r="AN58" i="18"/>
  <c r="P97" i="1"/>
  <c r="AE97" i="1" s="1"/>
  <c r="AD97" i="1" s="1"/>
  <c r="Q97" i="1"/>
  <c r="J18" i="18"/>
  <c r="AJ96" i="18"/>
  <c r="AT56" i="18"/>
  <c r="Z16" i="18"/>
  <c r="BD96" i="18"/>
  <c r="AT16" i="18"/>
  <c r="P96" i="18"/>
  <c r="P91" i="1"/>
  <c r="AE91" i="1" s="1"/>
  <c r="AD91" i="1" s="1"/>
  <c r="AT36" i="18"/>
  <c r="P36" i="18"/>
  <c r="BD16" i="18"/>
  <c r="BD36" i="18"/>
  <c r="BD76" i="18"/>
  <c r="P76" i="18"/>
  <c r="AJ76" i="18"/>
  <c r="AJ56" i="18"/>
  <c r="AT96" i="18"/>
  <c r="BD56" i="18"/>
  <c r="Z36" i="18"/>
  <c r="Z96" i="18"/>
  <c r="P16" i="18"/>
  <c r="Q91" i="1"/>
  <c r="AT76" i="18"/>
  <c r="AJ16" i="18"/>
  <c r="Z76" i="18"/>
  <c r="Z56" i="18"/>
  <c r="AJ36" i="18"/>
  <c r="P56" i="18"/>
  <c r="AP40" i="18"/>
  <c r="AZ60" i="18"/>
  <c r="L20" i="18"/>
  <c r="AP20" i="18"/>
  <c r="AZ40" i="18"/>
  <c r="V20" i="18"/>
  <c r="AZ20" i="18"/>
  <c r="AF80" i="18"/>
  <c r="L100" i="18"/>
  <c r="AF60" i="18"/>
  <c r="L40" i="18"/>
  <c r="L60" i="18"/>
  <c r="AP80" i="18"/>
  <c r="AP60" i="18"/>
  <c r="V80" i="18"/>
  <c r="P112" i="1"/>
  <c r="AE112" i="1" s="1"/>
  <c r="AD112" i="1" s="1"/>
  <c r="Q112" i="1"/>
  <c r="AP100" i="18"/>
  <c r="V60" i="18"/>
  <c r="AZ100" i="18"/>
  <c r="V40" i="18"/>
  <c r="AF40" i="18"/>
  <c r="V100" i="18"/>
  <c r="AZ80" i="18"/>
  <c r="AF20" i="18"/>
  <c r="AF100" i="18"/>
  <c r="L80" i="18"/>
  <c r="AR86" i="18"/>
  <c r="X86" i="18"/>
  <c r="X46" i="18"/>
  <c r="BB86" i="18"/>
  <c r="AH66" i="18"/>
  <c r="X26" i="18"/>
  <c r="N6" i="18"/>
  <c r="AR26" i="18"/>
  <c r="AR6" i="18"/>
  <c r="X6" i="18"/>
  <c r="BB46" i="18"/>
  <c r="N26" i="18"/>
  <c r="N86" i="18"/>
  <c r="BB26" i="18"/>
  <c r="BB66" i="18"/>
  <c r="AH6" i="18"/>
  <c r="AR46" i="18"/>
  <c r="AR66" i="18"/>
  <c r="X66" i="18"/>
  <c r="P13" i="1"/>
  <c r="AE13" i="1" s="1"/>
  <c r="AD13" i="1" s="1"/>
  <c r="Q13" i="1"/>
  <c r="AH46" i="18"/>
  <c r="BB6" i="18"/>
  <c r="N46" i="18"/>
  <c r="AH26" i="18"/>
  <c r="N66" i="18"/>
  <c r="AH86" i="18"/>
  <c r="BD12" i="18"/>
  <c r="Z12" i="18"/>
  <c r="P52" i="18"/>
  <c r="AT92" i="18"/>
  <c r="Z92" i="18"/>
  <c r="P32" i="18"/>
  <c r="BD92" i="18"/>
  <c r="Z72" i="18"/>
  <c r="AJ92" i="18"/>
  <c r="AT32" i="18"/>
  <c r="Z52" i="18"/>
  <c r="P72" i="18"/>
  <c r="BD32" i="18"/>
  <c r="Z32" i="18"/>
  <c r="AJ52" i="18"/>
  <c r="AT12" i="18"/>
  <c r="AT72" i="18"/>
  <c r="AJ12" i="18"/>
  <c r="BD72" i="18"/>
  <c r="AJ32" i="18"/>
  <c r="BD52" i="18"/>
  <c r="AT52" i="18"/>
  <c r="P58" i="1"/>
  <c r="AE58" i="1" s="1"/>
  <c r="AD58" i="1" s="1"/>
  <c r="AJ72" i="18"/>
  <c r="Q58" i="1"/>
  <c r="P92" i="18"/>
  <c r="P12" i="18"/>
  <c r="P145" i="1"/>
  <c r="N64" i="18"/>
  <c r="BB24" i="18"/>
  <c r="AR24" i="18"/>
  <c r="BB44" i="18"/>
  <c r="AR44" i="18"/>
  <c r="AH44" i="18"/>
  <c r="AR64" i="18"/>
  <c r="AH64" i="18"/>
  <c r="X64" i="18"/>
  <c r="Q145" i="1"/>
  <c r="AR104" i="18"/>
  <c r="BB64" i="18"/>
  <c r="AH84" i="18"/>
  <c r="X84" i="18"/>
  <c r="N84" i="18"/>
  <c r="AR84" i="18"/>
  <c r="X104" i="18"/>
  <c r="N104" i="18"/>
  <c r="AH104" i="18"/>
  <c r="X24" i="18"/>
  <c r="N24" i="18"/>
  <c r="X44" i="18"/>
  <c r="AH24" i="18"/>
  <c r="N44" i="18"/>
  <c r="BB84" i="18"/>
  <c r="BB104" i="18"/>
  <c r="BF92" i="18"/>
  <c r="AB92" i="18"/>
  <c r="AV52" i="18"/>
  <c r="BF32" i="18"/>
  <c r="AB72" i="18"/>
  <c r="R72" i="18"/>
  <c r="AL72" i="18"/>
  <c r="AV92" i="18"/>
  <c r="AL52" i="18"/>
  <c r="AV72" i="18"/>
  <c r="AL32" i="18"/>
  <c r="AL12" i="18"/>
  <c r="AB52" i="18"/>
  <c r="AB12" i="18"/>
  <c r="R52" i="18"/>
  <c r="BF72" i="18"/>
  <c r="BF12" i="18"/>
  <c r="R12" i="18"/>
  <c r="P61" i="1"/>
  <c r="AE61" i="1" s="1"/>
  <c r="AD61" i="1" s="1"/>
  <c r="AB32" i="18"/>
  <c r="R92" i="18"/>
  <c r="R32" i="18"/>
  <c r="AV32" i="18"/>
  <c r="Q61" i="1"/>
  <c r="BF52" i="18"/>
  <c r="AL92" i="18"/>
  <c r="AV12" i="18"/>
  <c r="T14" i="18"/>
  <c r="AD34" i="18"/>
  <c r="J54" i="18"/>
  <c r="T74" i="18"/>
  <c r="AN54" i="18"/>
  <c r="J34" i="18"/>
  <c r="AD54" i="18"/>
  <c r="AX14" i="18"/>
  <c r="AN34" i="18"/>
  <c r="AD74" i="18"/>
  <c r="J94" i="18"/>
  <c r="AX54" i="18"/>
  <c r="AX74" i="18"/>
  <c r="AD14" i="18"/>
  <c r="T54" i="18"/>
  <c r="AN94" i="18"/>
  <c r="AN74" i="18"/>
  <c r="AX94" i="18"/>
  <c r="J14" i="18"/>
  <c r="P64" i="1"/>
  <c r="AE64" i="1" s="1"/>
  <c r="AD64" i="1" s="1"/>
  <c r="Q64" i="1"/>
  <c r="AN14" i="18"/>
  <c r="AX34" i="18"/>
  <c r="T94" i="18"/>
  <c r="AD94" i="18"/>
  <c r="J74" i="18"/>
  <c r="T34" i="18"/>
  <c r="AP52" i="18"/>
  <c r="V52" i="18"/>
  <c r="V12" i="18"/>
  <c r="AZ52" i="18"/>
  <c r="AZ12" i="18"/>
  <c r="L92" i="18"/>
  <c r="AF92" i="18"/>
  <c r="L52" i="18"/>
  <c r="L32" i="18"/>
  <c r="AP32" i="18"/>
  <c r="AP92" i="18"/>
  <c r="AZ92" i="18"/>
  <c r="P52" i="1"/>
  <c r="AE52" i="1" s="1"/>
  <c r="AD52" i="1" s="1"/>
  <c r="AF12" i="18"/>
  <c r="AF72" i="18"/>
  <c r="L72" i="18"/>
  <c r="Q52" i="1"/>
  <c r="AP12" i="18"/>
  <c r="AP72" i="18"/>
  <c r="V32" i="18"/>
  <c r="AF52" i="18"/>
  <c r="AZ72" i="18"/>
  <c r="V72" i="18"/>
  <c r="L12" i="18"/>
  <c r="AZ32" i="18"/>
  <c r="AF32" i="18"/>
  <c r="V92" i="18"/>
  <c r="BF30" i="18"/>
  <c r="AB30" i="18"/>
  <c r="R50" i="18"/>
  <c r="AL70" i="18"/>
  <c r="AV30" i="18"/>
  <c r="AV50" i="18"/>
  <c r="P46" i="1"/>
  <c r="AE46" i="1" s="1"/>
  <c r="AD46" i="1" s="1"/>
  <c r="Q46" i="1"/>
  <c r="BF70" i="18"/>
  <c r="AL10" i="18"/>
  <c r="AL30" i="18"/>
  <c r="AV10" i="18"/>
  <c r="BF90" i="18"/>
  <c r="AB90" i="18"/>
  <c r="R10" i="18"/>
  <c r="BF10" i="18"/>
  <c r="AB10" i="18"/>
  <c r="AB70" i="18"/>
  <c r="AL90" i="18"/>
  <c r="AV70" i="18"/>
  <c r="R30" i="18"/>
  <c r="R90" i="18"/>
  <c r="AV90" i="18"/>
  <c r="AB50" i="18"/>
  <c r="AL50" i="18"/>
  <c r="BF50" i="18"/>
  <c r="R70" i="18"/>
  <c r="BD8" i="18"/>
  <c r="AJ48" i="18"/>
  <c r="AT28" i="18"/>
  <c r="AT8" i="18"/>
  <c r="Z88" i="18"/>
  <c r="AT88" i="18"/>
  <c r="AT48" i="18"/>
  <c r="BD88" i="18"/>
  <c r="AJ8" i="18"/>
  <c r="BD48" i="18"/>
  <c r="Z28" i="18"/>
  <c r="P28" i="18"/>
  <c r="AJ88" i="18"/>
  <c r="Z8" i="18"/>
  <c r="AJ68" i="18"/>
  <c r="AT68" i="18"/>
  <c r="P88" i="18"/>
  <c r="AJ28" i="18"/>
  <c r="Z68" i="18"/>
  <c r="P48" i="18"/>
  <c r="P68" i="18"/>
  <c r="BD68" i="18"/>
  <c r="P8" i="18"/>
  <c r="Z48" i="18"/>
  <c r="BD28" i="18"/>
  <c r="P28" i="1"/>
  <c r="AE28" i="1" s="1"/>
  <c r="AD28" i="1" s="1"/>
  <c r="Q28" i="1"/>
  <c r="AN92" i="18"/>
  <c r="J72" i="18"/>
  <c r="AN12" i="18"/>
  <c r="AD52" i="18"/>
  <c r="T72" i="18"/>
  <c r="AD92" i="18"/>
  <c r="AD32" i="18"/>
  <c r="T52" i="18"/>
  <c r="AX72" i="18"/>
  <c r="AN72" i="18"/>
  <c r="AX92" i="18"/>
  <c r="T32" i="18"/>
  <c r="AX12" i="18"/>
  <c r="AX32" i="18"/>
  <c r="T12" i="18"/>
  <c r="AN52" i="18"/>
  <c r="AX52" i="18"/>
  <c r="J92" i="18"/>
  <c r="T92" i="18"/>
  <c r="AD12" i="18"/>
  <c r="AN32" i="18"/>
  <c r="P49" i="1"/>
  <c r="AE49" i="1" s="1"/>
  <c r="AD49" i="1" s="1"/>
  <c r="Q49" i="1"/>
  <c r="AD72" i="18"/>
  <c r="J12" i="18"/>
  <c r="J32" i="18"/>
  <c r="J52" i="18"/>
  <c r="AH32" i="18"/>
  <c r="AH72" i="18"/>
  <c r="BB72" i="18"/>
  <c r="X12" i="18"/>
  <c r="X72" i="18"/>
  <c r="N72" i="18"/>
  <c r="AR72" i="18"/>
  <c r="X52" i="18"/>
  <c r="AH12" i="18"/>
  <c r="BB12" i="18"/>
  <c r="AR12" i="18"/>
  <c r="X32" i="18"/>
  <c r="AH52" i="18"/>
  <c r="N92" i="18"/>
  <c r="AR52" i="18"/>
  <c r="BB52" i="18"/>
  <c r="BB32" i="18"/>
  <c r="N32" i="18"/>
  <c r="AR92" i="18"/>
  <c r="N52" i="18"/>
  <c r="AR32" i="18"/>
  <c r="BB92" i="18"/>
  <c r="X92" i="18"/>
  <c r="AH92" i="18"/>
  <c r="P55" i="1"/>
  <c r="AE55" i="1" s="1"/>
  <c r="AD55" i="1" s="1"/>
  <c r="Q55" i="1"/>
  <c r="N12" i="18"/>
  <c r="AH74" i="18"/>
  <c r="N54" i="18"/>
  <c r="X14" i="18"/>
  <c r="AR34" i="18"/>
  <c r="X74" i="18"/>
  <c r="N34" i="18"/>
  <c r="AR74" i="18"/>
  <c r="AR94" i="18"/>
  <c r="BB34" i="18"/>
  <c r="BB74" i="18"/>
  <c r="AH34" i="18"/>
  <c r="X34" i="18"/>
  <c r="AR14" i="18"/>
  <c r="N94" i="18"/>
  <c r="BB14" i="18"/>
  <c r="AR54" i="18"/>
  <c r="N74" i="18"/>
  <c r="X94" i="18"/>
  <c r="AH94" i="18"/>
  <c r="AH14" i="18"/>
  <c r="X54" i="18"/>
  <c r="BB54" i="18"/>
  <c r="P73" i="1"/>
  <c r="AE73" i="1" s="1"/>
  <c r="AD73" i="1" s="1"/>
  <c r="Q73" i="1"/>
  <c r="AH54" i="18"/>
  <c r="N14" i="18"/>
  <c r="BB94" i="18"/>
  <c r="AN16" i="18"/>
  <c r="AN36" i="18"/>
  <c r="AX36" i="18"/>
  <c r="J16" i="18"/>
  <c r="AN56" i="18"/>
  <c r="T56" i="18"/>
  <c r="T36" i="18"/>
  <c r="AX56" i="18"/>
  <c r="AN76" i="18"/>
  <c r="T16" i="18"/>
  <c r="AD96" i="18"/>
  <c r="J76" i="18"/>
  <c r="J96" i="18"/>
  <c r="AX16" i="18"/>
  <c r="J56" i="18"/>
  <c r="T96" i="18"/>
  <c r="AX76" i="18"/>
  <c r="AD16" i="18"/>
  <c r="J36" i="18"/>
  <c r="AD76" i="18"/>
  <c r="AD36" i="18"/>
  <c r="T76" i="18"/>
  <c r="Q82" i="1"/>
  <c r="AN96" i="18"/>
  <c r="P82" i="1"/>
  <c r="AX96" i="18"/>
  <c r="AD56" i="18"/>
  <c r="BF100" i="18"/>
  <c r="BF60" i="18"/>
  <c r="AB60" i="18"/>
  <c r="R40" i="18"/>
  <c r="AV40" i="18"/>
  <c r="AV100" i="18"/>
  <c r="AB40" i="18"/>
  <c r="AV80" i="18"/>
  <c r="AB100" i="18"/>
  <c r="AB20" i="18"/>
  <c r="BF80" i="18"/>
  <c r="AB80" i="18"/>
  <c r="R100" i="18"/>
  <c r="AV20" i="18"/>
  <c r="BF40" i="18"/>
  <c r="R60" i="18"/>
  <c r="AV60" i="18"/>
  <c r="BF20" i="18"/>
  <c r="AL60" i="18"/>
  <c r="AL40" i="18"/>
  <c r="AL80" i="18"/>
  <c r="R80" i="18"/>
  <c r="AL20" i="18"/>
  <c r="R20" i="18"/>
  <c r="AL100" i="18"/>
  <c r="P121" i="1"/>
  <c r="AE121" i="1" s="1"/>
  <c r="AD121" i="1" s="1"/>
  <c r="Q121" i="1"/>
  <c r="AB78" i="18"/>
  <c r="R58" i="18"/>
  <c r="AB18" i="18"/>
  <c r="AV18" i="18"/>
  <c r="AL78" i="18"/>
  <c r="R38" i="18"/>
  <c r="AV58" i="18"/>
  <c r="AL58" i="18"/>
  <c r="AV78" i="18"/>
  <c r="BF58" i="18"/>
  <c r="AL38" i="18"/>
  <c r="AV38" i="18"/>
  <c r="AL98" i="18"/>
  <c r="AB58" i="18"/>
  <c r="AB38" i="18"/>
  <c r="BF38" i="18"/>
  <c r="BF98" i="18"/>
  <c r="R98" i="18"/>
  <c r="AB98" i="18"/>
  <c r="R78" i="18"/>
  <c r="AL18" i="18"/>
  <c r="BF18" i="18"/>
  <c r="BF78" i="18"/>
  <c r="R18" i="18"/>
  <c r="P106" i="1"/>
  <c r="AE106" i="1" s="1"/>
  <c r="AD106" i="1" s="1"/>
  <c r="Q106" i="1"/>
  <c r="AV98" i="18"/>
  <c r="BD62" i="18"/>
  <c r="AT82" i="18"/>
  <c r="AT22" i="18"/>
  <c r="AT102" i="18"/>
  <c r="Z82" i="18"/>
  <c r="P42" i="18"/>
  <c r="AJ42" i="18"/>
  <c r="Z62" i="18"/>
  <c r="BD102" i="18"/>
  <c r="AT42" i="18"/>
  <c r="Z42" i="18"/>
  <c r="BD82" i="18"/>
  <c r="Z102" i="18"/>
  <c r="P62" i="18"/>
  <c r="AJ82" i="18"/>
  <c r="AJ62" i="18"/>
  <c r="P22" i="18"/>
  <c r="AJ102" i="18"/>
  <c r="Z22" i="18"/>
  <c r="BD42" i="18"/>
  <c r="P102" i="18"/>
  <c r="BD22" i="18"/>
  <c r="AJ22" i="18"/>
  <c r="P133" i="1"/>
  <c r="AE133" i="1" s="1"/>
  <c r="AD133" i="1" s="1"/>
  <c r="Q133" i="1"/>
  <c r="AT62" i="18"/>
  <c r="P82" i="18"/>
  <c r="BD74" i="18"/>
  <c r="AJ34" i="18"/>
  <c r="BD94" i="18"/>
  <c r="AT14" i="18"/>
  <c r="AJ14" i="18"/>
  <c r="Z74" i="18"/>
  <c r="BD14" i="18"/>
  <c r="Z14" i="18"/>
  <c r="Z54" i="18"/>
  <c r="AJ54" i="18"/>
  <c r="AT74" i="18"/>
  <c r="P34" i="18"/>
  <c r="P76" i="1"/>
  <c r="AE76" i="1" s="1"/>
  <c r="AD76" i="1" s="1"/>
  <c r="Z94" i="18"/>
  <c r="AT54" i="18"/>
  <c r="P94" i="18"/>
  <c r="Q76" i="1"/>
  <c r="AJ74" i="18"/>
  <c r="BD54" i="18"/>
  <c r="P54" i="18"/>
  <c r="P74" i="18"/>
  <c r="AT94" i="18"/>
  <c r="P14" i="18"/>
  <c r="AT34" i="18"/>
  <c r="BD34" i="18"/>
  <c r="Z34" i="18"/>
  <c r="AJ94" i="18"/>
  <c r="AH56" i="18"/>
  <c r="X56" i="18"/>
  <c r="AH76" i="18"/>
  <c r="AH16" i="18"/>
  <c r="BB56" i="18"/>
  <c r="N56" i="18"/>
  <c r="AR56" i="18"/>
  <c r="BB36" i="18"/>
  <c r="X96" i="18"/>
  <c r="AR96" i="18"/>
  <c r="AR16" i="18"/>
  <c r="X16" i="18"/>
  <c r="BB96" i="18"/>
  <c r="N36" i="18"/>
  <c r="N96" i="18"/>
  <c r="AR36" i="18"/>
  <c r="BB76" i="18"/>
  <c r="BB16" i="18"/>
  <c r="AH96" i="18"/>
  <c r="X76" i="18"/>
  <c r="AR76" i="18"/>
  <c r="X36" i="18"/>
  <c r="AH36" i="18"/>
  <c r="P88" i="1"/>
  <c r="AE88" i="1" s="1"/>
  <c r="AD88" i="1" s="1"/>
  <c r="Q88" i="1"/>
  <c r="N16" i="18"/>
  <c r="N76" i="18"/>
  <c r="AJ30" i="18"/>
  <c r="P70" i="18"/>
  <c r="P30" i="18"/>
  <c r="AT30" i="18"/>
  <c r="Z70" i="18"/>
  <c r="P50" i="18"/>
  <c r="AT70" i="18"/>
  <c r="AJ90" i="18"/>
  <c r="AT50" i="18"/>
  <c r="BD70" i="18"/>
  <c r="AJ50" i="18"/>
  <c r="Z50" i="18"/>
  <c r="AT10" i="18"/>
  <c r="BD50" i="18"/>
  <c r="Z30" i="18"/>
  <c r="Z90" i="18"/>
  <c r="BD30" i="18"/>
  <c r="Z10" i="18"/>
  <c r="AT90" i="18"/>
  <c r="BD10" i="18"/>
  <c r="P90" i="18"/>
  <c r="BD90" i="18"/>
  <c r="AJ10" i="18"/>
  <c r="AJ70" i="18"/>
  <c r="P10" i="18"/>
  <c r="P43" i="1"/>
  <c r="AE43" i="1" s="1"/>
  <c r="AD43" i="1" s="1"/>
  <c r="Q43" i="1"/>
  <c r="AL66" i="18"/>
  <c r="BF86" i="18"/>
  <c r="R46" i="18"/>
  <c r="AV86" i="18"/>
  <c r="AL46" i="18"/>
  <c r="AB86" i="18"/>
  <c r="AL26" i="18"/>
  <c r="R86" i="18"/>
  <c r="AB66" i="18"/>
  <c r="BF26" i="18"/>
  <c r="AV6" i="18"/>
  <c r="AB46" i="18"/>
  <c r="AV66" i="18"/>
  <c r="BF66" i="18"/>
  <c r="AB26" i="18"/>
  <c r="AL6" i="18"/>
  <c r="AV46" i="18"/>
  <c r="AB6" i="18"/>
  <c r="AV26" i="18"/>
  <c r="R26" i="18"/>
  <c r="BF46" i="18"/>
  <c r="AL86" i="18"/>
  <c r="R66" i="18"/>
  <c r="BF6" i="18"/>
  <c r="R6" i="18"/>
  <c r="P16" i="1"/>
  <c r="AE16" i="1" s="1"/>
  <c r="AD16" i="1" s="1"/>
  <c r="Q16" i="1"/>
  <c r="AL82" i="18"/>
  <c r="BF82" i="18"/>
  <c r="R62" i="18"/>
  <c r="AV62" i="18"/>
  <c r="R102" i="18"/>
  <c r="R22" i="18"/>
  <c r="AB62" i="18"/>
  <c r="AV102" i="18"/>
  <c r="R82" i="18"/>
  <c r="BF62" i="18"/>
  <c r="BF102" i="18"/>
  <c r="AL62" i="18"/>
  <c r="BF42" i="18"/>
  <c r="AV42" i="18"/>
  <c r="AL22" i="18"/>
  <c r="AL42" i="18"/>
  <c r="AV82" i="18"/>
  <c r="AB102" i="18"/>
  <c r="AB82" i="18"/>
  <c r="AV22" i="18"/>
  <c r="R42" i="18"/>
  <c r="AB42" i="18"/>
  <c r="AB22" i="18"/>
  <c r="AL102" i="18"/>
  <c r="BF22" i="18"/>
  <c r="P136" i="1"/>
  <c r="AE136" i="1" s="1"/>
  <c r="AD136" i="1" s="1"/>
  <c r="Q136" i="1"/>
  <c r="AJ84" i="18"/>
  <c r="Z84" i="18"/>
  <c r="P84" i="18"/>
  <c r="Z104" i="18"/>
  <c r="P104" i="18"/>
  <c r="BD64" i="18"/>
  <c r="Z24" i="18"/>
  <c r="P24" i="18"/>
  <c r="AT84" i="18"/>
  <c r="P44" i="18"/>
  <c r="BD84" i="18"/>
  <c r="AJ104" i="18"/>
  <c r="BD104" i="18"/>
  <c r="AT104" i="18"/>
  <c r="AJ24" i="18"/>
  <c r="BD24" i="18"/>
  <c r="AT24" i="18"/>
  <c r="Z44" i="18"/>
  <c r="P148" i="1"/>
  <c r="BD44" i="18"/>
  <c r="AT44" i="18"/>
  <c r="AJ44" i="18"/>
  <c r="P64" i="18"/>
  <c r="Q148" i="1"/>
  <c r="AT64" i="18"/>
  <c r="AJ64" i="18"/>
  <c r="Z64" i="18"/>
  <c r="Q70" i="1"/>
  <c r="P70" i="1"/>
  <c r="AE70" i="1" s="1"/>
  <c r="AD70" i="1" s="1"/>
  <c r="AF70" i="1" s="1"/>
  <c r="S249" i="19" l="1"/>
  <c r="M249" i="19"/>
  <c r="J199" i="19"/>
  <c r="V99" i="19"/>
  <c r="P199" i="19"/>
  <c r="S49" i="19"/>
  <c r="M49" i="19"/>
  <c r="M199" i="19"/>
  <c r="M99" i="19"/>
  <c r="V199" i="19"/>
  <c r="J149" i="19"/>
  <c r="J99" i="19"/>
  <c r="S149" i="19"/>
  <c r="P49" i="19"/>
  <c r="V49" i="19"/>
  <c r="P149" i="19"/>
  <c r="AF133" i="1"/>
  <c r="V149" i="19"/>
  <c r="J49" i="19"/>
  <c r="S199" i="19"/>
  <c r="M149" i="19"/>
  <c r="P99" i="19"/>
  <c r="V249" i="19"/>
  <c r="S99" i="19"/>
  <c r="P249" i="19"/>
  <c r="J249" i="19"/>
  <c r="P148" i="19"/>
  <c r="P248" i="19"/>
  <c r="J48" i="19"/>
  <c r="M148" i="19"/>
  <c r="M48" i="19"/>
  <c r="S248" i="19"/>
  <c r="J198" i="19"/>
  <c r="J148" i="19"/>
  <c r="S98" i="19"/>
  <c r="M248" i="19"/>
  <c r="V198" i="19"/>
  <c r="P98" i="19"/>
  <c r="J98" i="19"/>
  <c r="V98" i="19"/>
  <c r="M98" i="19"/>
  <c r="V148" i="19"/>
  <c r="V48" i="19"/>
  <c r="S48" i="19"/>
  <c r="S148" i="19"/>
  <c r="AF130" i="1"/>
  <c r="M198" i="19"/>
  <c r="V248" i="19"/>
  <c r="S198" i="19"/>
  <c r="P48" i="19"/>
  <c r="P198" i="19"/>
  <c r="J248" i="19"/>
  <c r="S70" i="19"/>
  <c r="J120" i="19"/>
  <c r="M120" i="19"/>
  <c r="S220" i="19"/>
  <c r="M70" i="19"/>
  <c r="P120" i="19"/>
  <c r="V120" i="19"/>
  <c r="P170" i="19"/>
  <c r="P20" i="19"/>
  <c r="P220" i="19"/>
  <c r="P70" i="19"/>
  <c r="J170" i="19"/>
  <c r="V20" i="19"/>
  <c r="J220" i="19"/>
  <c r="M170" i="19"/>
  <c r="V220" i="19"/>
  <c r="V170" i="19"/>
  <c r="J70" i="19"/>
  <c r="S170" i="19"/>
  <c r="AF46" i="1"/>
  <c r="M20" i="19"/>
  <c r="V70" i="19"/>
  <c r="M220" i="19"/>
  <c r="S120" i="19"/>
  <c r="J20" i="19"/>
  <c r="S20" i="19"/>
  <c r="S84" i="19"/>
  <c r="J134" i="19"/>
  <c r="M134" i="19"/>
  <c r="V184" i="19"/>
  <c r="S184" i="19"/>
  <c r="P84" i="19"/>
  <c r="S234" i="19"/>
  <c r="P184" i="19"/>
  <c r="P34" i="19"/>
  <c r="V134" i="19"/>
  <c r="M84" i="19"/>
  <c r="J184" i="19"/>
  <c r="S134" i="19"/>
  <c r="J234" i="19"/>
  <c r="M34" i="19"/>
  <c r="V234" i="19"/>
  <c r="V34" i="19"/>
  <c r="P134" i="19"/>
  <c r="AF91" i="1"/>
  <c r="V84" i="19"/>
  <c r="P234" i="19"/>
  <c r="S34" i="19"/>
  <c r="M234" i="19"/>
  <c r="M184" i="19"/>
  <c r="J84" i="19"/>
  <c r="J34" i="19"/>
  <c r="J147" i="19"/>
  <c r="S247" i="19"/>
  <c r="P247" i="19"/>
  <c r="M97" i="19"/>
  <c r="V197" i="19"/>
  <c r="V247" i="19"/>
  <c r="S97" i="19"/>
  <c r="V97" i="19"/>
  <c r="M147" i="19"/>
  <c r="P197" i="19"/>
  <c r="S197" i="19"/>
  <c r="P97" i="19"/>
  <c r="J247" i="19"/>
  <c r="M247" i="19"/>
  <c r="AF127" i="1"/>
  <c r="S47" i="19"/>
  <c r="M47" i="19"/>
  <c r="J97" i="19"/>
  <c r="P47" i="19"/>
  <c r="M197" i="19"/>
  <c r="S147" i="19"/>
  <c r="V47" i="19"/>
  <c r="P147" i="19"/>
  <c r="J197" i="19"/>
  <c r="V147" i="19"/>
  <c r="J47" i="19"/>
  <c r="V18" i="19"/>
  <c r="S68" i="19"/>
  <c r="M168" i="19"/>
  <c r="P118" i="19"/>
  <c r="M218" i="19"/>
  <c r="P68" i="19"/>
  <c r="V168" i="19"/>
  <c r="J218" i="19"/>
  <c r="M68" i="19"/>
  <c r="S18" i="19"/>
  <c r="J68" i="19"/>
  <c r="J118" i="19"/>
  <c r="S218" i="19"/>
  <c r="V218" i="19"/>
  <c r="M118" i="19"/>
  <c r="V118" i="19"/>
  <c r="S168" i="19"/>
  <c r="J168" i="19"/>
  <c r="P218" i="19"/>
  <c r="V68" i="19"/>
  <c r="P18" i="19"/>
  <c r="J18" i="19"/>
  <c r="S118" i="19"/>
  <c r="P168" i="19"/>
  <c r="M18" i="19"/>
  <c r="AF40" i="1"/>
  <c r="P110" i="19"/>
  <c r="J60" i="19"/>
  <c r="J110" i="19"/>
  <c r="V160" i="19"/>
  <c r="S60" i="19"/>
  <c r="P60" i="19"/>
  <c r="S210" i="19"/>
  <c r="S10" i="19"/>
  <c r="M110" i="19"/>
  <c r="V110" i="19"/>
  <c r="S160" i="19"/>
  <c r="P10" i="19"/>
  <c r="P210" i="19"/>
  <c r="V60" i="19"/>
  <c r="J160" i="19"/>
  <c r="V210" i="19"/>
  <c r="P160" i="19"/>
  <c r="M10" i="19"/>
  <c r="S110" i="19"/>
  <c r="M210" i="19"/>
  <c r="M160" i="19"/>
  <c r="AF16" i="1"/>
  <c r="V10" i="19"/>
  <c r="J210" i="19"/>
  <c r="M60" i="19"/>
  <c r="J10" i="19"/>
  <c r="S83" i="19"/>
  <c r="P83" i="19"/>
  <c r="M133" i="19"/>
  <c r="V183" i="19"/>
  <c r="S233" i="19"/>
  <c r="M183" i="19"/>
  <c r="V233" i="19"/>
  <c r="V133" i="19"/>
  <c r="P133" i="19"/>
  <c r="V33" i="19"/>
  <c r="P233" i="19"/>
  <c r="J133" i="19"/>
  <c r="S33" i="19"/>
  <c r="S133" i="19"/>
  <c r="M83" i="19"/>
  <c r="S183" i="19"/>
  <c r="P33" i="19"/>
  <c r="M233" i="19"/>
  <c r="V83" i="19"/>
  <c r="J183" i="19"/>
  <c r="J233" i="19"/>
  <c r="AF88" i="1"/>
  <c r="P183" i="19"/>
  <c r="J33" i="19"/>
  <c r="M33" i="19"/>
  <c r="J83" i="19"/>
  <c r="S140" i="19"/>
  <c r="M240" i="19"/>
  <c r="J140" i="19"/>
  <c r="V240" i="19"/>
  <c r="V40" i="19"/>
  <c r="J90" i="19"/>
  <c r="J240" i="19"/>
  <c r="S90" i="19"/>
  <c r="P140" i="19"/>
  <c r="M140" i="19"/>
  <c r="S240" i="19"/>
  <c r="S40" i="19"/>
  <c r="V90" i="19"/>
  <c r="P90" i="19"/>
  <c r="S190" i="19"/>
  <c r="P40" i="19"/>
  <c r="V190" i="19"/>
  <c r="M90" i="19"/>
  <c r="J190" i="19"/>
  <c r="V140" i="19"/>
  <c r="J40" i="19"/>
  <c r="M40" i="19"/>
  <c r="P190" i="19"/>
  <c r="AF106" i="1"/>
  <c r="M190" i="19"/>
  <c r="P240" i="19"/>
  <c r="S226" i="19"/>
  <c r="J176" i="19"/>
  <c r="M226" i="19"/>
  <c r="P26" i="19"/>
  <c r="S126" i="19"/>
  <c r="M176" i="19"/>
  <c r="S176" i="19"/>
  <c r="M126" i="19"/>
  <c r="S76" i="19"/>
  <c r="S26" i="19"/>
  <c r="V226" i="19"/>
  <c r="M26" i="19"/>
  <c r="J226" i="19"/>
  <c r="M76" i="19"/>
  <c r="V126" i="19"/>
  <c r="P226" i="19"/>
  <c r="J126" i="19"/>
  <c r="P176" i="19"/>
  <c r="P76" i="19"/>
  <c r="V26" i="19"/>
  <c r="P126" i="19"/>
  <c r="AF64" i="1"/>
  <c r="J26" i="19"/>
  <c r="V176" i="19"/>
  <c r="V76" i="19"/>
  <c r="J76" i="19"/>
  <c r="V236" i="19"/>
  <c r="V136" i="19"/>
  <c r="P186" i="19"/>
  <c r="S36" i="19"/>
  <c r="P236" i="19"/>
  <c r="M236" i="19"/>
  <c r="J36" i="19"/>
  <c r="M86" i="19"/>
  <c r="S186" i="19"/>
  <c r="S136" i="19"/>
  <c r="J236" i="19"/>
  <c r="V36" i="19"/>
  <c r="V186" i="19"/>
  <c r="V86" i="19"/>
  <c r="M36" i="19"/>
  <c r="P136" i="19"/>
  <c r="AF97" i="1"/>
  <c r="S86" i="19"/>
  <c r="M186" i="19"/>
  <c r="J86" i="19"/>
  <c r="M136" i="19"/>
  <c r="J186" i="19"/>
  <c r="S236" i="19"/>
  <c r="J136" i="19"/>
  <c r="P86" i="19"/>
  <c r="P36" i="19"/>
  <c r="V77" i="19"/>
  <c r="P27" i="19"/>
  <c r="J227" i="19"/>
  <c r="V177" i="19"/>
  <c r="P177" i="19"/>
  <c r="J177" i="19"/>
  <c r="V227" i="19"/>
  <c r="S77" i="19"/>
  <c r="M27" i="19"/>
  <c r="V127" i="19"/>
  <c r="P77" i="19"/>
  <c r="P127" i="19"/>
  <c r="S127" i="19"/>
  <c r="J77" i="19"/>
  <c r="M177" i="19"/>
  <c r="V27" i="19"/>
  <c r="S227" i="19"/>
  <c r="J127" i="19"/>
  <c r="S27" i="19"/>
  <c r="P227" i="19"/>
  <c r="M77" i="19"/>
  <c r="AF67" i="1"/>
  <c r="S177" i="19"/>
  <c r="M127" i="19"/>
  <c r="M227" i="19"/>
  <c r="J27" i="19"/>
  <c r="S13" i="19"/>
  <c r="P13" i="19"/>
  <c r="P113" i="19"/>
  <c r="S163" i="19"/>
  <c r="J163" i="19"/>
  <c r="M213" i="19"/>
  <c r="V63" i="19"/>
  <c r="M13" i="19"/>
  <c r="J213" i="19"/>
  <c r="V113" i="19"/>
  <c r="P163" i="19"/>
  <c r="M163" i="19"/>
  <c r="S113" i="19"/>
  <c r="S63" i="19"/>
  <c r="P63" i="19"/>
  <c r="V13" i="19"/>
  <c r="P213" i="19"/>
  <c r="J113" i="19"/>
  <c r="V213" i="19"/>
  <c r="J63" i="19"/>
  <c r="S213" i="19"/>
  <c r="V163" i="19"/>
  <c r="M113" i="19"/>
  <c r="J13" i="19"/>
  <c r="M63" i="19"/>
  <c r="AF25" i="1"/>
  <c r="P102" i="19"/>
  <c r="J102" i="19"/>
  <c r="M152" i="19"/>
  <c r="J52" i="19"/>
  <c r="V252" i="19"/>
  <c r="S152" i="19"/>
  <c r="J152" i="19"/>
  <c r="S252" i="19"/>
  <c r="P202" i="19"/>
  <c r="M102" i="19"/>
  <c r="V152" i="19"/>
  <c r="J202" i="19"/>
  <c r="S202" i="19"/>
  <c r="M52" i="19"/>
  <c r="P152" i="19"/>
  <c r="P252" i="19"/>
  <c r="M202" i="19"/>
  <c r="V102" i="19"/>
  <c r="S102" i="19"/>
  <c r="M252" i="19"/>
  <c r="AF142" i="1"/>
  <c r="J252" i="19"/>
  <c r="S52" i="19"/>
  <c r="V202" i="19"/>
  <c r="V52" i="19"/>
  <c r="P52" i="19"/>
  <c r="V44" i="19"/>
  <c r="S44" i="19"/>
  <c r="P44" i="19"/>
  <c r="M94" i="19"/>
  <c r="S194" i="19"/>
  <c r="J194" i="19"/>
  <c r="J44" i="19"/>
  <c r="V94" i="19"/>
  <c r="S144" i="19"/>
  <c r="M244" i="19"/>
  <c r="S94" i="19"/>
  <c r="M194" i="19"/>
  <c r="J94" i="19"/>
  <c r="V194" i="19"/>
  <c r="S244" i="19"/>
  <c r="P94" i="19"/>
  <c r="M144" i="19"/>
  <c r="J144" i="19"/>
  <c r="J244" i="19"/>
  <c r="V244" i="19"/>
  <c r="P194" i="19"/>
  <c r="V144" i="19"/>
  <c r="P144" i="19"/>
  <c r="P244" i="19"/>
  <c r="M44" i="19"/>
  <c r="AF118" i="1"/>
  <c r="S191" i="19"/>
  <c r="M41" i="19"/>
  <c r="J91" i="19"/>
  <c r="V91" i="19"/>
  <c r="M191" i="19"/>
  <c r="J191" i="19"/>
  <c r="P191" i="19"/>
  <c r="P241" i="19"/>
  <c r="J241" i="19"/>
  <c r="S141" i="19"/>
  <c r="S91" i="19"/>
  <c r="J141" i="19"/>
  <c r="M241" i="19"/>
  <c r="V41" i="19"/>
  <c r="S241" i="19"/>
  <c r="P91" i="19"/>
  <c r="P141" i="19"/>
  <c r="M141" i="19"/>
  <c r="M91" i="19"/>
  <c r="V241" i="19"/>
  <c r="V191" i="19"/>
  <c r="V141" i="19"/>
  <c r="J41" i="19"/>
  <c r="AF109" i="1"/>
  <c r="P41" i="19"/>
  <c r="S41" i="19"/>
  <c r="AE82" i="1"/>
  <c r="AE84" i="1"/>
  <c r="AD84" i="1" s="1"/>
  <c r="P124" i="19"/>
  <c r="V224" i="19"/>
  <c r="P224" i="19"/>
  <c r="S24" i="19"/>
  <c r="V124" i="19"/>
  <c r="M224" i="19"/>
  <c r="V174" i="19"/>
  <c r="M124" i="19"/>
  <c r="J174" i="19"/>
  <c r="S174" i="19"/>
  <c r="P24" i="19"/>
  <c r="J224" i="19"/>
  <c r="P174" i="19"/>
  <c r="M174" i="19"/>
  <c r="J74" i="19"/>
  <c r="S124" i="19"/>
  <c r="S74" i="19"/>
  <c r="J124" i="19"/>
  <c r="M74" i="19"/>
  <c r="J24" i="19"/>
  <c r="AF58" i="1"/>
  <c r="P74" i="19"/>
  <c r="V24" i="19"/>
  <c r="V74" i="19"/>
  <c r="M24" i="19"/>
  <c r="S224" i="19"/>
  <c r="V64" i="19"/>
  <c r="M164" i="19"/>
  <c r="P14" i="19"/>
  <c r="S64" i="19"/>
  <c r="J114" i="19"/>
  <c r="M114" i="19"/>
  <c r="S214" i="19"/>
  <c r="M64" i="19"/>
  <c r="P164" i="19"/>
  <c r="P64" i="19"/>
  <c r="P114" i="19"/>
  <c r="V14" i="19"/>
  <c r="V214" i="19"/>
  <c r="V114" i="19"/>
  <c r="M214" i="19"/>
  <c r="V164" i="19"/>
  <c r="P214" i="19"/>
  <c r="J214" i="19"/>
  <c r="S14" i="19"/>
  <c r="S114" i="19"/>
  <c r="J64" i="19"/>
  <c r="AF28" i="1"/>
  <c r="J14" i="19"/>
  <c r="J164" i="19"/>
  <c r="S164" i="19"/>
  <c r="M14" i="19"/>
  <c r="V89" i="19"/>
  <c r="M39" i="19"/>
  <c r="P139" i="19"/>
  <c r="S89" i="19"/>
  <c r="M189" i="19"/>
  <c r="J89" i="19"/>
  <c r="S239" i="19"/>
  <c r="J139" i="19"/>
  <c r="M139" i="19"/>
  <c r="P89" i="19"/>
  <c r="M89" i="19"/>
  <c r="J189" i="19"/>
  <c r="V189" i="19"/>
  <c r="V39" i="19"/>
  <c r="J39" i="19"/>
  <c r="V239" i="19"/>
  <c r="V139" i="19"/>
  <c r="P189" i="19"/>
  <c r="P39" i="19"/>
  <c r="S39" i="19"/>
  <c r="P239" i="19"/>
  <c r="M239" i="19"/>
  <c r="S189" i="19"/>
  <c r="S139" i="19"/>
  <c r="J239" i="19"/>
  <c r="AF103" i="1"/>
  <c r="V51" i="19"/>
  <c r="J251" i="19"/>
  <c r="J201" i="19"/>
  <c r="S201" i="19"/>
  <c r="J151" i="19"/>
  <c r="M51" i="19"/>
  <c r="S51" i="19"/>
  <c r="S151" i="19"/>
  <c r="J51" i="19"/>
  <c r="V201" i="19"/>
  <c r="P101" i="19"/>
  <c r="P201" i="19"/>
  <c r="P151" i="19"/>
  <c r="S251" i="19"/>
  <c r="M251" i="19"/>
  <c r="P51" i="19"/>
  <c r="M201" i="19"/>
  <c r="M151" i="19"/>
  <c r="V151" i="19"/>
  <c r="P251" i="19"/>
  <c r="J101" i="19"/>
  <c r="AF139" i="1"/>
  <c r="V251" i="19"/>
  <c r="V101" i="19"/>
  <c r="M101" i="19"/>
  <c r="S101" i="19"/>
  <c r="P229" i="19"/>
  <c r="M229" i="19"/>
  <c r="M179" i="19"/>
  <c r="V129" i="19"/>
  <c r="S129" i="19"/>
  <c r="J79" i="19"/>
  <c r="J229" i="19"/>
  <c r="V29" i="19"/>
  <c r="V79" i="19"/>
  <c r="J129" i="19"/>
  <c r="V229" i="19"/>
  <c r="P129" i="19"/>
  <c r="M129" i="19"/>
  <c r="J29" i="19"/>
  <c r="S79" i="19"/>
  <c r="S29" i="19"/>
  <c r="P179" i="19"/>
  <c r="AF76" i="1"/>
  <c r="M29" i="19"/>
  <c r="S229" i="19"/>
  <c r="S179" i="19"/>
  <c r="P29" i="19"/>
  <c r="V179" i="19"/>
  <c r="P79" i="19"/>
  <c r="M79" i="19"/>
  <c r="J179" i="19"/>
  <c r="P116" i="19"/>
  <c r="S216" i="19"/>
  <c r="P66" i="19"/>
  <c r="V166" i="19"/>
  <c r="V116" i="19"/>
  <c r="M66" i="19"/>
  <c r="S16" i="19"/>
  <c r="M116" i="19"/>
  <c r="M216" i="19"/>
  <c r="V216" i="19"/>
  <c r="P216" i="19"/>
  <c r="J166" i="19"/>
  <c r="V66" i="19"/>
  <c r="M16" i="19"/>
  <c r="J66" i="19"/>
  <c r="S116" i="19"/>
  <c r="P166" i="19"/>
  <c r="M166" i="19"/>
  <c r="V16" i="19"/>
  <c r="S166" i="19"/>
  <c r="S66" i="19"/>
  <c r="P16" i="19"/>
  <c r="J116" i="19"/>
  <c r="J216" i="19"/>
  <c r="J16" i="19"/>
  <c r="AF34" i="1"/>
  <c r="V145" i="19"/>
  <c r="M95" i="19"/>
  <c r="P45" i="19"/>
  <c r="P245" i="19"/>
  <c r="S195" i="19"/>
  <c r="J195" i="19"/>
  <c r="S145" i="19"/>
  <c r="M245" i="19"/>
  <c r="P195" i="19"/>
  <c r="V195" i="19"/>
  <c r="J245" i="19"/>
  <c r="M195" i="19"/>
  <c r="V245" i="19"/>
  <c r="V45" i="19"/>
  <c r="P95" i="19"/>
  <c r="M45" i="19"/>
  <c r="V95" i="19"/>
  <c r="P145" i="19"/>
  <c r="J95" i="19"/>
  <c r="S95" i="19"/>
  <c r="S45" i="19"/>
  <c r="J45" i="19"/>
  <c r="S245" i="19"/>
  <c r="AF121" i="1"/>
  <c r="J145" i="19"/>
  <c r="M145" i="19"/>
  <c r="S21" i="19"/>
  <c r="P121" i="19"/>
  <c r="P221" i="19"/>
  <c r="S171" i="19"/>
  <c r="P21" i="19"/>
  <c r="M221" i="19"/>
  <c r="V71" i="19"/>
  <c r="J171" i="19"/>
  <c r="J221" i="19"/>
  <c r="P171" i="19"/>
  <c r="M21" i="19"/>
  <c r="M71" i="19"/>
  <c r="V171" i="19"/>
  <c r="V221" i="19"/>
  <c r="M171" i="19"/>
  <c r="V121" i="19"/>
  <c r="S71" i="19"/>
  <c r="P71" i="19"/>
  <c r="S121" i="19"/>
  <c r="J71" i="19"/>
  <c r="S221" i="19"/>
  <c r="V21" i="19"/>
  <c r="M121" i="19"/>
  <c r="AF49" i="1"/>
  <c r="J121" i="19"/>
  <c r="J21" i="19"/>
  <c r="V169" i="19"/>
  <c r="P219" i="19"/>
  <c r="P69" i="19"/>
  <c r="S19" i="19"/>
  <c r="P119" i="19"/>
  <c r="M69" i="19"/>
  <c r="S169" i="19"/>
  <c r="P19" i="19"/>
  <c r="M219" i="19"/>
  <c r="V69" i="19"/>
  <c r="J169" i="19"/>
  <c r="J219" i="19"/>
  <c r="P169" i="19"/>
  <c r="S69" i="19"/>
  <c r="S119" i="19"/>
  <c r="M119" i="19"/>
  <c r="V219" i="19"/>
  <c r="S219" i="19"/>
  <c r="M169" i="19"/>
  <c r="J19" i="19"/>
  <c r="AF43" i="1"/>
  <c r="V19" i="19"/>
  <c r="V119" i="19"/>
  <c r="M19" i="19"/>
  <c r="J119" i="19"/>
  <c r="J69" i="19"/>
  <c r="S178" i="19"/>
  <c r="S128" i="19"/>
  <c r="J228" i="19"/>
  <c r="V178" i="19"/>
  <c r="M28" i="19"/>
  <c r="J78" i="19"/>
  <c r="V78" i="19"/>
  <c r="P128" i="19"/>
  <c r="J178" i="19"/>
  <c r="S78" i="19"/>
  <c r="M178" i="19"/>
  <c r="M128" i="19"/>
  <c r="P78" i="19"/>
  <c r="J128" i="19"/>
  <c r="P28" i="19"/>
  <c r="V228" i="19"/>
  <c r="V128" i="19"/>
  <c r="M78" i="19"/>
  <c r="P228" i="19"/>
  <c r="V28" i="19"/>
  <c r="M228" i="19"/>
  <c r="P178" i="19"/>
  <c r="S228" i="19"/>
  <c r="S28" i="19"/>
  <c r="J28" i="19"/>
  <c r="AF73" i="1"/>
  <c r="S192" i="19"/>
  <c r="P242" i="19"/>
  <c r="M242" i="19"/>
  <c r="M42" i="19"/>
  <c r="V92" i="19"/>
  <c r="S142" i="19"/>
  <c r="V242" i="19"/>
  <c r="P192" i="19"/>
  <c r="V42" i="19"/>
  <c r="J92" i="19"/>
  <c r="S92" i="19"/>
  <c r="P142" i="19"/>
  <c r="S42" i="19"/>
  <c r="S242" i="19"/>
  <c r="M192" i="19"/>
  <c r="M142" i="19"/>
  <c r="P92" i="19"/>
  <c r="J142" i="19"/>
  <c r="P42" i="19"/>
  <c r="V192" i="19"/>
  <c r="M92" i="19"/>
  <c r="J192" i="19"/>
  <c r="J42" i="19"/>
  <c r="AF112" i="1"/>
  <c r="V142" i="19"/>
  <c r="J242" i="19"/>
  <c r="M146" i="19"/>
  <c r="J246" i="19"/>
  <c r="S96" i="19"/>
  <c r="AF124" i="1"/>
  <c r="S46" i="19"/>
  <c r="M46" i="19"/>
  <c r="J46" i="19"/>
  <c r="M96" i="19"/>
  <c r="P146" i="19"/>
  <c r="S246" i="19"/>
  <c r="V96" i="19"/>
  <c r="V146" i="19"/>
  <c r="M196" i="19"/>
  <c r="P196" i="19"/>
  <c r="V46" i="19"/>
  <c r="S196" i="19"/>
  <c r="P96" i="19"/>
  <c r="J146" i="19"/>
  <c r="V246" i="19"/>
  <c r="P46" i="19"/>
  <c r="V196" i="19"/>
  <c r="J196" i="19"/>
  <c r="P246" i="19"/>
  <c r="J96" i="19"/>
  <c r="S146" i="19"/>
  <c r="M246" i="19"/>
  <c r="S30" i="19"/>
  <c r="P80" i="19"/>
  <c r="J80" i="19"/>
  <c r="S180" i="19"/>
  <c r="P30" i="19"/>
  <c r="J180" i="19"/>
  <c r="V180" i="19"/>
  <c r="P230" i="19"/>
  <c r="M230" i="19"/>
  <c r="V80" i="19"/>
  <c r="M30" i="19"/>
  <c r="J230" i="19"/>
  <c r="S130" i="19"/>
  <c r="P180" i="19"/>
  <c r="V130" i="19"/>
  <c r="V230" i="19"/>
  <c r="S80" i="19"/>
  <c r="M180" i="19"/>
  <c r="V30" i="19"/>
  <c r="S230" i="19"/>
  <c r="J130" i="19"/>
  <c r="M130" i="19"/>
  <c r="M80" i="19"/>
  <c r="J30" i="19"/>
  <c r="AF79" i="1"/>
  <c r="P130" i="19"/>
  <c r="V212" i="19"/>
  <c r="V162" i="19"/>
  <c r="J62" i="19"/>
  <c r="J12" i="19"/>
  <c r="V62" i="19"/>
  <c r="S12" i="19"/>
  <c r="P162" i="19"/>
  <c r="S112" i="19"/>
  <c r="S62" i="19"/>
  <c r="P62" i="19"/>
  <c r="M112" i="19"/>
  <c r="S212" i="19"/>
  <c r="J112" i="19"/>
  <c r="S162" i="19"/>
  <c r="M212" i="19"/>
  <c r="V112" i="19"/>
  <c r="M62" i="19"/>
  <c r="P12" i="19"/>
  <c r="AF22" i="1"/>
  <c r="P112" i="19"/>
  <c r="M162" i="19"/>
  <c r="M12" i="19"/>
  <c r="P212" i="19"/>
  <c r="J162" i="19"/>
  <c r="J212" i="19"/>
  <c r="V12" i="19"/>
  <c r="V15" i="19"/>
  <c r="M65" i="19"/>
  <c r="J215" i="19"/>
  <c r="P115" i="19"/>
  <c r="M215" i="19"/>
  <c r="M165" i="19"/>
  <c r="V165" i="19"/>
  <c r="J65" i="19"/>
  <c r="J115" i="19"/>
  <c r="S65" i="19"/>
  <c r="S15" i="19"/>
  <c r="M115" i="19"/>
  <c r="S215" i="19"/>
  <c r="V215" i="19"/>
  <c r="P165" i="19"/>
  <c r="M15" i="19"/>
  <c r="V115" i="19"/>
  <c r="S165" i="19"/>
  <c r="P15" i="19"/>
  <c r="J15" i="19"/>
  <c r="P65" i="19"/>
  <c r="P215" i="19"/>
  <c r="V65" i="19"/>
  <c r="J165" i="19"/>
  <c r="AF31" i="1"/>
  <c r="S115" i="19"/>
  <c r="V67" i="19"/>
  <c r="M167" i="19"/>
  <c r="M117" i="19"/>
  <c r="P167" i="19"/>
  <c r="V167" i="19"/>
  <c r="J117" i="19"/>
  <c r="S67" i="19"/>
  <c r="P67" i="19"/>
  <c r="J167" i="19"/>
  <c r="S217" i="19"/>
  <c r="M67" i="19"/>
  <c r="M17" i="19"/>
  <c r="V117" i="19"/>
  <c r="M217" i="19"/>
  <c r="P17" i="19"/>
  <c r="P217" i="19"/>
  <c r="J217" i="19"/>
  <c r="S17" i="19"/>
  <c r="V217" i="19"/>
  <c r="S117" i="19"/>
  <c r="J67" i="19"/>
  <c r="P117" i="19"/>
  <c r="J17" i="19"/>
  <c r="AF37" i="1"/>
  <c r="V17" i="19"/>
  <c r="S167" i="19"/>
  <c r="S57" i="19"/>
  <c r="M57" i="19"/>
  <c r="S107" i="19"/>
  <c r="J7" i="19"/>
  <c r="V57" i="19"/>
  <c r="J57" i="19"/>
  <c r="AF10" i="1"/>
  <c r="P7" i="19"/>
  <c r="J207" i="19"/>
  <c r="S7" i="19"/>
  <c r="P157" i="19"/>
  <c r="V107" i="19"/>
  <c r="V207" i="19"/>
  <c r="V7" i="19"/>
  <c r="M7" i="19"/>
  <c r="P107" i="19"/>
  <c r="S207" i="19"/>
  <c r="M107" i="19"/>
  <c r="P57" i="19"/>
  <c r="V157" i="19"/>
  <c r="M207" i="19"/>
  <c r="S157" i="19"/>
  <c r="P207" i="19"/>
  <c r="M157" i="19"/>
  <c r="J107" i="19"/>
  <c r="J157" i="19"/>
  <c r="V185" i="19"/>
  <c r="S85" i="19"/>
  <c r="V235" i="19"/>
  <c r="V135" i="19"/>
  <c r="P135" i="19"/>
  <c r="P85" i="19"/>
  <c r="S135" i="19"/>
  <c r="J85" i="19"/>
  <c r="M35" i="19"/>
  <c r="V35" i="19"/>
  <c r="P235" i="19"/>
  <c r="M185" i="19"/>
  <c r="S35" i="19"/>
  <c r="M135" i="19"/>
  <c r="J135" i="19"/>
  <c r="S185" i="19"/>
  <c r="S235" i="19"/>
  <c r="J235" i="19"/>
  <c r="V85" i="19"/>
  <c r="P35" i="19"/>
  <c r="M85" i="19"/>
  <c r="P185" i="19"/>
  <c r="AF94" i="1"/>
  <c r="J185" i="19"/>
  <c r="J35" i="19"/>
  <c r="M235" i="19"/>
  <c r="V206" i="19"/>
  <c r="P206" i="19"/>
  <c r="V6" i="19"/>
  <c r="V156" i="19"/>
  <c r="S106" i="19"/>
  <c r="M56" i="19"/>
  <c r="P156" i="19"/>
  <c r="S6" i="19"/>
  <c r="P106" i="19"/>
  <c r="M206" i="19"/>
  <c r="J6" i="19"/>
  <c r="S156" i="19"/>
  <c r="M6" i="19"/>
  <c r="J206" i="19"/>
  <c r="AF7" i="1"/>
  <c r="V56" i="19"/>
  <c r="M156" i="19"/>
  <c r="J56" i="19"/>
  <c r="V106" i="19"/>
  <c r="M106" i="19"/>
  <c r="S56" i="19"/>
  <c r="P56" i="19"/>
  <c r="J156" i="19"/>
  <c r="S206" i="19"/>
  <c r="J106" i="19"/>
  <c r="P6" i="19"/>
  <c r="V223" i="19"/>
  <c r="P123" i="19"/>
  <c r="M123" i="19"/>
  <c r="S73" i="19"/>
  <c r="S23" i="19"/>
  <c r="P23" i="19"/>
  <c r="J23" i="19"/>
  <c r="M223" i="19"/>
  <c r="S223" i="19"/>
  <c r="V173" i="19"/>
  <c r="J173" i="19"/>
  <c r="AF55" i="1"/>
  <c r="V73" i="19"/>
  <c r="J223" i="19"/>
  <c r="P73" i="19"/>
  <c r="S173" i="19"/>
  <c r="M23" i="19"/>
  <c r="P223" i="19"/>
  <c r="V123" i="19"/>
  <c r="M73" i="19"/>
  <c r="M173" i="19"/>
  <c r="J123" i="19"/>
  <c r="V23" i="19"/>
  <c r="P173" i="19"/>
  <c r="S123" i="19"/>
  <c r="J73" i="19"/>
  <c r="V172" i="19"/>
  <c r="S122" i="19"/>
  <c r="V22" i="19"/>
  <c r="S172" i="19"/>
  <c r="M22" i="19"/>
  <c r="J72" i="19"/>
  <c r="V72" i="19"/>
  <c r="M172" i="19"/>
  <c r="M122" i="19"/>
  <c r="S222" i="19"/>
  <c r="M72" i="19"/>
  <c r="P122" i="19"/>
  <c r="P72" i="19"/>
  <c r="P172" i="19"/>
  <c r="J172" i="19"/>
  <c r="M222" i="19"/>
  <c r="J222" i="19"/>
  <c r="V222" i="19"/>
  <c r="P22" i="19"/>
  <c r="J22" i="19"/>
  <c r="S22" i="19"/>
  <c r="S72" i="19"/>
  <c r="AF52" i="1"/>
  <c r="V122" i="19"/>
  <c r="J122" i="19"/>
  <c r="P222" i="19"/>
  <c r="S75" i="19"/>
  <c r="M175" i="19"/>
  <c r="M25" i="19"/>
  <c r="S225" i="19"/>
  <c r="M75" i="19"/>
  <c r="P25" i="19"/>
  <c r="V225" i="19"/>
  <c r="M225" i="19"/>
  <c r="J125" i="19"/>
  <c r="V125" i="19"/>
  <c r="J225" i="19"/>
  <c r="J175" i="19"/>
  <c r="V175" i="19"/>
  <c r="P225" i="19"/>
  <c r="P75" i="19"/>
  <c r="S175" i="19"/>
  <c r="S125" i="19"/>
  <c r="J75" i="19"/>
  <c r="V75" i="19"/>
  <c r="V25" i="19"/>
  <c r="S25" i="19"/>
  <c r="J25" i="19"/>
  <c r="P175" i="19"/>
  <c r="AF61" i="1"/>
  <c r="P125" i="19"/>
  <c r="M125" i="19"/>
  <c r="S108" i="19"/>
  <c r="P108" i="19"/>
  <c r="J158" i="19"/>
  <c r="J8" i="19"/>
  <c r="M158" i="19"/>
  <c r="AF13" i="1"/>
  <c r="V158" i="19"/>
  <c r="V108" i="19"/>
  <c r="M108" i="19"/>
  <c r="S158" i="19"/>
  <c r="P8" i="19"/>
  <c r="P208" i="19"/>
  <c r="M8" i="19"/>
  <c r="S58" i="19"/>
  <c r="S208" i="19"/>
  <c r="V58" i="19"/>
  <c r="V8" i="19"/>
  <c r="J58" i="19"/>
  <c r="M208" i="19"/>
  <c r="P158" i="19"/>
  <c r="P58" i="19"/>
  <c r="M58" i="19"/>
  <c r="S8" i="19"/>
  <c r="V208" i="19"/>
  <c r="J108" i="19"/>
  <c r="J208" i="19"/>
  <c r="V211" i="19"/>
  <c r="S211" i="19"/>
  <c r="P61" i="19"/>
  <c r="V11" i="19"/>
  <c r="V111" i="19"/>
  <c r="J111" i="19"/>
  <c r="V161" i="19"/>
  <c r="P211" i="19"/>
  <c r="M61" i="19"/>
  <c r="S11" i="19"/>
  <c r="P11" i="19"/>
  <c r="P111" i="19"/>
  <c r="S161" i="19"/>
  <c r="J161" i="19"/>
  <c r="M211" i="19"/>
  <c r="V61" i="19"/>
  <c r="M11" i="19"/>
  <c r="J211" i="19"/>
  <c r="P161" i="19"/>
  <c r="M161" i="19"/>
  <c r="J61" i="19"/>
  <c r="AF19" i="1"/>
  <c r="J11" i="19"/>
  <c r="S61" i="19"/>
  <c r="S111" i="19"/>
  <c r="M111" i="19"/>
  <c r="J50" i="19"/>
  <c r="P100" i="19"/>
  <c r="S100" i="19"/>
  <c r="S50" i="19"/>
  <c r="J250" i="19"/>
  <c r="V250" i="19"/>
  <c r="J150" i="19"/>
  <c r="J100" i="19"/>
  <c r="P250" i="19"/>
  <c r="M50" i="19"/>
  <c r="V100" i="19"/>
  <c r="M150" i="19"/>
  <c r="J200" i="19"/>
  <c r="S200" i="19"/>
  <c r="S250" i="19"/>
  <c r="M100" i="19"/>
  <c r="M250" i="19"/>
  <c r="P150" i="19"/>
  <c r="V200" i="19"/>
  <c r="P200" i="19"/>
  <c r="V150" i="19"/>
  <c r="P50" i="19"/>
  <c r="S150" i="19"/>
  <c r="M200" i="19"/>
  <c r="V50" i="19"/>
  <c r="AF136" i="1"/>
  <c r="V43" i="19"/>
  <c r="J93" i="19"/>
  <c r="M93" i="19"/>
  <c r="P143" i="19"/>
  <c r="P93" i="19"/>
  <c r="J143" i="19"/>
  <c r="V243" i="19"/>
  <c r="S43" i="19"/>
  <c r="M143" i="19"/>
  <c r="S93" i="19"/>
  <c r="V193" i="19"/>
  <c r="S193" i="19"/>
  <c r="P43" i="19"/>
  <c r="S243" i="19"/>
  <c r="V93" i="19"/>
  <c r="J193" i="19"/>
  <c r="V143" i="19"/>
  <c r="P193" i="19"/>
  <c r="M43" i="19"/>
  <c r="P243" i="19"/>
  <c r="M243" i="19"/>
  <c r="M193" i="19"/>
  <c r="S143" i="19"/>
  <c r="AF115" i="1"/>
  <c r="J243" i="19"/>
  <c r="J43" i="19"/>
  <c r="S232" i="19"/>
  <c r="V82" i="19"/>
  <c r="P82" i="19"/>
  <c r="V132" i="19"/>
  <c r="P182" i="19"/>
  <c r="M32" i="19"/>
  <c r="P232" i="19"/>
  <c r="M232" i="19"/>
  <c r="M182" i="19"/>
  <c r="S132" i="19"/>
  <c r="J232" i="19"/>
  <c r="S82" i="19"/>
  <c r="P132" i="19"/>
  <c r="M132" i="19"/>
  <c r="M82" i="19"/>
  <c r="V232" i="19"/>
  <c r="S32" i="19"/>
  <c r="P32" i="19"/>
  <c r="S182" i="19"/>
  <c r="AF85" i="1"/>
  <c r="J82" i="19"/>
  <c r="J182" i="19"/>
  <c r="J132" i="19"/>
  <c r="V32" i="19"/>
  <c r="V182" i="19"/>
  <c r="J32" i="19"/>
  <c r="X231" i="19" l="1"/>
  <c r="R131" i="19"/>
  <c r="R31" i="19"/>
  <c r="L31" i="19"/>
  <c r="U181" i="19"/>
  <c r="X81" i="19"/>
  <c r="U81" i="19"/>
  <c r="U31" i="19"/>
  <c r="L181" i="19"/>
  <c r="U131" i="19"/>
  <c r="L231" i="19"/>
  <c r="U231" i="19"/>
  <c r="X31" i="19"/>
  <c r="AF84" i="1"/>
  <c r="R81" i="19"/>
  <c r="O81" i="19"/>
  <c r="O31" i="19"/>
  <c r="X131" i="19"/>
  <c r="O231" i="19"/>
  <c r="R181" i="19"/>
  <c r="X181" i="19"/>
  <c r="O181" i="19"/>
  <c r="R231" i="19"/>
  <c r="L81" i="19"/>
  <c r="L131" i="19"/>
  <c r="O131" i="19"/>
  <c r="AD82" i="1"/>
  <c r="AE83" i="1"/>
  <c r="AD83" i="1" s="1"/>
  <c r="V81" i="19" l="1"/>
  <c r="V31" i="19"/>
  <c r="J81" i="19"/>
  <c r="P181" i="19"/>
  <c r="M181" i="19"/>
  <c r="P81" i="19"/>
  <c r="J31" i="19"/>
  <c r="V231" i="19"/>
  <c r="V181" i="19"/>
  <c r="S81" i="19"/>
  <c r="J131" i="19"/>
  <c r="M131" i="19"/>
  <c r="S231" i="19"/>
  <c r="S31" i="19"/>
  <c r="J181" i="19"/>
  <c r="V131" i="19"/>
  <c r="P131" i="19"/>
  <c r="P31" i="19"/>
  <c r="AF82" i="1"/>
  <c r="P231" i="19"/>
  <c r="M31" i="19"/>
  <c r="S181" i="19"/>
  <c r="M231" i="19"/>
  <c r="J231" i="19"/>
  <c r="M81" i="19"/>
  <c r="S131" i="19"/>
  <c r="W81" i="19"/>
  <c r="K131" i="19"/>
  <c r="Q31" i="19"/>
  <c r="T81" i="19"/>
  <c r="Q131" i="19"/>
  <c r="K181" i="19"/>
  <c r="AF83" i="1"/>
  <c r="K31" i="19"/>
  <c r="T31" i="19"/>
  <c r="T231" i="19"/>
  <c r="N81" i="19"/>
  <c r="T181" i="19"/>
  <c r="W131" i="19"/>
  <c r="N231" i="19"/>
  <c r="Q181" i="19"/>
  <c r="Q231" i="19"/>
  <c r="K231" i="19"/>
  <c r="N31" i="19"/>
  <c r="K81" i="19"/>
  <c r="N181" i="19"/>
  <c r="T131" i="19"/>
  <c r="W181" i="19"/>
  <c r="Q81" i="19"/>
  <c r="W231" i="19"/>
  <c r="W31" i="19"/>
  <c r="N131" i="19"/>
  <c r="B223" i="13"/>
  <c r="B222" i="13"/>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<sst xmlns="http://schemas.openxmlformats.org/spreadsheetml/2006/main" count="2416" uniqueCount="872">
  <si>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</si>
  <si>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</si>
  <si>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</si>
  <si>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</si>
  <si>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</si>
  <si>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</si>
  <si>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</si>
  <si>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</si>
  <si>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</si>
  <si>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</si>
  <si>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</si>
  <si>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</si>
  <si>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</si>
  <si>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</si>
  <si>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</si>
  <si>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</si>
  <si>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</si>
  <si>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</si>
  <si>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</si>
  <si>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</si>
  <si>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</si>
  <si>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</si>
  <si>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</si>
  <si>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</si>
  <si>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</si>
  <si>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</si>
  <si>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</si>
  <si>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</si>
  <si>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</si>
  <si>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</si>
  <si>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</si>
  <si>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</si>
  <si>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</si>
  <si>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</si>
  <si>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</si>
  <si>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Estado</t>
  </si>
  <si>
    <t>Finalizado</t>
  </si>
  <si>
    <t>En curso</t>
  </si>
  <si>
    <t>Causa Raíz</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</si>
  <si>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</si>
  <si>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</si>
  <si>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</si>
  <si>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</si>
  <si>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</si>
  <si>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</si>
  <si>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</si>
  <si>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</si>
  <si>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</si>
  <si>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</si>
  <si>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</si>
  <si>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</si>
  <si>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</si>
  <si>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</si>
  <si>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</si>
  <si>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</si>
  <si>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</si>
  <si>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</si>
  <si>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</si>
  <si>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</si>
  <si>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</si>
  <si>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</si>
  <si>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</si>
  <si>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</si>
  <si>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</si>
  <si>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</si>
  <si>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</si>
  <si>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</si>
  <si>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</si>
  <si>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</si>
  <si>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</si>
  <si>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</si>
  <si>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</si>
  <si>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</si>
  <si>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</si>
  <si>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</si>
  <si>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</si>
  <si>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</si>
  <si>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</si>
  <si>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</si>
  <si>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</si>
  <si>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</si>
  <si>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</si>
  <si>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</si>
  <si>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</si>
  <si>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</si>
  <si>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</si>
  <si>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</si>
  <si>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</si>
  <si>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</si>
  <si>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</si>
  <si>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</si>
  <si>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</si>
  <si>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</si>
  <si>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</si>
  <si>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</si>
  <si>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</si>
  <si>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</si>
  <si>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</si>
  <si>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</si>
  <si>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</si>
  <si>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</si>
  <si>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</si>
  <si>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</si>
  <si>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</si>
  <si>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</si>
  <si>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</si>
  <si>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</si>
  <si>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</si>
  <si>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</si>
  <si>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</si>
  <si>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</si>
  <si>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</si>
  <si>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</si>
  <si>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</si>
  <si>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Fraude Externo</t>
  </si>
  <si>
    <t>Fraude Interno</t>
  </si>
  <si>
    <t>Relaciones Laborales</t>
  </si>
  <si>
    <t>Usuarios, productos y practicas , organizacionales</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</si>
  <si>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</si>
  <si>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</si>
  <si>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</si>
  <si>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</si>
  <si>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</si>
  <si>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</si>
  <si>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</si>
  <si>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</si>
  <si>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</si>
  <si>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</si>
  <si>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</si>
  <si>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Subcriterios</t>
  </si>
  <si>
    <t>❌</t>
  </si>
  <si>
    <t>✔</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</si>
  <si>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</si>
  <si>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</si>
  <si>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</si>
  <si>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</si>
  <si>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</si>
  <si>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</si>
  <si>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</si>
  <si>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</si>
  <si>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</si>
  <si>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</si>
  <si>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</si>
  <si>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</si>
  <si>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</si>
  <si>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</si>
  <si>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</si>
  <si>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</si>
  <si>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</si>
  <si>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</si>
  <si>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</si>
  <si>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</si>
  <si>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</si>
  <si>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</si>
  <si>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</si>
  <si>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</si>
  <si>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</si>
  <si>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</si>
  <si>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</si>
  <si>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</si>
  <si>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</si>
  <si>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</si>
  <si>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</si>
  <si>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</si>
  <si>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</si>
  <si>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</si>
  <si>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</si>
  <si>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</si>
  <si>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</si>
  <si>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</si>
  <si>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</si>
  <si>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</si>
  <si>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</si>
  <si>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</si>
  <si>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</si>
  <si>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</si>
  <si>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</si>
  <si>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</si>
  <si>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</si>
  <si>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</si>
  <si>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</si>
  <si>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</si>
  <si>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</si>
  <si>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</si>
  <si>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</si>
  <si>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</si>
  <si>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</si>
  <si>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</si>
  <si>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 xml:space="preserve">Proceso </t>
  </si>
  <si>
    <t xml:space="preserve">Objetivo </t>
  </si>
  <si>
    <t>Acción de tratamiento</t>
  </si>
  <si>
    <t xml:space="preserve">Inicia desde el diagnóstico de necesidades y prioridades de la empresa, del sector y de la ciudad, a partir de los cuales se definen y divulgan los lineamientos e instrumentos para la planeación estratégica y de los Modelos de Gestión, y termina con el seguimiento y la presentación de los resultados de la gestión institucional. </t>
  </si>
  <si>
    <t>El Comité Institucional de Gestión y Desempeño al inicio de cada vigencia aprueba los planes, programas o proyectos de inversión que se formulan de manera participativa entre la alta dirección y los responsables de los procesos. Trimestralmente se realiza el seguimiento respectivo, y los profesionales de la Subgerencia de Planeación de Proyectos validan la información reportada por los diferentes procesos para garantizar su alineación con los objetivos, coherencia y que esté acorde con la programación establecida. Cuando se encuentran diferencias se solicitan los ajustes correspondientes mediante correo electrónico a los responsables de esta, y una vez ajustada la información, se presenta ante el Comité Institucional de Gestión y Desempeño para seguimiento de la alta dirección.</t>
  </si>
  <si>
    <t>Informar a los entes internos y externos de control que corresponda</t>
  </si>
  <si>
    <t>Fecha Inicio</t>
  </si>
  <si>
    <t>Fecha fin</t>
  </si>
  <si>
    <t xml:space="preserve">Aplica para cada vigencia </t>
  </si>
  <si>
    <t>Los profesionales de la Subgerencia de Planeación y Administración de proyectos trimestralmente validan la información reportada por los diferentes procesos para garantizar su alineación y coherencia con los objetivos, metas y que esté acorde con la programación establecida. Cuando se encuentran diferencias se solicitan los ajustes correspondientes mediante correo electrónico a los responsables de esta, y una vez ajustada la información, se presenta ante el Comité Institucional de Gestión y Desempeño para seguimiento de la alta dirección.</t>
  </si>
  <si>
    <t>Trimestral</t>
  </si>
  <si>
    <t>Permanente</t>
  </si>
  <si>
    <t>Gestión de Grupos de Interés</t>
  </si>
  <si>
    <t>Entrega de información incompleta por parte de los procesos.</t>
  </si>
  <si>
    <t>El jefe y los profesionales de la Oficina Asesora de Comunicaciones cada vez que se reciben las solicitudes de divulgación de los procesos, realizan una validación con cada proceso para garantizar su veracidad y que esté acorde con los procedimientos establecidos. Cuando se encuentran diferencias se solicitan los ajustes correspondientes mediante correo electrónico y/o las herramientas de comunicación disponibles a los responsables de cada proceso, y una vez ajustada la información, se realizan las piezas de comunicación y/o actualización solicitadas. Las evidencias del control corresponden a las solicitudes realizadas por las áreas, los correos electrónicos enviados y las piezas de comunicación diseñadas.</t>
  </si>
  <si>
    <t>Anual</t>
  </si>
  <si>
    <t>Periodicidad de Seguimiento</t>
  </si>
  <si>
    <t>El Gestor Senior 3 de la Subgerencia de Gestión Inmobiliaria valida la integridad de la información de los negocios fiduciarios de la Empresa, que se reportan mensualmente a la Contraloría, la cual envía al Coordinador de Fiducias para su visto bueno. Una vez validado por el Coordinador se envía al Subgerente para su aprobación y posterior envió a la Oficina de Control Interno.</t>
  </si>
  <si>
    <t>Comercialización</t>
  </si>
  <si>
    <t xml:space="preserve">Promover los negocios inmobiliarios relacionados con los proyectos y servicios de la Entidad, a través de estrategias y esquemas de comercialización que faciliten la venta o arriendo de los inmuebles disponibles, la oferta de los servicios del portafolio, y la participación de entes públicos y privados en la gestión de los proyectos de renovación y desarrollo urbano, con el fin de generar ingresos; así como realizar las actividades correspondientes a la administración de los predios. </t>
  </si>
  <si>
    <t>Falta de aplicación y desconocimiento del procedimiento de venta de inmuebles por parte de los profesionales encargados de realizar la respectiva comercialización.</t>
  </si>
  <si>
    <t>Debilidades en la elaboración y revisión de los documentos establecidos en el procedimiento de venta de inmuebles, que son insumo para la comercialización, propiciando que se den condiciones orientadas a favorecer intereses particulares.</t>
  </si>
  <si>
    <t xml:space="preserve">Siempre que se realice un proceso de comercialización, el profesional o profesionales encargados deben cumplir las actividades establecidas en el procedimiento de Venta de Inmuebles (PD-88), especialmente las que tienen que ver con la revisión y VoBo de documentos por todas las instancias (estudios previos, términos de referencia para la comercialización, entre otros), si es el caso efectuar los ajustes que resulten de las respuestas a las observaciones de los interesados o de las revisiones, y realizar la publicación de estos documentos en SECOP o la WEB, para que todos los posibles interesados en comprar puedan participar. </t>
  </si>
  <si>
    <t>Socialización del procedimiento de Venta de inmuebles (PD- 88) y verificación de revisiones de los documentos asociados a la comercialización.</t>
  </si>
  <si>
    <t>Semestral</t>
  </si>
  <si>
    <t>Informar a los entes internos y externos de control que corresponda.</t>
  </si>
  <si>
    <t>Imposibilidad de aplicar las estrategias de comercialización y concretar cierres de negocios.</t>
  </si>
  <si>
    <t>Condiciones jurídicas, técnicas (normativas), que impiden la comercialización y/o desarrollo de los predios e implican gestiones demoradas para su movilización, aunadas a los valores altos del suelo, que dificultan atraer el interés de los posibles compradores.</t>
  </si>
  <si>
    <t>El Director Comercial y los profesionales designados, solicitan los conceptos que se requieran (jurídicos, técnicos, financieros entre otros), para determinar si los predios designados para la comercialización son susceptibles de vender, arrendar o transferir, posteriormente consolidan la información en un documento o ficha y con base en los mismos determinan los trámites requeridos o para iniciar la comercialización o para solicitar se defina otro tipo de gestión (estructuración, desarrollo proyecto entre otros). En caso de ser posible su comercialización se lleva a cabo el proceso correspondiente (invitación, convocatoria, según la modalidad que aplique según la normatividad).</t>
  </si>
  <si>
    <t>Previo a la designación como predio a comercializar, solicitar la justificación técnica, legal y financiera, que determine la inviabilidad de la ejecución del proyecto para el cual se fue adquirido el inmueble y verificar si se planteó otra alternativa de desarrollo, de manera que sólo lleguen a comercialización predios que tengan plenamente justificada la inviabilidad de desarrollarse y destinarse al fin para el cual fueron adquiridos.</t>
  </si>
  <si>
    <t xml:space="preserve">Formulación de Instrumentos </t>
  </si>
  <si>
    <t>Desarrollar los estudios y diseños necesarios para determinar la viabilidad técnica, social y financiera de los proyectos de renovación y desarrollo urbano, de acuerdo con las líneas de acción de la empresa, a través de la aplicación de instrumentos de gestión establecidos en la Ley.</t>
  </si>
  <si>
    <t>Inicia con la identificación y evaluación de las áreas de oportunidad y culmina con la radicación de la formulación del instrumento ante las autoridades competentes para su aprobación.
Incluye la elaboración de estudios jurídicos, ambientales, técnicos, de suelo, sociales, financieros, comerciales, y su viabilidad.</t>
  </si>
  <si>
    <t>Desconocimiento en el adecuado manejo de la información confidencial.</t>
  </si>
  <si>
    <t>Desconocimiento en el tratamiento de la información sensible de la ERU.
Conflicto de intereses.</t>
  </si>
  <si>
    <t>Capacitar al personal en las directrices y el adecuado tratamiento de datos e información confidencial anualmente.</t>
  </si>
  <si>
    <t>Formulación de Instrumentos</t>
  </si>
  <si>
    <t>Retrasos en la formulación de instrumentos de planeamiento.</t>
  </si>
  <si>
    <t>Posibilidad de afectación reputacional por retrasos en la formulación de instrumentos de planeamiento debido a dificultades en la contratación de estudios técnicos, demora en la emisión de respuestas o conceptos por parte de las entidades distritales.</t>
  </si>
  <si>
    <t>El líder de la formulación del instrumento elabora un cronograma de trabajo para estimar los tiempos de la formulación del instrumento y se actualiza en la medida que se realizan modificaciones al mismo. Dentro de los seguimientos a proyectos se mantiene la evidencia de los cronogramas propuestos, así como la actualización de los mismos, de acuerdo con la metodología para la formulación de proyectos denominada Ciclo de Estructuración de Proyectos, en caso de presentarse retrasos en la formulación de los instrumentos de planeamiento, se generan alertas tanto en los instrumentos como en las reuniones de seguimiento.</t>
  </si>
  <si>
    <t xml:space="preserve">El líder de la formulación del instrumento cada vez que se requiera,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t>
  </si>
  <si>
    <t xml:space="preserve">Documentar y divulgar la actualización de una metodología para la formulación de instrumentos de planeamiento.
</t>
  </si>
  <si>
    <t>Generar la reprogramación y actualización de los cronogramas y metas de la vigencia así mismo informar a la Subgerencia de Planeación y Administración de Proyectos.</t>
  </si>
  <si>
    <t>Documentar y divulgar la actualización de una metodología para la formulación de instrumentos de planeamiento.</t>
  </si>
  <si>
    <t>Cambios en el alcance del instrumento de planeamiento.</t>
  </si>
  <si>
    <t>Posibilidad de afectación reputacional por desactualización de estudios y diseños del proyecto debido a cambios en el alcance del instrumento de planeamiento.</t>
  </si>
  <si>
    <t>El líder SIG del proceso, realiza seguimientos a la ejecución del proyecto mediante formato de seguimiento FUSS (mensual), plan de acción (trimestral), ciclo de estructuración e indicadores de gestión. (trimestral). En caso de presentarse retrasos en la formulación de los instrumentos de planeamiento, se generan alertas tanto en los instrumentos como en las reuniones de seguimiento.</t>
  </si>
  <si>
    <t>Contratar nuevamente los estudios correspondientes e informar la situación a los organismos de control interno de gestión y disciplinario, en caso de detectar estudios o diseños del proyecto desactualizados.</t>
  </si>
  <si>
    <t xml:space="preserve">Documentar y actualizar la base de datos de consultores con alto grado de experticia para la elaboración de estudios técnicos. </t>
  </si>
  <si>
    <t xml:space="preserve"> Ejecución de Proyectos</t>
  </si>
  <si>
    <t>Posibilidad de aceptar o solicitar dádivas para recibir parcial y/o final un producto u obra sin el cumplimiento de los requisitos técnicos.</t>
  </si>
  <si>
    <t>Continuo</t>
  </si>
  <si>
    <t xml:space="preserve">Multas, sanciones o demandas
</t>
  </si>
  <si>
    <t xml:space="preserve">
Demoras en la entrega de las obras de urbanismo
</t>
  </si>
  <si>
    <t>Evaluación Financiera de Proyectos</t>
  </si>
  <si>
    <t>Generación de errores en los informes reportados por las Fiduciarias.</t>
  </si>
  <si>
    <t>Debilidades en los lineamientos establecidos para la revisión de la información consolidada, previo a su envío.</t>
  </si>
  <si>
    <t>Los administradores fiduciarios de la Subgerencia de Gestión Inmobiliaria realizan mensualmente el seguimiento de la información recibida de las fiduciarias, la cual centralizan, validan, solicitan ajustes si es necesario a través de correo electrónico o llamadas telefónicas, y finalmente se concilia el valor del Derecho Fiduciario de cada negocio con el área de Contabilidad de la Empresa.</t>
  </si>
  <si>
    <t>Establecer Acuerdos de Niveles de Servicio.</t>
  </si>
  <si>
    <t>Realizar el ajuste al informe y dar alcance al órgano de control para su retransmisión.
Establecer Plan de Mejoramiento.
Realizar las acciones legales y administrativas a que haya lugar.</t>
  </si>
  <si>
    <t>Establecimiento de Acuerdos de Niveles de Servicio (cuando aplique).</t>
  </si>
  <si>
    <t>Inicia con la simulación financiera de los proyectos y/o el esquema de negocio, una vez viabilizado y en desarrollo se le hará el seguimiento administrativo, financiero, técnico y jurídico del negocio fiduciario que se constituya para tal fin, hasta la finalización y cierre del proyecto.</t>
  </si>
  <si>
    <t>Pago extemporáneo de los compromisos financieros de los proyectos asociados.</t>
  </si>
  <si>
    <t>Demoras en el flujo de vistos buenos y firmas para el trámite de instrucciones, y documentos fiduciarios.</t>
  </si>
  <si>
    <t>Posibilidad de afectación económica y reputacional por el pago extemporáneo de los compromisos financieros de los proyectos asociados, debido a demoras en el flujo de vistos buenos y firmas para el trámite de instrucciones, y documentos fiduciarios.</t>
  </si>
  <si>
    <t>El Coordinador de Fiducias, efectúa mensualmente el seguimiento al desarrollo de las actividades establecidas en la fase de operación de fiducias del procedimiento PD-74 Constitución y seguimiento a esquemas fiduciarios, verificando que las actividades para la aprobación del tramite de instrucciones fiduciarias, y en caso de detectar retrasos, generar las alertas a los responsables.</t>
  </si>
  <si>
    <t>Efectuar la revisión de los procedimientos internos y los manuales operativos, a fin de optimizar la producción de documentos de la gestión fiduciaria.</t>
  </si>
  <si>
    <t>Establecer Plan de Mejoramiento.
Realizar las acciones legales y administrativas a que haya lugar.</t>
  </si>
  <si>
    <t>Cobro por parte de funcionarios públicos o contratistas a los ciudadanos para la asesoría del trámite "Cumplimiento de la obligación VIS-VIP a través de compensación económica".</t>
  </si>
  <si>
    <t>Falta de información o claridad de los consultores en el inicio y fin del trámite que surte la empresa.</t>
  </si>
  <si>
    <t>POR DEMANDA</t>
  </si>
  <si>
    <t>Actualizar la información del trámite "Cumplimiento de la obligación VIS-VIP a través de compensación económica" en la Guía de Trámites y Servicios y en el Sistema Único de Información y Trámites - SUIT.</t>
  </si>
  <si>
    <t>Mensual</t>
  </si>
  <si>
    <t xml:space="preserve">Posibilidad de afectación económica y reputacional por generar instrumentos de estructuración que no son acordes a la realidad del proyecto, por falta de información, o información que no cuenta con criterios de calidad para la elaboración del instrumento. </t>
  </si>
  <si>
    <t>No se cuenta con la información, la información existente está incompleta o no es de calidad, para poder realizar la estructuración del proyecto.</t>
  </si>
  <si>
    <t>El profesional responsable del proyecto realiza mesas de trabajo semanales con las áreas responsables del suministro de la información para la estructuración del proyecto respectivo, verificando que la documentación entregada, se ajuste a los criterios de calidad y oportunidad establecidos en el cronograma del proyecto. En caso de presentarse inconsistencias se solicita a las áreas responsables, a través de correo electrónico, efectuar los ajustes correspondientes.</t>
  </si>
  <si>
    <t>Cuantificar los costos incurridos en el desarrollo del instrumento de estructuración de proyectos y presentarlos a la Gerencia de la Empresa y a la Subgerencia de Gestión Inmobiliaria.</t>
  </si>
  <si>
    <t>Posibilidad de afectación económica y reputacional, por demoras en la ejecución de proyectos de vivienda, suscritos a través de convenio, debido a la debilidad en la identificación de estrategias para la detección y generación de alertas tempranas en el desarrollo de los mismos.</t>
  </si>
  <si>
    <t>Debilidad en la identificación de estrategias para la detección y generación de alertas tempranas, en el desarrollo de los proyectos de vivienda.</t>
  </si>
  <si>
    <t>Los supervisores realizan de mantera trimestral, los informes de seguimiento de acuerdo con lo establecido en las obligaciones de cada convenio, identificando las posibles alertas que se puedan generar en el adecuado desarrollo de los mismos.</t>
  </si>
  <si>
    <t>La Secretaria Distrital de Hábitat, realiza cada 2 meses los comités operativos de los convenios suscritos para el desarrollo de los proyectos de vivienda, con el propósito de identificar los posibles retrasos que se puedan presentar en la ejecución de los mismos, así como las acciones y compromisos a tomar, los cuales quedan registrados en las respectivas actas de comité.</t>
  </si>
  <si>
    <t>Presentar a la Gerencia General de manera semanal, un reporte sobre el seguimiento a las actividades de ejecución de los proyectos de vivienda supervisados por la Gerencia de Vivienda.</t>
  </si>
  <si>
    <t>Semanal</t>
  </si>
  <si>
    <t>Establecer Plan de Mejoramiento.
Realizar las acciones legales y administrativas a que haya lugar, por el posible incumplimiento del contrato o convenio suscrito.</t>
  </si>
  <si>
    <t>Gestión Predial y Social</t>
  </si>
  <si>
    <t>Adelantar el proceso de gestión de suelo, mediante la adquisición de los predios, por motivos de utilidad pública e interés social, que sean requeridos por la Empresa, para la ejecución de los programas y proyectos de renovación y desarrollo urbano de la ciudad, de conformidad con la normatividad vigente.</t>
  </si>
  <si>
    <t>Sobrecosto en el proceso de adquisición</t>
  </si>
  <si>
    <t>Fallas en el seguimiento y control de las Instrucciones fiduciarias, notificaciones (Oferta y Expropiación), Insumos (Registros topográficos) y contestación en tiempo de recursos de reposición.</t>
  </si>
  <si>
    <t xml:space="preserve">El Director(a) de Predios con su equipo de trabajo periódicamente realiza seguimiento y control al proceso de pago predio por predio que den cuenta del avance de la adquisición predial, con el fin de evitar sobrecostos en el proceso de adquisición. </t>
  </si>
  <si>
    <t>Escalar a Gerencia, a los entes internos de control y a quien sea pertinente para dar solución a la corrección del pago.</t>
  </si>
  <si>
    <t>Posibilidad de extracción de documentos durante el proceso de atención de interesados.</t>
  </si>
  <si>
    <t>Desconocimiento en el uso de información sensible.</t>
  </si>
  <si>
    <t>Informar a la Gerencia de la Empresa, a los entes internos y externos de control y a quien sea pertinente para realizar las investigaciones disciplinarias correspondientes.</t>
  </si>
  <si>
    <t xml:space="preserve"> Gestión de Servicios Logísticos</t>
  </si>
  <si>
    <t>Diario</t>
  </si>
  <si>
    <t>Posibilidad de afectación reputacional por no contar con los contratos que suministren bienes y servicios para el gestión y funcionamiento de la Empresa, por la falta de control y seguimiento oportuno.</t>
  </si>
  <si>
    <t xml:space="preserve"> Falta de control y seguimiento oportuno.</t>
  </si>
  <si>
    <t>Gestión Documental</t>
  </si>
  <si>
    <t>Enero</t>
  </si>
  <si>
    <t>Diciembre</t>
  </si>
  <si>
    <t>Degradación y deterioro parcial o total de la información o su soporte.</t>
  </si>
  <si>
    <t>Realizar la intervención de la documentación afectada por el deterioro.</t>
  </si>
  <si>
    <t>Socialización, implementación y seguimiento de los instrumentos archivísticos
* PINAR
* PGD
* TRD
* CCD
* Modelo de Requisitos
* Banco Terminológico</t>
  </si>
  <si>
    <t>Aplicación de los procedimientos de recuperación, conservación y seguridad de la información.</t>
  </si>
  <si>
    <t>Gestión Jurídica</t>
  </si>
  <si>
    <t>Soborno.
Intereses particulares.</t>
  </si>
  <si>
    <t>Acuerdos entre apoderados para viciar la defensa judicial durante las etapas del proceso.</t>
  </si>
  <si>
    <t>Gestionar todos los asuntos relacionados con la contratación estatal requeridos por la empresa, mediante el apoyo, trámite, asesoría y seguimiento de los procesos contractuales atendiendo al régimen legal aplicable y las modalidades de selección establecidas por la ley, con el fin de llevar a cabo la ejecución de los planes de Inversión y Anual de Adquisiciones y dar cumplimiento a las metas y objetivos de la empresa.</t>
  </si>
  <si>
    <t>Gestión Contractual</t>
  </si>
  <si>
    <t xml:space="preserve">Inicia con la definición de políticas, objetivos, lineamientos, parámetros y estrategias en materia de contratación estatal, la elaboración y aprobación del Plan Anual de Adquisiciones y plan de Inversión de la Empresa, desarrolla las etapas de selección y contratación, supervisión e interventoría y finaliza con la liquidación de los contratos y cierre de los expedientes contractuales cuando aplique. </t>
  </si>
  <si>
    <t>Inclusión en los estudios previos y/o en los pliegos de condiciones de requisitos específicos, o presentación de Adendas que modifican las condiciones generales del proceso de contratación, posiblemente por presiones internas o externa o por nepotismo.</t>
  </si>
  <si>
    <t>Posibilidad de recibir o solicitar cualquier dádiva o beneficio a nombre propio o de terceros con el fin de adjudicar un proceso de contratación para favorecer a personas o grupos determinados.</t>
  </si>
  <si>
    <t>Reportar a las dependencias internas y entes de control correspondientes, cuando se presente un presunto favorecimiento a proponentes en el proceso de Gestión Contractual.</t>
  </si>
  <si>
    <t xml:space="preserve">Realizar socializaciones periódicas a las diferentes dependencias a cerca de los procedimientos y los formatos utilizados dentro del proceso de Gestión Contractual así mismo dar a conocer los tiempos estimados para realizar los diferentes tipos de contratos con el fin que se tenga en cuenta la gestión precontractual. </t>
  </si>
  <si>
    <t>Gestión Ambiental</t>
  </si>
  <si>
    <t>Posibilidad de afectación económica y reputacional por incumplimiento de requisitos legales ambientales, debido a inobservancia de lineamientos, procedimientos y regulaciones ambientales internas por parte de los colaboradores y contratistas.</t>
  </si>
  <si>
    <t>El profesional de gestión ambiental realiza un seguimiento mensual a la ejecución del PIGA en el marco del Comité de Autoevaluación, en este espacio se reporta el avance de las actividades del plan de acción, en caso de presentarse desviaciones respecto a la ejecución se generan acciones de mejora, y las decisiones tomadas quedan registradas en las actas del Comité.</t>
  </si>
  <si>
    <t>El profesional ambiental realiza seguimiento semestral a la ejecución física y presupuestal de las metas y/o acciones ambientales priorizadas en el PACA Institucional con el fin de evidenciar avances y logros de las mismas. En caso de presentarse desviaciones respecto a la ejecución se debe generar una reformulación o ajustes al plan de acción, los cuales quedan como evidencia en un documento que debe subirse a la herramienta Storm User de la Secretaria de Ambiente.</t>
  </si>
  <si>
    <t>Divulgación, capacitación y campañas del PIGA y sus programas para efectuar seguimiento a los programas.</t>
  </si>
  <si>
    <t>Informar a la Secretaría Distrital de Ambiente.
Generar el ajuste al plan de acción.</t>
  </si>
  <si>
    <t>Realizar mesas de trabajo con las demás áreas, para incorporar los lineamientos del PACA dentro de los proyectos de inversión.</t>
  </si>
  <si>
    <t>Atención al Ciudadano</t>
  </si>
  <si>
    <t>Gestión de TIC</t>
  </si>
  <si>
    <t>Tener una infraestructura (Conjunto de medios técnicos, servicios e instalaciones necesarios para el desarrollo de una actividad o para que un lugar pueda ser utilizado.) de protección y contingencia desactualizada.
Debilidades en el proceso de realizar copias de seguridad.</t>
  </si>
  <si>
    <t>Realizar seguimiento a la contratación de los servicios de mantenimiento preventivo y correctivo del hardware de la Empresa a través del Plan de Adquisiciones.</t>
  </si>
  <si>
    <t>Ausencia de confidencialidad de la claves de acceso a funcionarios y contratistas.
Debilidad en la actualización del hardware y software de la Entidad.</t>
  </si>
  <si>
    <t>Posibilidad de afectación reputacional por cortes de redes eléctricas, de datos, voz e Internet imprevistos por tiempos prolongados y equipos obsoletos que no soportan eficientemente el software adquirido, que generen indisponibilidad de los servicios o infraestructura de TI.</t>
  </si>
  <si>
    <t xml:space="preserve"> Cortes de redes eléctricas, de datos, voz e Internet imprevistos por tiempos prolongados. - 
Equipos obsoletos que no soportan eficientemente el software adquirido.</t>
  </si>
  <si>
    <t>Indisponibilidad de los servicios o infraestructura de TI.</t>
  </si>
  <si>
    <t>Gestión Financiera</t>
  </si>
  <si>
    <t>Evaluación y Seguimiento</t>
  </si>
  <si>
    <t>Ser agente dinamizador del Sistema de Control Interno por medio de actividades en torno a los cinco (5) roles a cargo de la Oficina de Control Interno: Liderazgo estratégico, Enfoque hacia la prevención, Evaluación de la gestión del riesgo, Evaluación y seguimiento, Relación con entes externos de control, para fortalecer el autocontrol, la autorregulación y la autogestión de la Empresa de Renovación y Desarrollo Urbano de Bogotá, de conformidad con la normatividad vigente y contribuir con el cumplimiento de los objetivos y metas institucionales, a través de la evaluación y mejora de la eficacia de los procesos de gestión de riesgos, control y gobierno.</t>
  </si>
  <si>
    <t>Inicia con la planificación del Plan Anual de Auditoría basado en riesgos, su ejecución, evaluación, seguimiento de actividades planificadas, elaboración de informes y/o asesoría para la toma de decisiones, evaluación de la gestión del riesgo, finalizando con la implementación de los Planes de Mejoramiento correspondientes a fin de agregar valor y mejora en los procesos y operaciones de la Empresa, proporcionando aseguramiento, análisis basado en riesgos y de manera paralela interactuando con los entes de control conforme la normatividad vigente.</t>
  </si>
  <si>
    <t>La Jefe de la Oficina de Control Interno convoca a todo el equipo de trabajo en el mes de enero de cada vigencia a fin de realizar un análisis para determinación del universo de auditoría, el cual se prioriza de acuerdo con las necesidades de la Empresa y los recursos disponibles para la elaboración del Plan Anual de Auditoria que incorpora todas las acciones categorizadas de acuerdo con los roles legales aplicables.</t>
  </si>
  <si>
    <t xml:space="preserve">Cada vez que se inicia un ejercicio de auditoría, el auditor líder prepara el plan específico de auditoria el cual se somete a la revisión y aprobación de la Jefe de la Oficina de Control Interno y se remite al área objeto de auditoria a través de comunicación oficial con suficiente antelación junto con la descripción de las información requerida y el plazo de entrega. La Jefe de Control Interno convoca a la reunión de instalación de la auditoría al que asisten los equipos de trabajo del área auditada y el equipo auditor para presentar el plan específico de auditoría y dar a conocer todos los detalles y condiciones de la auditoria y, de ser necesarios, se realizan los ajustes previo acuerdo con el proceso auditado. </t>
  </si>
  <si>
    <t>El auditor líder y el equipo de auditoría inicia el trabajo de auditoria y los resultados preliminares se consolidan y se remiten mediante correo electrónico a la Jefe de la Oficina de Control Interno para verificar su contenido, resultados, evidencias y cumplimiento de las etapas metodológicas de acuerdo con el Procedimiento PD-57 "Auditorías Internas SIG y de Evaluación Independiente" y realizar los ajustes correspondientes. El informe preliminar se remite al líder del proceso auditado con el propósito de que analice los resultados y presente las objeciones las cuales son analizadas por el equipo auditor y por la Jefe de la Oficina de Control Interno para elaborar el informe definitivo el cual se presenta en la reunión de cierre.</t>
  </si>
  <si>
    <t>Urgencia en tareas imprevistas y falta de priorización.
No identificación o identificación inoportuna de los cambios en la legislación aplicable. 
Desconocimiento de las regulaciones aplicables. 
Solicitud y/o suministro de información tardía, incompleta o inoportuna.
Planeación deficiente del plan anual y del plan específico de auditorías. 
Inobservancia del plan específico de auditoría. 
Falta de claridad y/o desconocimiento institucional del enfoque por procesos del ejercicio auditor. 
No disponibilidad oportuna de información insumo para el ejercicio de auditoría y/o seguimiento. 
Desatención del proceso auditor y de la formulación de acciones de mejora correspondientes, solicitudes de aplazamiento o prórrogas de las actividades auditorías. 
Personal auditor insuficiente para la carga laboral establecida. Desinterés en el fortalecimiento de las competencias individuales. 
Debilidades en las competencias, conocimientos, habilidades y evaluación de los auditores internos. Insuficiente conocimiento de la Entidad. 
Desconocimiento de estándares, requisitos y técnicas de auditoria. 
Fallas en los análisis de las fuentes de la información. 
Ausencia o baja efectividad de los controles. 
Desarmonización de los procedimientos del proceso en relación con los estándares de referencia. 
Estructura documental del proceso desactualizada o sin uso.
Desinterés institucional en el fortalecimiento de la evaluación interna.</t>
  </si>
  <si>
    <t>1. Establecer el ranking de auditores para valorar el desempeño del auditor.
2. Realizar el análisis semestral del estado de adopción y efectividad de las recomendaciones surtidas en los informes legales, se seguimiento o de auditoria.</t>
  </si>
  <si>
    <t>2. Realizar ejercicios de capacitación y referenciación para reconocer las tendencias y buenas prácticas en el ejercicio de la auditoria interna.</t>
  </si>
  <si>
    <t>Direccionamiento Estratégico</t>
  </si>
  <si>
    <t>Ejecución y Administración de procesos</t>
  </si>
  <si>
    <t>Informar en Comité Institucional de Gestión y Desempeño para trasladar al área que competa para que se busque una nueva alternativa o estructuración de un proyecto, entregando la información y apoyando en las gestiones requeridas.</t>
  </si>
  <si>
    <t>Daños Activos Físicos</t>
  </si>
  <si>
    <t>Sustracción, alteración o inclusión de documentos en los expedientes documentales que se encuentran en custodia del proceso para beneficiar a terceros.</t>
  </si>
  <si>
    <t>Detective</t>
  </si>
  <si>
    <t xml:space="preserve"> Vulnerabilidad de los sistemas de información y aplicaciones de la ERU</t>
  </si>
  <si>
    <t>El supervisor o jefe de área, cada vez que ingrese tanto un contratista como un funcionario a la Empresa, debe reportar las novedades de los accesos lógicos mediante el formulario de Novedad de Acceso Lógico que esta en el sistema Administrativo y Financiero JSP7, para que los profesionales del proceso TIC puedan generar o modificar el usuario y contraseña de acceso. 
Este control tiene el propósito de generar responsabilidades a los usuarios sobre el acceso a la información dejando trazabilidad en JSP7.</t>
  </si>
  <si>
    <t>Revisar las solicitudes de acceso lógico que quedan registradas en JSP7 para ser atendidas. Y revisión del correo a usuarios que están vinculados por Fiducias.</t>
  </si>
  <si>
    <t>Fallas Tecnológicas</t>
  </si>
  <si>
    <t>Se cuenta con un listado de reportes de información a entes internos y externos, el cual es de cumplimiento por los profesionales de cada proceso, allí se describen el nombre del reporte y la periodicidad en la cual se debe realizar el reporte con el propósito de tener control de las fechas y de la información a reportar.</t>
  </si>
  <si>
    <t>Posibilidad de afectación económica y reputacional debido a la no disponibilidad de recursos económicos por debilidad en la administración y seguimiento a la ejecución de recursos financieros.</t>
  </si>
  <si>
    <t>Posibilidad de afectación económica por la imposibilidad de aplicar las estrategias de comercialización y concretar cierres de negocios, debido a las condiciones jurídicas, técnicas (normativas), que impiden la comercialización y/o desarrollo de los predios e implican gestiones demoradas para su movilización, aunadas a los valores altos del suelo, que dificultan atraer el interés de los posibles compradores.</t>
  </si>
  <si>
    <t xml:space="preserve">Los profesionales y técnicos del proceso de Gestión Documental realizan el seguimiento y control mensual a los planes, programas e instrumentos archivísticos, de acuerdo con los requerimientos establecidos, con el fin de dar cumplimiento de la norma archivística del Archivo de Bogotá D.C., como evidencia de la ejecución del control quedan registrados los seguimientos en la matriz (PINAR y PGD). En caso de no cumplir o presentarse novedades en el seguimiento, se debe dejar evidenciado dentro de la matriz junto con los soportes necesarios. </t>
  </si>
  <si>
    <t>Los colaboradores del Centro de Administración Documental crean los expedientes electrónicos el en Sistema de Gestión de Documentos Electrónicos de Archivo (TAMPUS) de acuerdo a la solicitudes recibidas mediante correo electrónico, previa validación con las tablas de retención documental vigentes, si la solicitud cumple con todos los criterios se crea el expediente , en caso de encontrar inconsistencias en la solicitud realizada, se remite un correo electrónico informando de la misma al área solicitante.</t>
  </si>
  <si>
    <t>El Subgerente Jurídico en calidad de Secretario Técnico convoca al Comité de Conciliación en los casos que se requieran. El apoderado realiza la ficha técnica que contiene la respectiva recomendación para la toma de decisiones. En cada audiencia judicial y extrajudicial, se suscribe un acta por las partes consignando las decisiones adoptadas en donde determina si procede o no la conciliación.</t>
  </si>
  <si>
    <t>El profesional asignado de la Dirección de Gestión Contractual realiza seguimiento semanal a los trámites contractuales para asegurar el trámite dentro de los plazos determinados, este seguimiento queda registrado en la matriz de seguimiento a trámites contractuales. Si se detecta un inminente vencimiento se prioriza y ejecuta el trámite de manera inmediata lo cual finaliza con el visto bueno de los intervinientes.</t>
  </si>
  <si>
    <t xml:space="preserve">Los profesionales del proceso de Gestión de TIC configuran la copia automática del sistema JSP7 Gobierno, TAMPUS, GLPI , e Intranet de respaldo de la información contenida en los servidores de la Empresa con una periodicidad de cada 12 horas, como evidencia la copia de respaldo queda almacenada en repositorios, y es verificada una vez al mes por parte del profesional responsable del proceso de Gestión de Tics, con el propósito de contar con información actualizada en caso de que se presente una falla. </t>
  </si>
  <si>
    <t>El profesional del proceso de gestión de TIC asignado envía de manera anual correos electrónicos a las áreas para solicitar la identificación de las necesidades de adquisición de productos y servicios de tecnología, que apoyen la gestión institucional. Posteriormente se realiza una evaluación de necesidades y se proyecta el presupuesto necesario para la siguiente vigencia. Cuando en el análisis se identifiquen herramientas a las cuales no se puede acceder, se proponen las alternativas correspondientes.</t>
  </si>
  <si>
    <t>El aplicativo ENTUITY de manera permanente realiza monitoreo web a la infraestructura tecnológica compuesta por canales de datos, canal internet y equipos tipo servidor, para verificar la disponibilidad y el estado del funcionamiento de los aplicativos, al encontrar una falla envía un correo de alerta al proceso Gestión de TIC para adelantar las acciones que corresponda.</t>
  </si>
  <si>
    <t>Se cuenta con una previa revisión y verificación de la información tributaria por parte de la Revisoría Fiscal y Asesores Tributarios, con el fin de asegurar la integridad y calidad de la información a remitir a las diferentes entidades del orden nacional y distrital.</t>
  </si>
  <si>
    <t>Posibilidad de afectación reputacional por escepticismo e incredulidad en los trabajos de aseguramiento y consulta debido a que los resultados no agreguen valor ni mejoren las operaciones de la Empresa en los procesos de gobierno, riesgos y control.</t>
  </si>
  <si>
    <t>Fuente: Adaptado de Curso Riesgo Operativo Universidad del Rosario por Dirección de Gestión y Desempeño Institucional de Función Pública, 2020.</t>
  </si>
  <si>
    <t xml:space="preserve">Los profesionales del proceso de Gestión de TIC, realizan un monitoreo diario de la infraestructura de TI de la entidad, utilizando herramientas de monitoreo, protección y tableros de control, ingresando a la plataforma o revisando que no hayan enviado alertas de correo electrónico sobre fallos en los sistemas, una vez revisado se generan reportes mensuales los cuales son trasladados a los expedientes contractuales. El proveedor también realiza revisión de alertas e informa inmediatamente al profesional de sistemas si se encuentran alguna anormalidad. </t>
  </si>
  <si>
    <t>El propósito del control es evitar que queden equipos pendientes de mantenimiento preventivo, esta actividad se realiza a través de un profesional del área de sistemas que imprime el acta desde el sistema JSp7 módulo de activos fijos y la hace firmar del usuario y del técnico que realiza el mantenimiento, la evidencia se encuentra archivada en el expediente de los contratos de mantenimiento preventivo, dos veces al año.</t>
  </si>
  <si>
    <t xml:space="preserve">Administrar y controlar los recursos financieros de la Empresa de acuerdo con los parámetros establecidos por la normatividad vigente, que garanticen la disponibilidad de recursos económicos para el cumplimiento de los planes y programas de esta, la confiabilidad, razonabilidad y oportunidad de la información financiera que sirva como fuente de información para la toma de decisiones. </t>
  </si>
  <si>
    <t xml:space="preserve">Brindar atención a la ciudadanía sobre los proyectos, trámites y servicios de la empresa y administrar el Sistema Distrital para la Gestión de Peticiones Ciudadanas Bogotá te escucha, garantista de derechos ciudadanos. </t>
  </si>
  <si>
    <t>Diseñar e implementar estrategias de comunicación internas y externas, con el propósito de informar, promocionar, posicionar, visibilizar y sensibilizar a los diferentes grupos de interés acerca de los proyectos y el quehacer de la empresa, de una manera veraz, clara y oportuna a través de los diferentes canales de comunicación que para ello defina la Empresa.</t>
  </si>
  <si>
    <t>Gestionar la elaboración de los estudios, diseños técnicos y urbanísticos; ejecutar las obras de urbanismo y construcción necesarias para el desarrollo de los proyectos de la empresa y entregar las cesiones públicas a empresas de servicios públicos, IDU, IDRD y al DADEP.</t>
  </si>
  <si>
    <t>Brindar oportunidad y eficiencia en el suministro de recursos físicos y servicios de apoyo administrativo para el cumplimiento de los objetivos misionales y el normal funcionamiento de los procesos de la Empresa.</t>
  </si>
  <si>
    <t>Dirigir los procesos jurídicos necesarios para la implementación de proyectos misionales y ejercer la representación judicial y extrajudicial de la Empresa, con base en los lineamientos contemplados en el Manual de Prevención del Daño Antijurídico y las Políticas que se adopten con el fin de garantizar la prevención del daño antijurídico.</t>
  </si>
  <si>
    <t xml:space="preserve">Fortalecer los hábitos de consumo sostenible y responsable de los recursos naturales, a través de la implementación del PIGA y PACA, con el fin de minimizar los impactos derivados de las actividades inherentes a la misionalidad de la Empresa y contribuir a la mitigación del Cambio Climático en Bogotá. </t>
  </si>
  <si>
    <t>Brindar atención a la ciudadanía sobre los proyectos, trámites y servicios de la empresa y administrar el Sistema Distrital para la Gestión de Peticiones Ciudadanas Bogotá te escucha, garantista de derechos ciudadanos.</t>
  </si>
  <si>
    <t>Gestionar de manera integral las tecnologías de la información, prestando servicios acordes a las necesidades de la empresa y formular lineamientos relacionados con estándares y buenas prácticas para el manejo de la información.</t>
  </si>
  <si>
    <t>Se cuenta con conciliación de información contable, presupuestal y de tesorería, el cual es de cumplimiento por los profesionales de cada proceso, allí se confronta la información registrada frente a la ejecutada de los recursos financieros de la Empresa con una periodicidad mensual, con el propósito de asegurar el seguimiento a los recursos financiero de la empresa.</t>
  </si>
  <si>
    <t>El Tesorero General cada vez que se realiza el cargue del archivo plano de pagos a terceros en el portal bancario por el profesional de la Tesorería, verifica que esté acorde a la orden de pago y sus documentos soporte, si no hay novedades se realiza la probación del pago, en caso de presentarse novedades con los soportes de pago se remite un correo electrónico al profesional de la tesorería para su validación.</t>
  </si>
  <si>
    <t>El profesional de Tesorería realiza el cargue del proceso de pago en el portal bancario con su token y contraseña asignada, posteriormente, el Tesorero General realiza la revisión del cargue y aprueba el proceso de pago con su token y contraseña personal.
La aprobación final de pago se da por parte del Subgerente de Gestión Corporativa con su token y contraseña asignada.</t>
  </si>
  <si>
    <t>Presiones de grupos de interés.</t>
  </si>
  <si>
    <t>Debilidad en los controles establecidos.</t>
  </si>
  <si>
    <t>Informar a las instancias internas y externas de control que corresponda.</t>
  </si>
  <si>
    <t>Incumplimiento de los requisitos técnicos.</t>
  </si>
  <si>
    <t>Realizar visita técnica a la obra y/o registro fotográfico y/o Acta de reunión por parte del Supervisor.</t>
  </si>
  <si>
    <t>Los profesionales de apoyo a la Supervisión de la Subgerencia de Desarrollo de Proyectos, deberán dar cumplimiento a lo establecido en el procedimiento PD-90 Recibo y entrega de obras y áreas de cesiones públicas, en el cual se solicita la revisión oportuna de los requisitos mínimos para la entrega de la obra al Empresas de Servicios Públicos, IDRD, IDU, UAESP y por último al DADEP diligenciando el formato FT-193 Requisitos mínimos para entrega de obra, y estableciendo el estado actual de los requisitos exigidos por las Entidades competentes, registrando en la columna "Se cuenta con la Certificación" (SI), en caso contrario, deberá revisar las acciones a seguir y requerirá al interventor para el cumplimiento del requisito.</t>
  </si>
  <si>
    <t>Realizar socializaciones sobre los requisitos exigidos por las Entidades Competentes, de acuerdo a lo establecido en el Procedimiento PD-90 Recibo y entrega de obras y áreas de cesiones públicas.</t>
  </si>
  <si>
    <t>Dejar la obra en condiciones de recibo, revisar que falta para entregar y verificar que lo que ya está se pueda entregar e ir entregando en la medida en que se vaya terminando.</t>
  </si>
  <si>
    <t>Para cada contrato de prestación de servicios se tiene establecida la obligación "Mantener la reserva y confidencialidad de la información que obtenga como consecuencia de las actividades que desarrolle para el cumplimiento del objeto del contrato" y para los contratos de planta, en el otrosí a los contratos individuales de trabajo, en el acuerdo No. CUATRO, se especifica que el trabajador debe garantizar la confidencialidad de la información de la Empresa a la que tenga acceso por razón de las funciones asignadas; lo anterior deberá ser reforzado mediante jornadas de capacitación del código de integridad, con el equipo de trabajo.</t>
  </si>
  <si>
    <t>31/12/2022</t>
  </si>
  <si>
    <t xml:space="preserve">Inicia con la formulación del Plan de Acción del proceso y cubre las actividades relacionadas con prensa y comunicación externa, contenido para canales digitales, comunicación organizacional, diseño gráfico y audiovisual, así como el apoyo en los procesos de comunicación a través de Gestión Social y finaliza con la
ejecución de las actividades establecidas en el Plan de Acción definido. </t>
  </si>
  <si>
    <t xml:space="preserve">Inicia con la identificación de los proyectos que tienen componente de comercialización y de administración de predios, definición y ejecución de las actividades estratégicas requeridas para el cumplimiento del Plan de Acción Institucional (componentes de administración y comercialización de predios), y termina con el reporte de los negocios realizados (ventas, arriendos, servicios prestados) y para el caso de las ventas el reporte a la Subgerencia de Gestión Corporativa para el registro contable y retiro del inventario. </t>
  </si>
  <si>
    <t>Orientar a la empresa en la definición de planes y proyectos de inversión y en la planificación de los Modelos de Gestión con criterios de responsabilidad social, sostenibilidad económica, social y ambiental, a fin de contribuir al cumplimiento al Plan de Desarrollo Distrital, a las políticas públicas y a la misión de la Empresa, así como promover de forma permanente el control y la participación ciudadana.</t>
  </si>
  <si>
    <t>Posibilidad de afectación reputacional por la generación de alertas de manera inoportuna debido a un inadecuado seguimiento a la planeación Institucional.</t>
  </si>
  <si>
    <t>Presentar alertas al líder del proceso cuando la información reportada no sea consistente con el fin de tomar las acciones que corresponda.</t>
  </si>
  <si>
    <t>El líder del proceso solicitará la modificación al Plan de acción debidamente justificada, al Subgerente de Planeación y Administración de Proyectos para posterior aprobación del Comité Institucional de Gestión y Desempeño.</t>
  </si>
  <si>
    <t>Posibilidad de afectación reputacional por divulgación de información institucional, confusa e inoportuna debido a entrega de información incompleta por parte de los procesos.</t>
  </si>
  <si>
    <t>Divulgación del procedimiento para solicitudes de Comunicaciones.</t>
  </si>
  <si>
    <t>Se informa internamente a la Gerencia General.
Se informa Externamente a la Alcaldía Mayor.
Se procede a dar un alcance (corrección o eliminación) a la información publicada.</t>
  </si>
  <si>
    <t>Inicia con la elaboración de los estudios, diseños técnicos, urbanísticos y ambientales y el trámite de aprobación por parte de las entidades competentes. Incluye la definición de los lineamientos para realizar la construcción, interventoría y supervisión a los contratos celebrados para los diseños y/o ejecución de las obras y el trámite de los permisos necesarios para la construcción de las mismas. Continúa con el proceso de entrega y recibo de las áreas urbanísticas desarrolladas (áreas útiles y cesiones urbanísticas) a las entidades competentes. Finaliza con la revisión y pago de impuestos y obligaciones derivadas de la construcción.</t>
  </si>
  <si>
    <t>Posibilidad de afectación económica y reputacional por generación de errores en los informes reportados por las Fiducias debido a debilidades en los lineamientos establecidos para la revisión de la información consolidada, previo a su envío.</t>
  </si>
  <si>
    <t>Determinar la viabilidad económica y financiera de los proyectos urbanos e inmobiliarios de la Empresa, así como la prefactibilidad inmobiliaria de predios, la constitución y seguimiento a los esquemas fiduciarios y proyectos de vivienda adelantados por la Empresa tal forma que generen un impacto en la sostenibilidad de la misma y en el incremento de intervenciones en el territorio.</t>
  </si>
  <si>
    <t>Socializar y hacer seguimiento a la herramienta de seguimiento y control ante el equipo de trabajo de la Dirección de Predios.</t>
  </si>
  <si>
    <t>Inicia con la identificación y titularidad predial, gestión social integral, censo de población, diagnóstico socioeconómico, evaluación de impactos y la formulación del Plan de Gestión Social, con el fin de propiciar la participación comunitaria necesaria para garantizar el restablecimiento de las condiciones iniciales de la población ubicada en los predios requeridos, continuando con el estudio de títulos y termina con la trasferencia efectiva del derecho real de dominio a favor de la Empresa o a la Fiduciaria correspondiente.
Contempla la aplicación de los diferentes instrumentos legales de adquisición de suelo, como la enajenación voluntaria y la expropiación por vía administrativa, derecho de preferencia, así como la formulación y ejecución del Plan de Gestión Social incluyendo la liquidación y pago de los reconocimientos económicos, para la población identificada en el censo y diagnóstico socio económico.</t>
  </si>
  <si>
    <t>Inicia con la elaboración del Plan de Contratación, contempla la formulación del Plan de Acción, Plan de mantenimiento de bienes, y finaliza con la ejecución de planes el manejo y control del inventario.</t>
  </si>
  <si>
    <t>Planear, organizar, administrar y controlar, el manejo de la documentación e información producida y recibida en cumplimento de las funciones de la Empresa, desde su origen hasta su disposición final, para garantizar la protección del patrimonio documental y el acceso en cumplimiento de la norma archivística.</t>
  </si>
  <si>
    <t>Inicia con la articulación de los instrumentos estratégicos y comprende la planeación, producción, recepción, trámite, organización y custodia, culminando con la disposición final de la documentación e información de la Empresa.</t>
  </si>
  <si>
    <t>Aplicación del Procedimiento PD-40 Reconstrucción de Expedientes.</t>
  </si>
  <si>
    <t>Posibilidad de afectación reputacional por degradación y deterioro parcial o total de la información o su soporte, debido a ausencia de medidas y acciones de conservación preventiva, que propendan la conservación de la memoria documental de la Empresa.</t>
  </si>
  <si>
    <t>Socializar el Sistema Integrado de Conservación Documental.</t>
  </si>
  <si>
    <t>El técnico líder asignado al CAD del proceso de gestión documental realiza la recepción de la documentación y del formato FT-33 Formato Único de Inventario Documental, así mismo se realiza la revisión de los documentos que se entregan y quedan registrados en el formato ( se valida el correcto diligenciamiento del mismo), como evidencia de la ejecución del control queda el formato firmado por la dependencia productora y por el líder técnico del CAD de gestión documental, en caso de presentarse errores en el diligenciamiento se remitirá un correo electrónico indicando las sugerencias de ajustes.</t>
  </si>
  <si>
    <t>Implementación del procedimiento PD-39 Administración del Centro de Administración Documental - CAD y del formato FT-33 Formato Único de Inventario Documental.</t>
  </si>
  <si>
    <t>Implementación del procedimiento PD-25 Creación de Expedientes Virtuales.</t>
  </si>
  <si>
    <t>Posibilidad de afectación reputacional por pérdida de información debido a ausencia en la aplicación, actualización y seguimiento de la política, planes, programas e instrumentos que rigen la función archivística.</t>
  </si>
  <si>
    <t>Inicia con la planeación de las estrategias de defensa jurídica y prevención del daño antijurídico, el seguimiento de los procesos judiciales y extrajudiciales de los cuales sea parte la Empresa, incluye dar respuesta a las solicitudes de conceptos, asesoría a clientes internos y externos, análisis y expedición de actos administrativos a los que haya lugar, en el desarrollo del objeto social de la Empresa, lo anterior para prevenir cualquier tipo de daño antijurídico.</t>
  </si>
  <si>
    <t xml:space="preserve">Cuatrimestral </t>
  </si>
  <si>
    <t>Correo electrónico a las dependencias correspondientes (por evento cuando se presente).</t>
  </si>
  <si>
    <t>Inicia con la identificación del objetivo general para la vigencia actual del Plan Institucional de Gestión Ambiental, la concertación y ejecución del Plan Institucional de Gestión Ambiental PIGA y el Plan Acción Cuatrienal Ambiental – PACA. y finaliza con el mejoramiento continuo del desempeño ambiental de la Empresa.</t>
  </si>
  <si>
    <t>Inicia con el ingreso de la solicitud o requerimiento del ciudadano a través cualquiera de los canales habilitados por la empresa y finaliza con la respuesta en los términos y con los criterios dispuestos en la normatividad vigente.</t>
  </si>
  <si>
    <t xml:space="preserve">Inicia con la identificación de necesidades TIC y finaliza con la implementación de soluciones integrales para el mejoramiento continuo de la Empresa. Comprende la administración y soporte de hardware – software, así como coliderar la función Central de Gobierno de Datos. </t>
  </si>
  <si>
    <t>Realizar acompañamiento técnico a las áreas en la adquisición de productos y/o servicios de tecnología.</t>
  </si>
  <si>
    <t>Mantenimiento correctivo.</t>
  </si>
  <si>
    <t>Back up y restauración de información.
Modificaciones al plan de adquisiciones.</t>
  </si>
  <si>
    <t>Posibilidad de afectación reputacional por la ausencia de confidencialidad de la claves de acceso a funcionarios y contratistas o debilidad en la actualización del hardware y software de la Entidad, de manera que genere vulnerabilidad de los sistemas de información y aplicaciones de la ERU.</t>
  </si>
  <si>
    <t>Inactivación del Acceso Lógico del usuario al evidenciar el uso no adecuado de los recursos tecnológicos o al momento de terminar la vinculación con la empresa.</t>
  </si>
  <si>
    <t>Realizar seguimiento al contrato que soporta los servicios de TI, capacitar al personal del proceso de Gestión de TIC de acuerdo con la necesidad.</t>
  </si>
  <si>
    <t>Aplicar los ANS con el proveedor y restablecer el servicio.</t>
  </si>
  <si>
    <t>Inicia con la elaboración del Plan Financiero y finaliza con la presentación de informes financieros de la respectiva vigencia para la toma de decisiones.
Hace parte del proceso el registro de las operaciones financieras y las actividades relacionadas con la ejecución, seguimiento y control de los recursos financieros.</t>
  </si>
  <si>
    <t>Posibilidad de afectación económica y reputacional debido a inoportunidad y/o deficiencia en el reporte de información financiera y tributaria por debilidad en la entrega de la información por parte de los procesos.</t>
  </si>
  <si>
    <t>Generar el reporte a los entes internos y externos que corresponda.</t>
  </si>
  <si>
    <t>Generar informe de situación para Comité Financiero y de Inversiones.</t>
  </si>
  <si>
    <t>Inicia con la elaboración del Plan Financiero y finaliza con la presentación de informes financieros de la respectiva vigencia para la toma de decisiones.
Hace parte del proceso el registro de las operaciones financieras y las actividades relacionadas con la ejecución, seguimiento y control de los recursos financieros</t>
  </si>
  <si>
    <t>El profesional de tesorería cada vez que se recepciona un pago verifica que los documentos requeridos para trámite y pago por los diferentes conceptos estén en el Sistema de Gestión Documental, en donde verifica:
- Que el valor y periodo a cobrar corresponda a lo establecido en el contrato o en el acto administrativo debidamente legalizado.
- El pago de aportes de parafiscales y documentos soportes de pago estén acorde con lo establecido por Ley.
- El Certificado de cumplimiento este acorde con la factura electrónica y/o documento de pago del proveedor y se encuentre en los tiempos estipulados, si el tramite de pago cumple con todos los requisitos establecidos continua el tramite de pago, en caso de presentarse inconsistencia se devuelve al tercero, ( a través del sistema de información y se informa a través de correo electrónico).</t>
  </si>
  <si>
    <t>Gestión de Talento Humano</t>
  </si>
  <si>
    <t xml:space="preserve">Definir y gestionar el Plan Estratégico de Talento Humano como parte de las herramientas que contribuyen al logro de los objetivos institucionales y ejercer actividades de prevención en materia disciplinaria e iniciar las actuaciones administrativas a los servidores y ex servidores públicos de la Empresa, cuando incurran en conductas que puedan constituir faltas disciplinarias. </t>
  </si>
  <si>
    <t xml:space="preserve">Inicia con la definición del Plan Estratégico de Talento Humano y finaliza con su evaluación. 
Incluye la administración del personal, diseño, ejecución, seguimiento, control y evaluación de los planes de capacitación, bienestar, integridad, seguridad y salud en el trabajo; así como actividades de prevención para evitar conductas que ocasionen sanciones disciplinarias para los funcionarios de la empresa y el análisis de las quejas o denuncias, o remisiones por competencia o informe de autoridad competente y adelantar las indagaciones preliminares y/o las investigaciones disciplinarias por las infracciones a la Constitución, las leyes y manuales de funciones o por la omisión o extralimitación en el ejercicio de sus funciones, de conformidad con lo establecido en la Ley 734 de 2002 modificada por la ley 1474 de 2011.
</t>
  </si>
  <si>
    <t>Desconocimiento de las necesidades de la entidad.</t>
  </si>
  <si>
    <t xml:space="preserve">Trimestral 
</t>
  </si>
  <si>
    <t xml:space="preserve">Seguimiento trimestral al cumplimiento de las actividades establecidas en el Plan Estratégico del Talento Humano del Plan de Seguridad y Salud en el Trabajo. </t>
  </si>
  <si>
    <t>Aplica para cada vigencia</t>
  </si>
  <si>
    <t>Informar al jefe inmediato para dar lineamientos.</t>
  </si>
  <si>
    <t>Informar al jefe inmediato y generar una estrategia de convocatoria.</t>
  </si>
  <si>
    <t>Incumplimiento en los plazos establecidos para la suscripción y seguimiento de los acuerdos de gestión.</t>
  </si>
  <si>
    <t>Informar al jefe inmediato con el fin de dar un lineamiento desde la gerencia para el cumplimiento de la entrega de los acuerdos de gestión.</t>
  </si>
  <si>
    <t>Uso indebido de la información adquirida durante el ejercicio de auditoría.</t>
  </si>
  <si>
    <t>Posibilidad pedir o aceptar dádivas, favores o beneficios particulares, con el fin de manipular indebidamente los resultados de los informes de evaluación y seguimiento u ocultar hechos irregulares conocidos por los auditores.</t>
  </si>
  <si>
    <t xml:space="preserve">Almacenamiento de medios sin protección. Falta de controles de acceso físico. Ausencia de políticas de seguridad. Debilidades en los controles para la protección de la información. Inexistencia de lineamientos y procedimientos documentados. 'Debilidades en la protección, resguardo y confidencialidad de las evidencias y documentos recolectados durante el ejercicio auditor.
No se cuenta con un sistema de información o software de apoyo para la ejecución del plan anual de auditorías y para la captura de información sobre la gestión y resultados institucionales. </t>
  </si>
  <si>
    <t>Bajos niveles de agregación de valor para mejorar las operaciones en los procesos de gobierno, riesgos y control.</t>
  </si>
  <si>
    <t xml:space="preserve"> Inexistencia de lineamientos, controles y procedimientos documentados para el resguardo de la información insumo para los trabajos de auditoría y seguimiento.</t>
  </si>
  <si>
    <t>Concentración de poder.</t>
  </si>
  <si>
    <t>Excesiva discrecionalidad.</t>
  </si>
  <si>
    <t>Generación de alertas de manera inoportuna.</t>
  </si>
  <si>
    <t>Inadecuada seguimiento a la planeación Institucional.</t>
  </si>
  <si>
    <t>Divulgación de información confusa e inoportuna.</t>
  </si>
  <si>
    <t>Generación de alertas inoportunas.</t>
  </si>
  <si>
    <t>Dificultades en la contratación de estudios, demora en la emisión de respuestas o conceptos por parte de las entidades distritales.</t>
  </si>
  <si>
    <t>Multas, sanciones o demandas.</t>
  </si>
  <si>
    <t>Incumplimiento de los requisitos exigidos por las Entidades competentes para la entrega de las obras de urbanismo.</t>
  </si>
  <si>
    <t>Posibilidad de afectación económica y reputacional por multas, sanciones o demandas debido al incumplimiento de requisitos exigidos por las Entidades competentes para la entrega de las obras de urbanismo.</t>
  </si>
  <si>
    <t>La información generada en el instrumento de estructuración no está acorde a la realidad del proyecto.</t>
  </si>
  <si>
    <t>Demoras en la ejecución de proyectos de vivienda, suscritos a través de convenios.</t>
  </si>
  <si>
    <t>Posibilidad de afectación económica y reputacional por el sobrecosto en el proceso de adquisición debido a fallas en el seguimiento y control de las Instrucciones fiduciarias, notificaciones (Oferta y Expropiación), Insumos (Registros topográficos), y contestación en tiempo de recursos de reposición.</t>
  </si>
  <si>
    <t>No contar con los contratos que suministren bienes y servicios para la gestión y funcionamiento de la Empresa.</t>
  </si>
  <si>
    <t>Seguimiento inadecuado en los préstamos documentales y consultas en sala.</t>
  </si>
  <si>
    <t>Ausencia de medidas y acciones de conservación preventiva, que propendan la conservación de la memoria documental de la Empresa.</t>
  </si>
  <si>
    <t>Ausencia en la aplicación, actualización y seguimiento de la política, planes, programas e instrumentos que rigen la función archivística.</t>
  </si>
  <si>
    <t>Pérdida de información.</t>
  </si>
  <si>
    <t>Informar a los entes internos y externos de control.</t>
  </si>
  <si>
    <t>Vencimiento de términos judiciales.</t>
  </si>
  <si>
    <t>Descuido del apoderado en sus procesos judiciales.</t>
  </si>
  <si>
    <t>Posibilidad de afectación reputacional por el vencimiento de términos judiciales debido a descuido del apoderado en sus procesos judiciales.</t>
  </si>
  <si>
    <t>Reportar el abogado ante el Consejo Superior de la Judicatura.</t>
  </si>
  <si>
    <t xml:space="preserve">Manipulación indebida de documentos precontractuales. </t>
  </si>
  <si>
    <t xml:space="preserve">El Comité de Contratación mantiene reuniones periódicas que permiten la interacción con las áreas que solicitan iniciar diferentes procesos de contratación los cuales se encuentran inmersos en el Plan Anual de Adquisiciones y en el Plan de Inversión aprobados para cada vigencia, en este comité se realizan las recomendaciones frente al tipo de contratación, adicionalmente se verifican en cada uno de los planes el presupuesto designado.
Todas las decisiones quedan documentadas en actas. Cuando se detecte la falta de cumplimiento de requisitos en la documentación para adelantar la contratación, se informa al área solicitante y se devuelve el trámite correspondiente para realizar los ajustes necesarios. </t>
  </si>
  <si>
    <t>Realizar seguimiento al Plan Anual de Adquisiciones y Plan de Inversión con el fin de evidenciar el cumplimiento de lo programado dentro de la vigencia estimada.</t>
  </si>
  <si>
    <t>El abogado apoderado hace un seguimiento constante a sus procesos judiciales y con la finalidad de evitar la materialización del riesgo el dependiente judicial revisa día de por medio es decir, los lunes, miércoles y viernes, el estado de los procesos judiciales incorporando en la Matriz de Seguimiento las actuaciones que se deban surtir con la finalidad de generarle la alerta al abogado apoderado judicial.</t>
  </si>
  <si>
    <t>Retrasos y/o vencimiento en los trámites contractuales</t>
  </si>
  <si>
    <t>Desconocimiento de los procedimientos y políticas internas así como los tiempos establecidos por la entidad para llevar a cabo los trámites contractuales.</t>
  </si>
  <si>
    <t>El profesional asignado de la Dirección de Gestión Contractual cada vez que se radica una solicitud de contratación por parte de las áreas verifica la documentación aportada de norma vigente, para que la misma corresponda a los requisitos establecidos acorde con el tipo de contratación, a través de la Lista de Chequeo (FT-23 Lista de chequeo requisitos básicos de contratación), con el fin de validar el cumplimiento de los requisitos jurídicos establecidos en el Sistema Integrado de Gestión definidos en el Proceso de Gestión Contractual (según corresponda).
En caso de que se presente observaciones por parte del proceso de Gestión Contractual se devuelve la solicitud junto con los documentos para que el contratista del bien o servicio realice las correcciones pertinentes.</t>
  </si>
  <si>
    <t>Inobservancia de lineamientos, procedimientos y regulaciones ambientales internas por parte de los colaboradores y contratistas.</t>
  </si>
  <si>
    <t>Incumplimiento de requisitos legales ambientales.</t>
  </si>
  <si>
    <t>Posibilidad de afectación reputacional debido a una infraestructura de protección y contingencia desactualizada, así como debilidades en el proceso de realizar copias de seguridad, de manera que cause la pérdida de información institucional.</t>
  </si>
  <si>
    <t>Pérdida de la información institucional.</t>
  </si>
  <si>
    <t>Inoportunidad y/o deficiencia en el reporte de información financiera y tributaria.</t>
  </si>
  <si>
    <t>Debilidad en la entrega de la información por parte de los procesos.</t>
  </si>
  <si>
    <t>No disponibilidad de recursos económicos.</t>
  </si>
  <si>
    <t>Debilidad en la administración y seguimiento a la ejecución de recursos financieros.</t>
  </si>
  <si>
    <t>Alteración de la información financiera.</t>
  </si>
  <si>
    <t>Falta de conocimiento frente a la norma, la política y al manejo de las PQRS.</t>
  </si>
  <si>
    <t>Informar al jefe inmediato sobre la falla en la respuesta dada al ciudadano.
Programar reinducción frente al manejo del Sistema Bogotá te escucha.</t>
  </si>
  <si>
    <t>Amiguismo.
Fenecimiento o recepción de dádivas (D) Incumplimiento del plan de trabajo de auditoría Incumplimiento del código de ética del auditor y del estatuto de auditoria Incumplimiento de los procedimientos de auditoria. (D) Inobservancia del plan de trabajo de auditoría (D) Desconocimiento del código de ética del auditor y del estatuto de auditoría. (F) Personal con experiencia y capacidad para ejercer el control y la evaluación institucional (F) Cumplimiento del código de ética del auditor y del estatuto de auditoría.</t>
  </si>
  <si>
    <t>El auditor líder prepara el plan de trabajo de auditoría el cual es revisado por los auditores acompañantes y por la Jefe de la Oficina de Control Interno para asegurar que se cuente con toda la información necesaria para su ejecución. El Plan de Trabajo de Auditoría aprobado es remitido al líder del proceso y se solicita la información necesaria para la preparación de las pruebas de auditoria.</t>
  </si>
  <si>
    <t>Comunicar al proceso auditado la declaración del trabajo de auditoria como no conforme o nulo.
Analizar las causas que originaron el caso y rediseñar los controles operativos para prevenir la repetición de la situación detectada.
Investigar internamente el caso y, de encontrarse procedente, comunicar a la Dirección de Gestión Corporativa y de Control Disciplinario.</t>
  </si>
  <si>
    <t>Diseñar y aplicar el formato para suscribir la declaración de impedimentos y conflictos de interés de los auditores.</t>
  </si>
  <si>
    <t>Analizar las causas que originaron el caso y rediseñar los controles operativos para prevenir la repetición de la situación detectada.</t>
  </si>
  <si>
    <t>Realizar la Evaluación del Auditor.</t>
  </si>
  <si>
    <t>1. Gestionar el plan de mejoramiento producto de los resultados de la auditoría externa de pares realizada en la vigencia 2021 con el objeto de evaluar el estado de desempeño del proceso de Evaluación y Seguimiento de la Empresa.</t>
  </si>
  <si>
    <t>Investigar internamente el caso y, de encontrarse procedente, comunicar a la Dirección de Gestión Corporativa y de Control Disciplinario.</t>
  </si>
  <si>
    <t xml:space="preserve"> Afectación menor a 10 SMLMV .</t>
  </si>
  <si>
    <t xml:space="preserve"> El riesgo afecta la imagen de alguna área de la organización</t>
  </si>
  <si>
    <t xml:space="preserve"> Entre 10 y 50 SMLMV </t>
  </si>
  <si>
    <t xml:space="preserve"> Entre 50 y 100 SMLMV </t>
  </si>
  <si>
    <t xml:space="preserve"> El riesgo afecta la imagen de la entidad con algunos usuarios de relevancia frente al logro de los objetivos</t>
  </si>
  <si>
    <t xml:space="preserve"> Entre 100 y 500 SMLMV </t>
  </si>
  <si>
    <t xml:space="preserve"> Mayor a 500 SMLMV </t>
  </si>
  <si>
    <t xml:space="preserve"> El riesgo afecta la imagen de la entidad a nivel nacional, con efecto publicitarios sostenible a nivel país</t>
  </si>
  <si>
    <t>El riesgo afecta la imagen de la entidad internamente, de conocimiento general, nivel interno, de junta directiva y accionistas y/o de proveedores</t>
  </si>
  <si>
    <t xml:space="preserve"> 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</si>
  <si>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</si>
  <si>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 xml:space="preserve"> El riesgo afecta la imagen de la entidad con efecto publicitario sostenido a nivel de sector administrativo, nivel departamental o municipal</t>
  </si>
  <si>
    <t>Plan de acción (solo para la opción reducir)</t>
  </si>
  <si>
    <t>Falta de conocimiento por parte de evaluados y evaluadores sobre la normatividad y procedimiento que regula los acuerdos de gestión.</t>
  </si>
  <si>
    <t>Posibilidad de afectación económica y reputacional por factores asociados al incumplimiento en los plazos establecidos para la suscripción y seguimiento de los acuerdos de gestión, debido a la falta de conocimiento por parte de evaluados y evaluadores sobre la normatividad y procedimiento que regula los acuerdos de gestión.</t>
  </si>
  <si>
    <t>Posibilidad de afectación reputacional debido a retrasos y/o vencimiento en los trámites contractuales por desconocimiento de los procedimientos y políticas internas así como los tiempos establecidos por la entidad para llevar a cabo los trámites contractuales.</t>
  </si>
  <si>
    <t>Inadecuada implementación del SG- SST.</t>
  </si>
  <si>
    <t>Posibilidad de afectación económica y reputacional por inadecuada implementación del SG- SST debido al desconocimiento de las necesidades de la entidad.</t>
  </si>
  <si>
    <t>El profesional de Seguridad y Salud en el Trabajo, al inicio de cada año, propone el Plan del SST que contiene las actividades a desarrollar durante la vigencia de acuerdo con lo establecido en la normatividad y a las necesidades de la empresa, las cuales se identifican a partir de diferentes instrumentos (encuestas, diagnósticos, matriz de riesgos y peligros). Este Plan es presentado ante el Comité Institucional de Gestión y Desempeño para su aprobación con previo visto bueno del profesional de Seguridad y Salud en el Trabajo, el Líder del equipo de trabajo de Talento Humano y del Subgerente de Gestión Corporativa. El Plan del SST cuenta con cronogramas de actividades a desarrollar en la vigencia que aplique.</t>
  </si>
  <si>
    <t>Actualización anual a la matriz legal de Salud y Seguridad en el Trabajo. (matriz actualizada).</t>
  </si>
  <si>
    <t xml:space="preserve">Baja participación en las actividades PETH. </t>
  </si>
  <si>
    <t>Desarticulación entre la identificación de necesidades y cronograma de actividades institucionales con el plan de actividades del Plan Estratégico de Talento Humano (Capacitación y Bienestar).
'Inadecuada priorización de actividades.</t>
  </si>
  <si>
    <t>Posibilidad de afectación económica y reputacional debido a la baja participación en las actividades PETH por la desarticulación entre la identificación de necesidades y cronograma de actividades institucionales con el plan de actividades del Plan Estratégico de Talento Humano (Capacitación y Bienestar), así como una inadecuada priorización de actividades, lo cual genera baja participación en las actividades.</t>
  </si>
  <si>
    <t>Seguimiento trimestral al cumplimiento de las actividades establecidas en el Plan Estratégico del Talento Humano del Plan de bienestar y capacitación.</t>
  </si>
  <si>
    <t>Antes del cumplimiento del plazo de suscripción de los acuerdos de gestión, el profesional de talento humano capacita a los Gerentes Públicos que ingresan a la planta sobre la suscripción y seguimiento de los Acuerdos de Gestión a través de una inducción, y a quienes ya estén vinculados cuando soliciten la capacitación, lo anterior acorde con la Guía metodológica de acuerdos de gestión y previo al vencimiento de los plazos de suscripción, seguimiento o cierre de los acuerdos de gestión.
Una vez suscritos los acuerdos de gestión, son enviados al profesional de talento humano quien una vez validados los envía para aprobación y firma.
Una vez suscritos y firmados, semestralmente, el profesional de talento humano envía correo electrónico solicitando el seguimiento y evaluación de los acuerdos a los gerentes públicos informando las fechas del vencimiento.</t>
  </si>
  <si>
    <t>Realizar un reporte del estado del seguimiento y evaluación de los acuerdos de gestión al o la Subgerente de Gestión Corporativa con el fin de alertar sobre el cumplimiento de los gerentes públicos. En dado caso de presentarse incumplimiento notificar por escrito.</t>
  </si>
  <si>
    <t xml:space="preserve">La Jefe de la Oficina de Control Interno convoca y desarrolla la reunión de apertura y conjuntamente con el auditor líder presenta el plan de trabajo de auditoría al líder del proceso y su equipo de trabajo convocado, para recibir comentarios y ajustes, queda documentado en los documentos de la Auditoria. (Plan de Trabajo de Auditoria ajustado - listado Asistencia Reunión de Apertura) </t>
  </si>
  <si>
    <t>Realizar socialización del Estatuto y Código de Ética de Auditoria a los Auditores mínimo una vez año.</t>
  </si>
  <si>
    <t>3. Documentar dentro del estatuto de auditoría los lineamientos en materia de protección y uso no autorizado de la información obtenida durante el ejercicio de auditoría y realizar socialización del Estatuto y Código de Ética de Auditoria a los Auditores mínimo una vez año.</t>
  </si>
  <si>
    <t>Desactualización de estudios y diseños del proyecto.</t>
  </si>
  <si>
    <t>El profesional de apoyo al PETH estructura el cronograma anualmente sobre un diagnóstico de necesidades actualizado periódicamente y en el marco de las políticas distritales así como la normatividad del sector con el fin de que el plan responda a las necesidades y expectativas reales de los colaboradores y en cumplimiento de las políticas que lo enmarcan. Dicho cronograma se incorpora en el PETH, el cual es presentado ante el Comité Institucional de Gestión y Desempeño para su aprobación con previo visto bueno del profesional de apoyo al PETH, Líder del equipo de trabajo de Talento Humano y del Subgerente de Gestión Corporativa.</t>
  </si>
  <si>
    <t>Realizar el seguimiento mensual sobre el cumplimiento de los entregables.</t>
  </si>
  <si>
    <t>El Comité Financiero y de Inversiones realiza el seguimiento al flujo de caja trimestralmente, en el marco de las sesiones del comité cada tres meses, según lo establecido en la Res. 263 de 2020, con el propósito de tener el control sobre la disponibilidad de recursos y al nivel de liquidez óptimo para la Empresa, como evidencia de los seguimiento generados quedan las actas de las sesiones de cada Comité, en las actas también se describen las acciones a ejecutar en caso de encontrar desviaciones.</t>
  </si>
  <si>
    <t>Realizar la Planeación Financiera de la empresa a ejecutar en cada vigencia.</t>
  </si>
  <si>
    <t>Realizar la revisión y actualización del procedimiento de Conciliación de Información (PD-87).</t>
  </si>
  <si>
    <t>Elaborar y socializar un protocolo de seguridad de tesorería.</t>
  </si>
  <si>
    <t>Planeación y Seguimiento Integral de Proyectos</t>
  </si>
  <si>
    <t>Realizar el seguimiento integral a los proyectos urbanos verificando su ejecución de acuerdo con los objetivos y la misionalidad de la empresa a partir de las diferentes etapas y fases definidas.</t>
  </si>
  <si>
    <t>Inicia con la verificación y actualización del inventario de proyectos, comprende la administración del instrumento de seguimiento, generación de alertas, custodia a la información y finaliza con la gestión de informes para toma de decisiones.</t>
  </si>
  <si>
    <r>
      <t xml:space="preserve">Actualizar el procedimiento </t>
    </r>
    <r>
      <rPr>
        <i/>
        <sz val="10"/>
        <color theme="1"/>
        <rFont val="Arial Narrow"/>
        <family val="2"/>
      </rPr>
      <t>"Modelaciones Financieras de los Proyectos"</t>
    </r>
    <r>
      <rPr>
        <sz val="10"/>
        <color theme="1"/>
        <rFont val="Arial Narrow"/>
        <family val="2"/>
      </rPr>
      <t>, con el propósito de documentar los controles establecidos.</t>
    </r>
  </si>
  <si>
    <t>Incumplimiento en la oportunidad de las respuestas</t>
  </si>
  <si>
    <t>falta de atención al requerimiento por las áreas técnicas</t>
  </si>
  <si>
    <t>Afectación reputacional debido al incumplimiento en la generación de respuestas de PQRS por falta de atención oportuna a las mismas.</t>
  </si>
  <si>
    <t>Mapa Riesgos Institucional Empresa de Renovación y Desarrollo Urbano de Bogotá - 2022</t>
  </si>
  <si>
    <t>El o la profesional de Seguridad y Salud en el Trabajo anualmente revisa la lista de chequeo de la Resolución 0312 de 2019 donde se valida el cumplimiento de los requisitos mínimos para la implementación del Sistema de Gestión de Seguridad y Salud en el Trabajo, obteniendo así la calificación de avance del sistema, a partir del cual se realiza la formulación de planes de trabajo anuales y planes de mejora, éstos últimos en dado caso que aplique. Esta evaluación es un requisito normativo que se evidencia a través de la aplicación de lista de chequeo (Evaluación inicial de la Resolución 0312 de 2019.</t>
  </si>
  <si>
    <t>Cada vez que exista una capacitación superior a 8 horas</t>
  </si>
  <si>
    <t>Posibilidad de impacto económico y reputacional por la pérdida de los activos fijos de la Empresa por falta de controles, seguimientos de los mismos y no contar con la ubicación y el responsable de los activos fijos.</t>
  </si>
  <si>
    <t>Pérdida de los activos fijos de la Empresa</t>
  </si>
  <si>
    <t>Falta de controles, seguimientos de los mismos y no contar con la ubicación y el responsable de los activos fijos.</t>
  </si>
  <si>
    <t>El profesional responsable del inventario realiza la actualización de los inventarios cada vez que se produzca el ingreso o salida de un colaborador, se reporten cambios por el responsable de los activos, jefe o supervisor de las dependencias y cuando haya cambios de los equipos de cómputo validados e informados previamente por el proceso de Gestión de TIC.
Así mismo, el profesional responsable del inventario ejecuta las actividades descritas en el procedimiento PD-59 Administración de Inventarios, por lo menos una (1) vez al año con el propósito de identificar, verificar, analizar y actualizar el inventario de los bienes de propiedad o administrados por la Empresa. 
En caso de presentarse novedades, se procede a ejecutar los procedimientos: PD-21 Baja de bienes servibles no utilizables y bienes inservibles y PD-22 Pérdida de Bienes.</t>
  </si>
  <si>
    <t>La Subgerencia de Gestión Corporativa envía comunicados a través del correo institucional recordando los lineamientos establecidos para un adecuado uso de los elementos asignados, mínimo dos veces al año.</t>
  </si>
  <si>
    <t>El profesional de recursos físicos mensualmente realiza el seguimiento al plan de adquisiciones y plan de contratación de Gestión de Servicios Logísticos para adelantar los procesos contractuales que se requieren conforme a las necesidades evidenciadas para el normal funcionamiento de la empresa, en este mismo sentido El/La Subgerente de Gestión Corporativa y/o el apoyo que se designe para la supervisión, realiza de manera mensual la el seguimiento administrativo, técnico, jurídico y financiero  a los contratos suscritos para la adquisición de los bienes y servicios de la Empresa, dejando como evidencia los informes a la ejecución del contrato donde se detalla su cumplimiento para el trámite de los pagos correspondientes. En caso de presentarse novedades se requiere al contratista de acuerdo con los lineamientos establecidos por el manual de supervisión de la Empresa.</t>
  </si>
  <si>
    <t>La Subgerencia de Gestión Corporativa realiza reuniones con los contratistas de servicios logísticos por lo menos una vez al mes para hacer seguimiento y control a las obligaciones y servicios contratados.</t>
  </si>
  <si>
    <t>Informar al jefe del área, para tomar las medidas pertinentes con el fin de cubrir los bienes y servicios que no se encuentran en el Plan Anual de Adquisiciones.
Hacer efectivas las garantías contractuales especificadas en cada uno de los contratos.</t>
  </si>
  <si>
    <t>Posibilidad de que, por acción u omisión, se use el poder para la destinación de Recursos Públicos de forma indebida en favor de un privado o tercero.</t>
  </si>
  <si>
    <t>Amiguismo Fenecimiento o recepción de dádivas, Incumplimiento del código de ética.</t>
  </si>
  <si>
    <t>Los profesionales de la Subgerencia de Gestión Corporativa al inicio de cada vigencia solicita a las dependencias reportar los bienes y servicios requeridos para la operación de cada proceso. Este listado es revisado y validado para garantizar que cumpla con los lineamientos establecidos por el proceso de Gestión Contractual. En caso de encontrar bienes y servicios que no cumplan con dichos requerimientos, se valida su pertinencia con la dependencia para determinar si es necesaria la compra del mismo o de un bien o servicio substituto.
Es de anotar, que la contratación de bienes y servicios es presentada al Comité de Contratación para su revisión y aprobación; y cuando se presentan observaciones, el equipo de trabajo de las áreas que intervienen en los procesos contractuales deben realizar los ajustes correspondientes.</t>
  </si>
  <si>
    <t>La Subgerencia de Gestión Corporativa envía comunicados a través del correo institucional socializando los principios y valores éticos (integridad), mínimo dos veces al año.</t>
  </si>
  <si>
    <t>Informa a las instancias de Control Interno correspondientes.</t>
  </si>
  <si>
    <t>Hacer la reposición del bien a través de la compañía de seguros e informar a las instancias de Control Interno correspondientes.</t>
  </si>
  <si>
    <t>Anualmente y previo a la aprobación del Plan de Acción Institucional de cada vigencia, a través de los medios de comunicación interna y externa, se invita a participar en la construcción del Plan de la Empresa, para que los servidores públicos, los contratistas, la ciudadanía y las demás partes interesadas conozcan, debatan, formulen apreciaciones, sugerencias y propuestas sobre el proyecto del Plan.
De igual manera, el seguimiento al Plan se publica de manera cuatrimestral en la eruNET y página web de la Empresa.</t>
  </si>
  <si>
    <t>Posibilidad de que por acción u omisión haya priorización de planes, programas o proyectos de inversión o de toma de decisiones para favorecer intereses particulares.</t>
  </si>
  <si>
    <t>Posibilidad de aceptar o solicitar dádivas para estructurar documentos técnicos preliminares orientados a un interés particular.</t>
  </si>
  <si>
    <t>Los profesionales de apoyo a la supervisión realizan seguimiento a las Interventorías, mediante la revisión de los informes de Interventoría y acompañamiento en comités (actas) en las cuales se evidencia el estado del proyecto. La interventoría es quien realiza el recibo de la obra, bienes o insumos contratados, valida, y aprueba productos, estudios y obras, verificando la cantidad y calidad de los bienes servicios u obras contratadas y aprobación o rechazo de las actas de obra ejecutada, por lo cual la supervisión será garante del cumplimiento de las labores de la interventoría, y ésta a su vez del cumplimiento de las obligaciones del consultor o constructor.</t>
  </si>
  <si>
    <t xml:space="preserve">La Jefe de la Oficina de Gestión Social realiza los Comités de Autoevaluación y Seguimiento de manera trimestral donde se hace seguimiento al avance del proceso de gestión social, en el marco de la adquisición predial, al cumplimiento de los términos establecidos por la normatividad y al cumplimiento del Plan de Gestión Social, los cuales quedan documentados en actas y en los formatos de seguimiento con las medidas adoptadas según los resultados y en caso de detectar alguna situación de uso indebido de información se informa a las instancias de Control correspondiente. </t>
  </si>
  <si>
    <t>Debilidad en la aplicación de controles a las operaciones financieras.</t>
  </si>
  <si>
    <t>Posibilidad de que por acción u omisión haya favorecimiento a terceros en los procesos de comercialización.</t>
  </si>
  <si>
    <r>
      <rPr>
        <b/>
        <sz val="10"/>
        <rFont val="Arial Narrow"/>
        <family val="2"/>
      </rPr>
      <t>RIESGO ASOCIADO A TRÁMITES:</t>
    </r>
    <r>
      <rPr>
        <sz val="10"/>
        <rFont val="Arial Narrow"/>
        <family val="2"/>
      </rPr>
      <t xml:space="preserve">
Posibilidad de aceptar o solicitar dádivas de los ciudadanos para la asesoría del trámite "Cumplimiento de la obligación VIS-VIP a través de compensación económica".</t>
    </r>
  </si>
  <si>
    <t>El Consultor de la Gerencia de Vivienda realiza periódicamente asesorías virtuales a los ciudadanos que solicitan información respecto al tramité de liquidación para el trámite "Cumplimiento de la obligación VIS-VIP a través de compensación económica", informando adicionalmente que el trámite no tiene ningún costo y dejando registro de la asesoría virtual realizada. Aleatoriamente, el líder operativo del SIG realiza seguimiento y validación a las asesorías brindadas, para determinar el servicio brindado y en caso de encontrar alguna situación, informar al jefe inmediato.</t>
  </si>
  <si>
    <t>Posibilidad de que por acción u omisión haya pérdida de la confidencialidad de la información obtenida para la ejecución de los trabajos de auditoría debido a debilidades en los mecanismos de control para su protección y resguardo.</t>
  </si>
  <si>
    <t>Informar al jefe inmediato para dar lineamientos.
Garantizar el profesional idóneo para la formulación e implementación del plan de SST.</t>
  </si>
  <si>
    <t>Realizar seguimiento a alertas y avance de los proyectos, en la instancia de seguimiento "Comité de Proyectos".</t>
  </si>
  <si>
    <t>Inadecuado cumplimiento de los lineamientos para el diligenciamiento de la matriz de seguimiento, en su veracidad y oportunidad por parte de los lideres de proyecto que permitan la generación de alertas.</t>
  </si>
  <si>
    <t>Posibilidad de afectación reputacional por la generación de alertas inoportunas debido a un inadecuado cumplimiento de los lineamientos para el diligenciamiento de la matriz de seguimiento, en su veracidad y oportunidad por parte de los lideres de proyecto que permitan la generación de alertas.</t>
  </si>
  <si>
    <t>Los profesionales de la Subgerencia de Planeación y Administración de Proyectos verifican semanalmente la información en la Matriz de Seguimiento, garantizando su veracidad de acuerdo al cronograma Línea Base.
Si hay información pendiente por actualizar, se solicita por correo electrónico al líder del proyecto, realizar el ajuste correspondiente en la Matriz de Seguimiento en el siguiente corte. Dicha información es utilizada para la generación de alertas y reportes que se requieran por parte de los grupos de interés.</t>
  </si>
  <si>
    <t>Conciliar Plan de Contingencia con los miembros del Comité de Proyectos.</t>
  </si>
  <si>
    <t>Posibilidad de que por acción u omisión se efectúen operaciones de salida de recursos o inversiones sin autorización, para beneficio propio o de terceros.</t>
  </si>
  <si>
    <r>
      <t xml:space="preserve">Los funcionarios de la Empresa cada vez que asisten a una capacitación superior a 8 horas deben ejecutar el Plan Padrino definido en la </t>
    </r>
    <r>
      <rPr>
        <b/>
        <i/>
        <sz val="10"/>
        <color theme="1"/>
        <rFont val="Arial Narrow"/>
        <family val="2"/>
      </rPr>
      <t>GI-35 Guía para implementar el programa Plan Padrino Entornos Enseñar - Aprender</t>
    </r>
    <r>
      <rPr>
        <sz val="10"/>
        <color theme="1"/>
        <rFont val="Arial Narrow"/>
        <family val="2"/>
      </rPr>
      <t>, como evidencia  de su ejecución se realiza el envió a la Subgerencia de Gestión Corporativa del formato</t>
    </r>
    <r>
      <rPr>
        <i/>
        <sz val="10"/>
        <color theme="1"/>
        <rFont val="Arial Narrow"/>
        <family val="2"/>
      </rPr>
      <t xml:space="preserve"> FT- 141 Evaluación de las actividades de capacitación</t>
    </r>
    <r>
      <rPr>
        <sz val="10"/>
        <color theme="1"/>
        <rFont val="Arial Narrow"/>
        <family val="2"/>
      </rPr>
      <t xml:space="preserve"> o la Encuesta de satisfacción de programas de capacitación de Google Forms que se remite vía correo electrónico.
Así mismo, treinta (30) días hábiles posteriores a la culminación del Plan Padrino, los apadrinados y sus jefes inmediatos que pertenecen a la planta de personal de la Empresa, diligencian el formato </t>
    </r>
    <r>
      <rPr>
        <i/>
        <sz val="10"/>
        <color theme="1"/>
        <rFont val="Arial Narrow"/>
        <family val="2"/>
      </rPr>
      <t>FT-142 Medición de impacto de la capacitación</t>
    </r>
    <r>
      <rPr>
        <sz val="10"/>
        <color theme="1"/>
        <rFont val="Arial Narrow"/>
        <family val="2"/>
      </rPr>
      <t xml:space="preserve"> y lo remiten a la Subgerencia de Gestión Corporativa.</t>
    </r>
  </si>
  <si>
    <t>Posibilidad de que, por acción u omisión, se use el poder para manipular de manera indebida los procesos judiciales para favorecer un interés particular.</t>
  </si>
  <si>
    <t>El Subgerente Jurídico cada vez que conoce de un proceso judicial o extrajudicial en el que la ERU actúa como parte activa o pasiva, designa un abogado que lleva la defensa, el abogado-apoderado revisa el proceso y valora las posibilidades de éxito procesal realizando la evaluación jurídica preliminar, esta evaluación se pone en conocimiento de los demás abogados del área de Defensa Judicial en las reuniones de equipo, en caso de requerirse se realiza una análisis que sirve para fortalecer la evaluación realizada. Las decisiones tomadas quedan registradas en las actas de seguimiento a los procesos judiciales donde se plasma la estrategia del abogado y las demás recomendaciones de sus compañeros.</t>
  </si>
  <si>
    <t>El Dependiente Judicial realiza control y vigilancia a los procesos judiciales a través de la Matriz de Seguimiento, en la cual se dejan las alertas que correspondan como insumo para los apoderados.</t>
  </si>
  <si>
    <t>Los abogados deben cargar las fichas y las actas del Comité de Defensa Judicial, Conciliación y Repetición al SIPROJ WEB.</t>
  </si>
  <si>
    <t>Revisión del estado general de los procesos dentro del Comité de Autoevaluación.</t>
  </si>
  <si>
    <t>Posibilidad de que, por acción u omisión, se use el poder para sustraer, incluir y/o adulterar documentos en los expedientes (misionales y de gestión) en beneficio de terceros.</t>
  </si>
  <si>
    <t xml:space="preserve">El Técnico de Gestión Documenta realiza capacitaciones a los colaboradores del proceso de Gestión Documental con respecto al cumplimiento del procedimiento de préstamo y consulta documental. </t>
  </si>
  <si>
    <t>La profesional de Conservación y Restauración de Bienes Muebles mensualmente implementa el Plan de Conservación Documental desarrollando las actividades establecidas en el Programa de Monitoreo y control de condiciones ambientales, en caso de presentarse ajustes a la ejecución del plan se realiza el registro en el plan dejando la trazabilidad de éstos.</t>
  </si>
  <si>
    <t>Posibilidad de que por acción, omisión o abuso de poder, se profieran decisiones a favor o en contra de los sujetos procesales en beneficio propio o de terceros.</t>
  </si>
  <si>
    <t>Posibilidad de afectación reputacional por la materialización de la figura jurídica de la prescripción establecida en la ley, debido a debilidades en el debido control de los términos que permita que se tomen las decisiones de fondo en los plazos establecidos.</t>
  </si>
  <si>
    <t>Mensualmente se realizan reuniones donde se actualiza el archivo de seguimiento disponible en Drive con las actuaciones realizadas en el mes y se verifican los términos.</t>
  </si>
  <si>
    <t>Contribuir al fortalecimiento y protección de los principios de la función pública a través de la generación de actividades de prevención en materia disciplinaria, así como adelantar las actuaciones administrativas a los servidores y exservidores públicos de la Empresa, cuando incurran en conductas que puedan constituir faltas disciplinarias de conformidad con lo establecido en la normatividad vigente.</t>
  </si>
  <si>
    <t>Control Interno Disciplinario</t>
  </si>
  <si>
    <t>Inicia con el diseño de estrategias de prevención y socialización relacionadas con asuntos disciplinarios, contempla el análisis de las quejas o denuncias, o remisiones por competencia o informe de autoridad competente, la generación de las indagaciones previas y/o las investigaciones disciplinarias por las infracciones a la Constitución, las leyes y manuales de funciones o por la omisión o extralimitación en el ejercicio de sus funciones, de conformidad con lo establecido en la Ley.</t>
  </si>
  <si>
    <t>Materialización de la figura jurídica de la prescripción establecida en la ley.</t>
  </si>
  <si>
    <t>Debilidades en el debido control de los términos que permita que se tomen las decisiones de fondo en los plazos establecidos.</t>
  </si>
  <si>
    <t>Presiones indebidas por un tercero o un superior jerárquico.
Recibir o solicitar dádivas o beneficios a nombre propio o de un tercero.</t>
  </si>
  <si>
    <t>Interés particular del servidor público.</t>
  </si>
  <si>
    <t>Elaborar un informe para ser enviado al superior jerárquico o al ente de control competente, dependiendo de la naturaleza del cargo.</t>
  </si>
  <si>
    <t>En cada etapa de la instrucción la Abogada sustanciadora verifica los términos establecidos en la ley en el archivo de seguimiento disponible en Drive y a partir de ello, proyecta las decisiones las cuales son entregadas al Jefe de la Oficina de Control Disciplinario Interno, quien verifica los términos y las decisiones a tomar de acuerdo a la norma. En caso de encontrar prescripciones se toma la decisión de terminar el proceso a través de auto.</t>
  </si>
  <si>
    <t>Posibilidad de que, por acción u omisión, se use el poder para uso indebido de información privilegiada para favorecimiento de un interés particular.</t>
  </si>
  <si>
    <t>Cada vez que se requiera, el Equipo de Estudios Previos realiza la revisión del anexo técnico aportado por el área generadora de la necesidad del proceso de contratación y elabora los documentos técnicos (Estudios previos, Anexo económico y matriz de riesgos), los cuales son revisados en primera instancia por el líder del Equipo de Estudios Previos y por el área generadora de la necesidad de contratación, las observaciones presentadas son ajustadas por el Equipo de Estudios Previos. 
Una vez se han ajustado los documentos, éstos son remitidos al abogado designado por la Dirección de Gestión Contractual para una revisión y aval inicial previos al Comité de Contratación. El Subgerente de Desarrollo de Proyectos realiza la radicación de los documentos de estudios previos a la Dirección de Gestión Contractual, solicitando agendamiento del comité de contratación y adelantar el proceso de selección correspondiente.
Luego, la Dirección de Gestión Contractual presenta el proyecto para recomendación del Comité de Contratación, se atienden las observaciones (cuando aplique) y finalmente la Dirección de Gestión Contractual elabora los términos de referencia correspondientes. Si el proceso se debe adelantar con recursos de Fiducia, se presenta al Comité Fiduciario para aprobación. Una vez aprobado por este Comité se remite al área jurídica de la Fiducia para revisión de los términos de referencia y posterior publicación por parte de la DGC en SECOP II.</t>
  </si>
  <si>
    <t>Socializar el riesgo identificado de corrupción, los controles establecidos en el procedimiento PD-95 Estructuración del proceso de selección de contratistas para los proyectos que adelante la Empresa, la Política operativa de Integridad, Conflicto de Intereses y Gestión Anti soborno y el Código de Integridad.</t>
  </si>
  <si>
    <t>Posibilidad de que, por acción u omisión, haya uso indebido de información privilegiada para favorecimiento de un interés particular.</t>
  </si>
  <si>
    <t>Cada vez que se requiere llevar a cabo una contratación, el abogado de la Subgerencia de Gestión Urbana, verifica que en los contratos de prestación de servicios se incluya la cláusula de confidencialidad en cada uno, con el fin de dar un manejo adecuado de la información por parte de los contratistas, y en caso de no encontrarla, se solicita su incorporación a la Dirección de Gestión Contractual.
El Subgerente de Gestión Urbana de manera permanente ejerce la supervisión en las diferentes actividades que se adelantan en la Subgerencia por parte de los contratistas, en las que se pueden identificar situaciones que generen riesgo en el manejo de información privilegiada del área. En caso de encontrar inconsistencias se reportan las alarmas a los organismos de Control Interno y externo correspondiente, absteniéndose de emitir el Certificado de Cumplimiento.
Trimestralmente el Líder SIG y el Jefe del Área se reúnen para realizar los Comités de Autoevaluación, en los cuales revisan temas de manejo adecuado de la información y si se presentan inconsistencias, se reportan en el acta de los comités de autoevaluación y ante los organismos de Control Interno y externo correspondiente.</t>
  </si>
  <si>
    <t>Si se encuentran inconsistencias se reportan las alarmas al supervisor del contrato y se informa la situación a los organismos de control interno y externo correspondiente.</t>
  </si>
  <si>
    <r>
      <t>Previo a la entrega de un préstamo documental en físico, los colaboradores de Gestión Documental verifican el contenido y estado del expediente para asegurar su integralidad y validan que se cuente con el requerimiento por correo electrónico de la dependencia solicitante. Una vez validado todo, se realiza el préstamo documental diligenciando el formato</t>
    </r>
    <r>
      <rPr>
        <i/>
        <sz val="10"/>
        <color theme="1"/>
        <rFont val="Arial Narrow"/>
        <family val="2"/>
      </rPr>
      <t xml:space="preserve"> FT-111 Registro Préstamo de Documentos</t>
    </r>
    <r>
      <rPr>
        <sz val="10"/>
        <color theme="1"/>
        <rFont val="Arial Narrow"/>
        <family val="2"/>
      </rPr>
      <t>. Tres días previos al vencimiento del préstamo, los colaboradores de Gestión Documental solicitan la devolución o renovación del mismo a través de correo electrónico. En caso de devolución del expediente, los colaboradores de Gestión Documental verifican el contenido y estado del expediente para asegurar su integralidad y en caso de encontrar inconsistencias se solicita al responsable subsanar las novedades para poder recibirlo.</t>
    </r>
  </si>
  <si>
    <t>La Gestora del Sistema de Información de Procesos Judiciales SIPROJ verifica mensualmente que los abogados, una vez se genere cualquier actuación judicial, actualicen el SIPROJ adjuntando la respectiva documentación. En caso de encontrar desviaciones se solicita la actualización inmediata de la información a través de correo electrónico.</t>
  </si>
  <si>
    <t>Al inicio de cada vigencia el Gestor Senior 1 y el delegado para la empresa ante la Alcaldía Mayor de Bogotá, establecen el cronograma de cualificación para los módulos estándar de acuerdo con la necesidad de la empresa (temáticas, fechas), el cual se envía a la Subgerencia de Gestión Corporativa - Talento Humano, para su respectiva inclusión dentro de las actividades del Plan Estratégico de Talento Humano y posterior ejecución. Conforme al cronograma, el Gestor Senior 1 realiza un seguimiento de dicho cronograma para verificar la asistencia de la Empresa a dichos eventos, y en caso de encontrar inasistencia se solicita el material a la Alcaldía Mayor para socializar al interior de la Empresa.
Es de anotar que la Cualificación tiene por objetivo generar esas habilidades comportamentales requeridas para el trato con el ciudadano, estas actividades de cualificación pueden generarse por un capacitador o por una aplicación, resultado de las mismas quedan los listados de asistencia y la presentación.</t>
  </si>
  <si>
    <t>A demanda</t>
  </si>
  <si>
    <t>El Gestor Senior 1 de atención al ciudadano cada vez que ingresa un colaborador genera la inducción en las temáticas de Atención al Ciudadano, resultado de esta reunión quedan las grabaciones y las listas de asistencia.</t>
  </si>
  <si>
    <t>El Servidor del punto de contacto envía al profesional de Atención al Ciudadano al finalizar el mes el reporte de las quejas y reclamos, para que sea incorporado en el registro en la Matriz de seguimiento a quejas y reclamos y de acuerdo con la magnitud de la queja o reclamo los mismos son elevados al Comité Institucional de Gestión y Desempeño. De otra parte, el profesional Gestor 1 de Atención al Ciudadano realiza el alcance al seguimiento del informe mensual de calidad en las respuestas emitido por la Alcaldía Mayor de Bogotá, mediante comunicado interno informando el incumplimiento en los criterios de la oportunidad, calidez, la calidad, coherencia y manejo del sistema, PQRS, a las áreas solicitando un plan de mejoramiento, en los casos que corresponda.</t>
  </si>
  <si>
    <t>Realizar jornadas de reinducción y capacitación del manejo del sistema Bogotá te escucha.</t>
  </si>
  <si>
    <t>Cada vez que se inicia una indagación previa se verifican las pruebas existentes y la Abogada sustanciadora proyecta el auto de apertura de investigación disciplinaria, posteriormente de acuerdo a los términos y con base en las pruebas que hayan sido allegadas dentro de los expedientes disciplinarios por las áreas o entidades a las que se les solicitó, se elabora pliego de cargos o el auto de terminación y archivo correspondiente y lo entrega al Jefe de la Oficina de Control Disciplinario Interno, quien verifica el sentido del acto administrativo con fundamento en la documentación entregada y determina si está ajustada o no la decisión a derecho.</t>
  </si>
  <si>
    <t>Mensualmente se realizan reuniones donde se revisan los expedientes priorizados en los que el recaudo de pruebas se haya finalizado, llegando a un acuerdo respecto de la decisión que se adoptará con las pruebas recaudadas y en ese sentido la abogada sustanciadora elabora el proyecto, igualmente se hace seguimiento a las solicitudes de pruebas dentro de los expedientes que se encuentren en términos para tomar decisiones respecto de la formulación de cargos o del auto de terminación y archivo definitivo.</t>
  </si>
  <si>
    <t>Respuestas a los ciudadanos que incumplen los criterios de calidad.</t>
  </si>
  <si>
    <t>Posibilidad de afectación reputacional por respuestas a los ciudadanos que incumplen los criterios de calidad debido a falta de conocimiento frente a la norma, la política y al manejo del sistema de PQRS.</t>
  </si>
  <si>
    <t>En los casos que corresponda se emite un memorando a la dependencia en la que se presenta la situación con copia a Oficina de Control Interno reportando el hecho y se solicita reinducción y/o capacitación y plan mejoramiento</t>
  </si>
  <si>
    <t>Dar traslado con el auto de prescripción a la Personería o a la Procuraduría para que se tomen las decisiones pertinentes.</t>
  </si>
  <si>
    <t>Gestión del Conocimiento y la Innovación</t>
  </si>
  <si>
    <t>Desarrollar y fortalecer la Gestión del Conocimiento e Innovación de la Empresa, mediante la adopción e implementación de instrumentos, herramientas, metodologías y acciones innovadoras que permitan materializar ideas, generar y preservar el conocimiento, tomar decisiones basada en evidencias y generar una cultura de innovación que conlleven al mejoramiento del desempeño de la organización.</t>
  </si>
  <si>
    <t>Inicia con la gestión de conocimiento de la empresa, así como la definición de las temáticas, líneas y retos de innovación, comprende la implementación de mecanismos para generación o construcción del conocimiento y la innovación, su sistematización o documentación y finaliza con la disposición y socialización de las lecciones aprendidas y productos de conocimiento.</t>
  </si>
  <si>
    <t>Fuga de conocimiento.</t>
  </si>
  <si>
    <t>Desactualización del conocimiento tácito y explícito.</t>
  </si>
  <si>
    <t>Posibilidad de afectación reputacional por la fuga del conocimiento debido a la desactualización del conocimiento tácito y explícito de los procesos.</t>
  </si>
  <si>
    <t>Documentar los lineamientos para controlar la fuga del conocimiento, así como la definición de las herramientas de monitoreo y seguimiento.</t>
  </si>
  <si>
    <t>Acción de Contingencia ante posible materialización</t>
  </si>
  <si>
    <t>Generar espacios con los involucrados, para realizar el levantamiento de la información, documentarla, publicarla y socializarla.</t>
  </si>
  <si>
    <t>Se establecerá una vez se tengan definidos los  lineamientos para controlar la fuga del conocimiento.</t>
  </si>
  <si>
    <t>Seguimiento Controles</t>
  </si>
  <si>
    <t>Seguimiento Acciones de Tratamiento</t>
  </si>
  <si>
    <t>¿Se materializo el riesgo?</t>
  </si>
  <si>
    <t>Seguimiento Acciones de Contingencia</t>
  </si>
  <si>
    <t xml:space="preserve">Observaciones </t>
  </si>
  <si>
    <t>Describa las actividades desarrolladas para dar cumplimiento a los controles establecidos</t>
  </si>
  <si>
    <t>Enuncie las evidencias que soportan el seguimiento del control y anéxelas en la carpeta compartida destinada para ello (si son de carácter reservado, no es necesario anexarlas)</t>
  </si>
  <si>
    <t>% de Cumplimiento</t>
  </si>
  <si>
    <t>Describa las actividades desarrolladas para dar cumplimiento a las acciones de tratamiento establecidas</t>
  </si>
  <si>
    <t>Relacione las evidencias que soportan el seguimiento de las acciones de tratamiento y anéxelas en la carpeta compartida destinada para ello (si son de carácter reservado, no es necesario anexarla)</t>
  </si>
  <si>
    <t>Si</t>
  </si>
  <si>
    <t>No</t>
  </si>
  <si>
    <t xml:space="preserve">En caso de materialización describa cómo se materializó </t>
  </si>
  <si>
    <t>Describa las actividades desarrolladas para dar cumplimiento a las acciones de contingencia en los casos que se materializo el riesgo</t>
  </si>
  <si>
    <t>Relacione las evidencias que soportan el seguimiento de las acciones de contingencia y anéxelas en la carpeta compartida destinada para ello (si son de carácter reservado, no es necesario anexarlas)</t>
  </si>
  <si>
    <t>Seguimiento Tercer Cuatrimestre 2022</t>
  </si>
  <si>
    <t>Para el seguimiento al plan de acción correspondiente al tercer  trimestre de la vigencia 2022, la Subgerencia de Planeación y Administración de Proyectos emitió los lineamientos respectivos, y una vez recibida la información reportada por los diferentes procesos, se validó de manera conjunta con los profesionales de la Subgerencia, para garantizar su alineación con los objetivos, coherencia y que esté acorde con la programación establecida. Cuando hubo lugar a ello, se solicitaron los ajustes correspondientes a los responsables, y una vez ajustada la información, se presentó ante el Comité Institucional de Gestión y Desempeño en sesión del 24 de octubre de 2022 y como resultado se generó la versión 4, y para el mes de diciembre se presentaron las acciones críticas del plan. La versión vigente está publicada junto con el seguimiento correspondiente en la página web de la Empresa y en la eruNET. 
Por lo anterior, se puede concluir que ha sido efectivo el control, pues una vez aplicado, no se ha materializado el riesgo.</t>
  </si>
  <si>
    <t>- Correo solicitando seguimiento y alerta III-2022. 
- Presentaciones utilizadas en las sesiones del Comité.
- Acta 23 del Comité Institucional de Gestión y Desempeño.
- Correos solicitando ajustes.
- Plan de Acción Institucional 2022 publicado en la sección en la sección Transparencia &gt;&gt; Planeación, presupuesto e informes &gt;&gt; Plan de acción institucional de la página web y en la sección "Planeación Institucional" de la eruNET
- Seguimiento al Plan de Acción Institucional 2022 publicado en la sección en la sección Transparencia &gt;&gt; Planeación, presupuesto e informes &gt;&gt; Metas, objetivos e indicadores de la página web y en la sección "MIPG - Dimensión Evaluación de resultados" de la eruNET</t>
  </si>
  <si>
    <t>Los resultados del seguimiento del tercer trimestre del año 2022 están publicados en la sección en la página web de la Empresa y en la eruNET.</t>
  </si>
  <si>
    <t>- Seguimiento al Plan de Acción Institucional 2022 publicado en la sección en la sección Transparencia &gt;&gt; Planeación, presupuesto e informes &gt;&gt; Metas, objetivos e indicadores de la página web y en la sección "MIPG - Dimensión Evaluación de resultados" de la eruNET</t>
  </si>
  <si>
    <t>X</t>
  </si>
  <si>
    <t>N/A</t>
  </si>
  <si>
    <t>- Correo solicitando seguimiento y alertas III-2022. 
- Presentaciones utilizadas en las sesiones del Comité.
- Acta 23 del Comité Institucional de Gestión y Desempeño.
- Correos solicitando ajustes.
- Plan de Acción Institucional 2022 publicado en la sección en la sección Transparencia &gt;&gt; Planeación, presupuesto e informes &gt;&gt; Plan de acción institucional de la página web y en la sección "Planeación Institucional" de la eruNET
- Seguimiento al Plan de Acción Institucional 2022 publicado en la sección en la sección Transparencia &gt;&gt; Planeación, presupuesto e informes &gt;&gt; Metas, objetivos e indicadores de la página web y en la sección "MIPG - Dimensión Evaluación de resultados" de la eruNET</t>
  </si>
  <si>
    <t xml:space="preserve">Cuando hubo lugar a ello, se solicitaron los ajustes correspondientes a los responsables, y una vez ajustada la información, se presentó ante el Comité Institucional de Gestión y Desempeño para seguimiento de la alta dirección en sesión del 24 de octubre de 2022 y como resultado se generó la versión 4, y para el mes de diciembre se presentaron las acciones críticas del plan. La versión vigente está publicada junto con el seguimiento correspondiente en la página web de la Empresa y en la eruNET. </t>
  </si>
  <si>
    <t>- Presentaciones utilizadas en las sesiones del Comité.
- Acta 23 del Comité Institucional de Gestión y Desempeño.
- Correos solicitando ajustes.
- Seguimiento al Plan de Acción Institucional 2022 publicado en la sección en la sección Transparencia &gt;&gt; Planeación, presupuesto e informes &gt;&gt; Metas, objetivos e indicadores de la página web y en la sección "MIPG - Dimensión Evaluación de resultados" de la eruNET</t>
  </si>
  <si>
    <t xml:space="preserve">
Durante los meses de septiembre a diciembre, se realizaron seguimientos semanales a los proyectos mediante el drive diseñado para este fin, así como la revisión de la información aportada por las áreas, retroalimentación y observaciones pertinentes. Cuando hubo lugar a ello, se solicitó por correo electrónico al líder del proyecto, realizar el ajuste correspondiente en la Matriz de Seguimiento en el siguiente corte. Dicha información fue utilizada para la generación de alertas y reportes, lo cual se puede visualizar mediante el Tablero de Proyectos en la herramienta PowerBi, la cual se puede consultar en la ERUNet.
Por lo anterior, se puede concluir que ha sido efectivo el control, pues una vez aplicado, no se ha materializado el riesgo.</t>
  </si>
  <si>
    <t xml:space="preserve">- Matrices de seguimiento semanal
- Matriz de observaciones semanal 
- Correos soporte de envío
- Link de consulta de información seguimiento a proyectos: http://186.154.195.124/tablero-de-proyectos </t>
  </si>
  <si>
    <t>Con corte a 30 de diciembre se realizaron 4 Comités de Proyectos, así: No.3: 14.09.22, No. 4: 19.10.22, No.5: 09.11.22, No.6: 23.11.22. 
En los Comités de Proyectos desarrollados se busca el fortalecimiento de esta instancia para realizar la administración, análisis estratégico, seguimiento y control de proyectos urbanos durante el proceso de maduración, liderado por diferentes Subgerencias, de forma tal que se avance de manera eficiente en la gestión y metas del proyecto, realizando las recomendaciones y retroalimentación necesaria que permita optimizar su desarrollo y/o la toma de decisiones de manera oportuna, las cuales quedaron consignadas en las actas. Es de anotar que la numeración de las actas reinició cuando se emitió la Resolución 142 de 2022, mediante la cual se reglamentó el Comité.</t>
  </si>
  <si>
    <t>Para este periodo no se reportan avances, ya que la identificación del riesgo se realizó en el pasado mes de diciembre 2022.</t>
  </si>
  <si>
    <t>No aplica.</t>
  </si>
  <si>
    <t>\\192.168.10.203\ogs\0 OFICINA DE GESTION SOCIAL 2022\MAPA DE RIESGO OGS\NOVIEMBRE</t>
  </si>
  <si>
    <t xml:space="preserve">Contratos de prestación de servicios vigencia 2022
Otro si Contratos planta </t>
  </si>
  <si>
    <t>Para el seguimiento se trabaja con una herramienta diseñada para llevar el control de los pagos</t>
  </si>
  <si>
    <t>Revisar el estado de los predios
Realizar seguimiento al tramite de los pagos</t>
  </si>
  <si>
    <t xml:space="preserve">Se cuenta con cronograma de cualificación al cual se le realizó seguimiento y se dio cumplimiento. </t>
  </si>
  <si>
    <t>\\192.168.10.203\Institucional\OGS\0 OFICINA DE GESTION SOCIAL 2022\ATENCION AL CIUDADANO\SOPORTES CUALIFICACIÓN</t>
  </si>
  <si>
    <t>Durante el periodo se realizaron dos cualificaciones a equipos de trabajo</t>
  </si>
  <si>
    <t xml:space="preserve">\\192.168.10.203\Institucional\OGS\0 OFICINA DE GESTION SOCIAL 2022\ATENCION AL CIUDADANO\Seguimiento a la calidad de las respuestas.               \\192.168.10.203\Institucional\OGS\0 OFICINA DE GESTION SOCIAL 2022\ATENCION AL CIUDADANO\Seguimiento a Quejas y reclamos  </t>
  </si>
  <si>
    <t>\\192.168.10.203\Institucional\OGS\0 OFICINA DE GESTION SOCIAL 2022\ATENCION AL CIUDADANO\CAPACITACIONES FUNCIONALES           \\192.168.10.203\Institucional\OGS\0 OFICINA DE GESTION SOCIAL 2022\ATENCION AL CIUDADANO\Seguimiento a la calidad de las respuestas</t>
  </si>
  <si>
    <t xml:space="preserve"> En el último cuatrimestre de 2022 no se adelantaron procesos de comercialización, por lo cual no se requirió la aplicación de los controles establecidos. 
</t>
  </si>
  <si>
    <t>La actividad planteada como acción de tratamiento, se reportó con sus correspondientes soportes, en el periodo de seguimiento anterior, es decir, la socialización del Venta de inmuebles (PD- 88) el cual continúa vigente.</t>
  </si>
  <si>
    <t>En el periodo septiembre-diciembre de 2022 no se designaron predios para comercialización, por lo cual  no se aplicaron controles ni se llevaron a cabo acciones de tratamiento</t>
  </si>
  <si>
    <t>El Supervisor del contrato en la revisión de informes de actividades mensuales, verificó el cumplimiento de las cláusulas del contrato sin embargo no encontró inconsistencias por lo tanto no se reportaron alertas.
Durante el cuarto trimestre los líderes SIG y el Jefe del Área se reunieron para realizar el Comité de Autoevaluación, en el cual se revisó temas de manejo adecuado de la información sin embargo no encontró inconsistencias por lo tanto no se reportaron alertas.</t>
  </si>
  <si>
    <t xml:space="preserve">- Certificado de cumplimiento de actividades (JSP7)
-Acta de comité de autoevaluación </t>
  </si>
  <si>
    <t xml:space="preserve">Asistencia </t>
  </si>
  <si>
    <t>De acuerdo a las metas plan de desarrollo (2020 - 2024), establecidas, la Subgerencia definió (5) ámbitos territoriales, con el fin de realizar un análisis urbano regional, identificar y evaluar áreas de oportunidad que han permitido de acuerdo con su priorización, la formulación de proyectos de Desarrollo y Renovación Urbana. A continuación, se listan los Planes Parciales De Renovación Urbana que se encuentra en proceso de formulación para el periodo 2022
1. PIEZA CENTRO: 
• Plan Parcial de Renovación Urbana Centro San Bernardo                                                                                                             
2. BORDES
• Modificación de Formulación de Plan Parcial Tres Quebradas
3. REENCUENTRO:  
• Modificación del Plan Parcial de Renovación Urbana Estación calle 26
• Formulación de Plan Parcial de Renovación Urbana Calle 24
4. CORREDORES:  
• Formulación del Plan Parcial de Renovación Urbana CALLE 72
5. AGLOMERACIONES ECONÓMICAS:
• Apoyo a la formulación del instrumento de planeamiento  en la definición e  incorporación de  propuesta estratégica de reactivación  económica
Se actualizaron cronogramas de actividades e hitos para la formulación, radicación y adopción de los planes parciales, sobre los cuales se realiza seguimiento al cumplimiento de actividades.</t>
  </si>
  <si>
    <t>- Cronogramas actualizados de los proyectos</t>
  </si>
  <si>
    <t>La SGU actualizó la documentación del proceso durante la vigencia del primer semestre de 2022 y se socializó el 25 de mayo con el equipo de la SGU.</t>
  </si>
  <si>
    <t>´- Procedimiento de prefactibilidad de proyectos actualizado
- Socialización del procedimiento</t>
  </si>
  <si>
    <t>Como parte de la trazabilidad de los proyectos se mantiene la evidencia de los seguimientos y decisiones con las diferentes entidades que participan en la formulación de proyectos mediante actas de reuniones en las carpetas de cada proyecto.</t>
  </si>
  <si>
    <t>´- Actas de reuniones con entidades</t>
  </si>
  <si>
    <t>´- Procedimiento de prefactibilidad de proyectos actualizado</t>
  </si>
  <si>
    <t>De acuerdo a las metas plan de desarrollo (2020 - 2024), establecidas, la Subgerencia definió (5) ámbitos territoriales, con el fin de realizar un análisis urbano regional, identificar y evaluar áreas de oportunidad que han permitido de acuerdo con su priorización, la formulación de proyectos de Desarrollo y Renovación Urbana. A continuación, se listan los Planes Parciales De Renovación Urbana que se encuentra en proceso de formulación para el periodo 2022
1. PIEZA CENTRO: 
• Plan Parcial de Renovación Urbana Centro San Bernardo                                                                                                             
2. BORDES
• Modificación de Formulación de Plan Parcial Tres Quebradas
3. REENCUENTRO:  
• Modificación del Plan Parcial de Renovación Urbana Estación calle 26
• Formulación de Plan Parcial de Renovación Urbana Calle 24
4. CORREDORES:  
• Formulación del Plan Parcial de Renovación Urbana CALLE 72
5. AGLOMERACIONES ECONÓMICAS:
• Apoyo a la formulación del instrumento de planeamiento  en la definición e  incorporación de  propuesta estratégica de reactivación  económica
Se actualizaron cronogramas de actividades e hitos para la formulación, radicación y adopción de los planes parciales, sobre los cuales se realiza seguimiento al cumplimiento de actividades.</t>
  </si>
  <si>
    <t xml:space="preserve">Durante el cuarto trimestre se actualizó la base de datos de consultores con alto grado de experticia para la elaboración de estudios técnicos. </t>
  </si>
  <si>
    <t>´- Bases de datos de experticia de consultores</t>
  </si>
  <si>
    <t>- Actas de reunión de gestión interinstitucional</t>
  </si>
  <si>
    <t xml:space="preserve">Mediante el FUSS (formato único de seguimiento sectorial), ciclo de estructuración de proyectos plan de acción  e indicadores de gestión se realiza seguimiento al cumplimiento de las actividades de la formulación de proyectos. </t>
  </si>
  <si>
    <t>- Seguimiento FUSS
- Seguimiento indicadores de gestión 
- Plan de acción</t>
  </si>
  <si>
    <t xml:space="preserve">El 22 de noviembre de 2022, en reunión de coordinación No.16 de la Subgerencia de Desarrollo de Proyectos, se realizó la Socialización del Mapa de Riesgos V5 , la  Socialización Política Operativa de integridad, conflicto de interés y gestión antisoborno, Socialización Código de Integridad y Socialización informe Monitoreo a la gestión de riesgos - segunda línea defensa II.
El 19 de diciembre de 2022, en reunión de coordinación No.18 de la Subgerencia de Desarrollo de Proyectos, se realizó la Socialización de la actualización a la política de administración del riesgo.
</t>
  </si>
  <si>
    <t>2022 11 22 _Acta No. 16
2022 11 22_ Asistencia Acta No. 16
2022 12 19  _Acta No. 18
2022 12 19_ Asistencia Acta No. 18</t>
  </si>
  <si>
    <t xml:space="preserve">Durante el período, se realizaron las siguientes actividades:
Proyecto Alcaldía de Mártires:
* Actas de recibo parcial de obra tres (3)
* Actas de recibo parcial interventoría tres (3).
*Acta de recibo de estudios y diseños
*Acta parcial de obra
</t>
  </si>
  <si>
    <t>*Se realizaron Comités de seguimiento: Trece (13) comités para el proyecto Alcaldía de Mártires.
* Se realizaron Comités de Consultoría: Cuatro (4) para el proyecto del CHSJD.</t>
  </si>
  <si>
    <t>*Comités de seguimiento del No.25 al No. 37 Alcaldía de Mártires.
*Comités de Consultoría del No.5 al 09, CHSJD.</t>
  </si>
  <si>
    <t>Durante el período se revisaron y verificaron los requisitos mínimos para entrega de obra, para los siguientes proyectos:
*El Porvenir Etapa 7C
*Colmena
*Usme 1
*Usme 3</t>
  </si>
  <si>
    <t xml:space="preserve">*FT-193 Req min entrega obra V1_0 Reporte sept - diciembre 2022 El porvenir.
*2022 IDRD CONSTANCIA DE VISITA PARQUES VECINALES ETAPA VIIC.
*FT-193 Req min entrega obra V1_0 - COLMENA.
*FT-193 Req min entrega obra V1_0 - USME 1
*FT-193 Req min entrega obra V1_0 - USME 3.
</t>
  </si>
  <si>
    <t>El 27 de diciembre de 2022, en reunión de coordinación No.19 de la Subgerencia de Desarrollo de proyectos, se realizó la Socialización de los requisitos exigidos por las Entidades Competentes, de acuerdo con lo establecido en el Procedimiento PD-90 Recibo y entrega de obras y áreas de cesiones públicas. (Francisco Gámez).</t>
  </si>
  <si>
    <t>2022 12 27  _Acta No. 19
2022 12 27_ Asistencia Acta No. 19</t>
  </si>
  <si>
    <t xml:space="preserve">
Para el cuatrimestre las siguientes piezas gráficas y audiovisuales externas y publicadas en canales externos, realizadas a solicitud de las áreas cuentan con el visto bueno (validación):
✔	07-08-2022 Reel Usme Tres Quebradas
✔	09-09-22 Loop ronda de socialización San Juan de Dios
✔	14-09-2022 Video EUPOLIS regiones y ciudades conferencia internacional
✔	16-09-22 Loop ronda de socialización Cable aéreo San Cristóbal
✔	18-09-22 Reel Plan Parcial Calle 72 
✔	20-09-2022 Reel proyecto Plan Parcial calle 24
✔	26-09-22 Loop ronda de socialización Voto Nacional - Malla Vial
✔	13-10-2022 Timelapse obra Alcaldía Local de Los Mártires mes de septiembre y de inicios de octubre
✔	4-26-2022 Graficación Loop Ronda Socialización procesos Topográficos
✔	20-10-2022 Nota Proyecto Polo Vivienda
✔	1- 11-2022 Reel Cable Aéreo San Cristóbal
✔	1-11-2022 Video portafolio comercial
✔	17-11-2022 Loop Ronda Socialización
✔	21-11-2022 Reel Complejo hospitalario San Juan de Dios
✔	24-11-2022 Loop Centro de talento creativo
✔	24-11-2022 Video Colegio la Magdalena nueva imagen
✔	24-11-2022 Video Colegio San Francisco de Asís nueva imagen
✔	24-11-2022 Video Universidad Distrital nueva imagen.
✔	30-11-2022 Loop Video Transparencia
✔	Diciembre de 2022- Animación loop Ronda de socialización para las reparaciones viales de las etapas 2 y 3 de la ciudadela Nuevo Usme. 
✔	26-12-2022 Timelapse Centro de Talento Creativo Multicampus
✔	09-12-2022 Timelapse obra Colegio La Magdalena
✔	09-12-2022 Timelapse obra Alcaldía Local de Los Mártires
✔	30-12-2022 Video en croma incentivo participación Plan anticorrupción y atención al ciudadano.
</t>
  </si>
  <si>
    <t>Correos electrónicos de aprobación, el proceso cuenta con los soportes esta actividad</t>
  </si>
  <si>
    <t>El día 3 de octubre se lanzó la campaña de comunicación interna, a través de la cual se divulgó el procedimiento para las solicitudes de comunicaciones, esta campaña se socializó a través del correo comunicaciones@eru.gov.co</t>
  </si>
  <si>
    <t>Se anexa soporte del correo</t>
  </si>
  <si>
    <t>La Dirección de Gestión Contractual adelanta seguimiento a los tramites a través de la base de datos, esta misma se actualiza  de conformidad con los tramites radicados y gestionados en la DGC, de esta manera en caso de ser devueltos los procesos contractuales por no cumplir con lo establecido con lo dispuesto en SIG se adelanta el seguimiento correspondiente en esta herramienta.</t>
  </si>
  <si>
    <t xml:space="preserve">El seguimiento se adelanta a través de una aplicación a la cual tienen acceso todos los colaboradores de la DGC, en la cual se evidencia información importante, tal como fecha de radicado, días que lleva en gestión, tipo de tramite, abogado asignado, entre otros.
https://datastudio.google.com/embed/u/0/reporting/aca42cb0-a1c6-44e1-ba88-9a5e5b4d6b57/page/p_r3pc1j82sc </t>
  </si>
  <si>
    <t>Socialización de los formatos actualizados en la presente vigencia a través de correo electrónico y lista de asistencia a reunión de socialización.</t>
  </si>
  <si>
    <t>En el presente periodo se han actualizado los formatos relacionados a continuación, los cuales se han socializado con la Empresa a través de correo electrónico para aclarar dudas al respecto de su uso.
FT-213 Constancia de cierre Expediente Contractual V1
FT-212 Acta de Liquidación de contratos V1
FT-23 Lista de chequeo requisitos básicos de contratación V8</t>
  </si>
  <si>
    <t>Socialización de los formatos actualizados en la presente vigencia a través de correo electrónico.</t>
  </si>
  <si>
    <t xml:space="preserve">Matriz de seguimiento de procesos judiciales </t>
  </si>
  <si>
    <t xml:space="preserve">En el periodo de septiembre a diciembre 2022,  llegaron  7 procesos nuevos y se realizó en ese cuatrimestre el seguimiento a las actuaciones judiciales realizadas en el periodo </t>
  </si>
  <si>
    <t xml:space="preserve">SIPROJ </t>
  </si>
  <si>
    <t xml:space="preserve">Matriz de seguimiento de los procesos judiciales </t>
  </si>
  <si>
    <t>La Subgerencia de Gestión Corporativa envía comunicados a través del correo institucional recordando los lineamientos establecidos para un adecuado uso de los elementos asignados.</t>
  </si>
  <si>
    <t>Se realizó el seguimiento correspondiente al plan de adquisiciones y plan de contratación, así como los apoyos a la supervisión a los contratos para los pagos correspondientes.</t>
  </si>
  <si>
    <t>Plan de Contratación e Informes de Apoyo a la Supervisión.</t>
  </si>
  <si>
    <t>Los profesionales del Proceso enviaron correo de solicitud de requerimientos de bienes o servicios con el fin de validar que cumplan con los lineamientos establecidos por gestión Contractual.</t>
  </si>
  <si>
    <t>Plan de Contratación.</t>
  </si>
  <si>
    <t>La Subgerencia de Gestión Corporativa envía comunicados a través del correo institucional, socializando los principios y valores éticos.</t>
  </si>
  <si>
    <t xml:space="preserve">Durante el periodo de medición de este informe los colaboradores de gestión documental, verificaron el contenido, estado de los expedientes solicitados en préstamo mediante correo electrónico. 
Se diligencio el formato FT -  111, se realizó seguimiento y solicitud de devolución y/o renovación del mismo.  Una vez se realizó la devolución se verificaron los expedientes.
</t>
  </si>
  <si>
    <t xml:space="preserve">1. Correos electrónicos - Solicitud de Prestamos Documentales. 
2. Formato FT - 111 (Tercer cuatrimestre)
3. Correos electrónicos - Solicitud devolución Prestamos documentales
</t>
  </si>
  <si>
    <t>El Técnico de Gestión Documental Maryi Fagua, realizó capacitación el 13 de diciembre de 2022 cuya temática fue el procedimiento de préstamos documentales.</t>
  </si>
  <si>
    <t xml:space="preserve">Listado de Asistencia capacitación 13 de diciembre de 2022. </t>
  </si>
  <si>
    <t xml:space="preserve">El profesional del proceso realizó el monitoreo y control de condiciones ambientales en el deposito del Archivo de la Empresa. </t>
  </si>
  <si>
    <t xml:space="preserve">Reporte de Monitoreo y Condiciones Ambientales </t>
  </si>
  <si>
    <t xml:space="preserve">Listado de Asistencia capacitación 07 de Noviembre  de 2022. </t>
  </si>
  <si>
    <t>Matriz de Seguimiento Plan Institucional de Archivos Pinar</t>
  </si>
  <si>
    <t xml:space="preserve">Durante el cuatrimestre se realizaron las siguientes jornadas de socialización y capacitación: 
1. Banco Terminológico: 16 de noviembre de 2022.
2. Tablas de Retención Documental :16 de noviembre de 2022.
3. Cuadro de Clasificación Documental :16 de noviembre de 2022.
</t>
  </si>
  <si>
    <t xml:space="preserve">Formulario de asistencia. </t>
  </si>
  <si>
    <t>Desde la Ventanilla Única de Correspondencia se realizó la recepción y entrega formal en el FT -33 de los documentos físicos recibidos en el cuatrimestre al Centro de Administración Documental- CAD.</t>
  </si>
  <si>
    <t xml:space="preserve">Los colaboradores del proceso de Gestión Documental realizaron la inserción de los documentos recibidos en los expedientes correspondientes. </t>
  </si>
  <si>
    <t xml:space="preserve">Hoja de control evidenciando la inserción documental </t>
  </si>
  <si>
    <t>Los colaboradores del proceso recibieron y gestionaron las solicitudes de creación de expedientes electrónicos que cumplieran con las características establecidas en el PD-25.</t>
  </si>
  <si>
    <t xml:space="preserve">Correo electrónicos </t>
  </si>
  <si>
    <t xml:space="preserve">Pantallazo TAMPUS </t>
  </si>
  <si>
    <t>Se realizó seguimiento mensual a la ejecución del PIGA en el marco del Comité de Autoevaluación y de la presentación de avances ante el Comité de gestión y desempeño, donde se reportó avance de las actividades del plan de acción del PIGA.</t>
  </si>
  <si>
    <t>Presentación avances Comité</t>
  </si>
  <si>
    <t>1. Registro fotográfico, inscripciones
2. Ver Indicadores del proceso
3. Correo electrónico
4.Piezas y registro fotográfico
5. Pieza programación
6.Piezas y registro fotográfico
7. Inscripciones y registro fotográfico
8, Piezas e inscripciones</t>
  </si>
  <si>
    <t>Pantallazo de los repositorios copia de seguridad.</t>
  </si>
  <si>
    <t>Se está realizando una migración de la información que se encuentra en nuestros servidores a la nube del proveedor con el fin de mejorar la disponibilidad del servicio.</t>
  </si>
  <si>
    <t>El monitoreo web se ha venido realizando permanentemente con el fin de verificar alertas de correo electrónico sobre fallos en la infraestructura de TI.</t>
  </si>
  <si>
    <t>El servicio de mantenimiento preventivo del hardware se realizó entre los meses de agosto y septiembre del 2022 como estaba programado en el plan de adquisiciones y contrato.</t>
  </si>
  <si>
    <t>Cronograma mantenimiento</t>
  </si>
  <si>
    <t>Se han generado los accesos lógicos solicitados dentro del periodo de medición de este informe, brindando la información correspondiente de los diferentes accesos como VPN, EruNet,GLPI, Cuenta de correo institucional,JSP7 y especialmente se hace énfasis en el repositorio owncloud que es donde se deposita la información institucional de la empresa</t>
  </si>
  <si>
    <t>Se han revisado las solicitudes con el fin de procesar las novedades con el objetivo de crear los usuarios correspondientes para dar respuesta los requerimientos.</t>
  </si>
  <si>
    <t>Plan Estratégico de Tecnologías de la Información 2022-2026.</t>
  </si>
  <si>
    <t xml:space="preserve">Se realizó acompañamiento a la Subgerencia de Gestión de Proyectos en la adquisición de “Construdata” herramienta informativa en los servicios de :
• Disponibilidad inmediata de la información.
• Alcance más amplio.
• Flexibilidad para lectores.
• Apoyo al mundo verde.
• Información actualizada de proyectos de infraestructura.
• Información actualizada de proyectos inmobiliarios.
• Información actualizada de proyectos urbanísticos.
</t>
  </si>
  <si>
    <t>Actas de reunión.</t>
  </si>
  <si>
    <t>Se realizaron los mantenimientos correspondientes a las órdenes de servicio quedando como evidencia las actas en el expediente de los contratos.</t>
  </si>
  <si>
    <t>Los servicios de mantenimiento están cubiertos hasta 30-05-2023 mediante contrato 327-2021, por lo anterior no se ha iniciado proceso de nueva contratación.</t>
  </si>
  <si>
    <t>Medición de los indicadores de entrega de informes y presentación obligaciones tributarias,  allí se describen el nombre del reporte y la periodicidad en la cual se debe realizar el reporte y en la fecha que se reportó</t>
  </si>
  <si>
    <t>Se realizó el seguimiento mensual de los reportes a entes internos y externos a través de la medición de los indicadores de gestión financiera, donde se encuentra establecido el reporte, la periodicidad y la fecha límite de reporte Vs. La fecha del reporte enviado.</t>
  </si>
  <si>
    <t>Hoja de vida indicador: Oportunidad en la entrega de informes del proceso a entidades administrativas de control
Hoja de vida indicador: Oportunidad en la presentación y pago de las Obligaciones Tributarias</t>
  </si>
  <si>
    <t>Se realizó la presentación de las obligaciones tributarias de la Empresa, con la correspondiente validación y revisión de la Revisoría fiscal y Asesor Tributario, como evidencia se remiten las hojas de ruta del proceso</t>
  </si>
  <si>
    <t>Como evidencia de las acciones, se cuenta con  las hojas de ruta del proceso de verificación y validación de los formularios de declaración de impuestos realizadas.</t>
  </si>
  <si>
    <t>El comité financiero sesionó el 23 de agosto de 2022 con el fin de recomendar y viabilizar el Plan Financiero Plurianual, así como el anteproyecto del presupuesto anual de la Empresa para concepto favorable de la Junta Directiva.
Así mismo y de acuerdo con la aprobación del Plan Financiero por parte del CONFIS y la asignación de Cuota de transferencia 2023, el Comité sesionó el 21 de octubre para viabilizar el Anteproyecto de presupuesto 2023.</t>
  </si>
  <si>
    <t xml:space="preserve">El 29 de agosto se radico ante la Secretaría Distrital de Hacienda el Plan Financiero Plurianual 2023 para aprobación del CONFIS, el cual fue aprobado el 14 de octubre 2022 en la sesión No. 20, así mismo, SDH en el marco del proceso de programación presupuestal 2023 de conformidad al Plan Financiero aprobado por el CONFIS, asignó la cuota de transferencia bajo el radicado No. 2022EE479766O1. 
Con base en lo anterior, se presentó el anteproyecto de presupuesto 2023 ante la Junta Directiva de la Empresa para su aprobación, el cual fue aprobado bajo el acuerdo 46 de 2022 y presentado ante el CONFIS, quienes aprobaron el presupuesto de Rentas e Ingresos, Gastos e Inversiones 2023 de la Empresas Industriales entre estas la Empresa de Renovación y Desarrollo Urbano de Bogotá bajo la Resolución 19 de 2022.
De acuerdo con el presupuesto aprobado, la Junta Directiva, aprobó el Presupuesto 2023 de la Empresa bajo la Resolución 248 del 15 de diciembre 2022.
</t>
  </si>
  <si>
    <t>Aprobación Plan Financiero
Asignación Cuota SDH
Aprobación presupuesto 2023
Resolución Liquidación Presupuesto 2023</t>
  </si>
  <si>
    <t>Como evidencia de las acciones, se cuenta con  los formatos de conciliación de información financiera ejecutados.</t>
  </si>
  <si>
    <t xml:space="preserve">Se realizaron las respectivas validaciones y verificaciones de los Procesos de Pago. </t>
  </si>
  <si>
    <t>Como evidencia de las acciones, se cuenta con los correos electrónicos de evidencia de verificación del proceso de pagos.</t>
  </si>
  <si>
    <t>Se remitió versión ajustada de acuerdo con la actualización sugerida por la Tesorería y se solicitó enviar para aprobación a la SGC</t>
  </si>
  <si>
    <t>Correo electrónico de remisión de versión del protocolo de seguridad.</t>
  </si>
  <si>
    <t xml:space="preserve">Se realizaron las respectivas validaciones y verificaciones de los procesos de pago. </t>
  </si>
  <si>
    <t>Se realizaron las actividades del Plan de Seguridad y Salud en el Trabajo definidas para esta vigencia.</t>
  </si>
  <si>
    <t>Como evidencia se cuenta con el cronograma de actividades del Plan de SST.</t>
  </si>
  <si>
    <t>Se realizó el seguimiento correspondiente a las actividades del  Plan de Seguridad y Salud en el trabajo definidas para esta vigencia.</t>
  </si>
  <si>
    <t>El Profesional de Seguridad y Salud en el Trabajo anualmente se encuentra en proceso de revisión de la lista de chequeo de la Resolución 0312 de 2019, lo anterior con el objetivo de validar el cumplimiento de los requisitos, para dar cumplimiento a la  Resolución 0312 de 2019.</t>
  </si>
  <si>
    <t>Lista de chequeo.</t>
  </si>
  <si>
    <t>La actividad de Actualización anual a la matriz legal de Salud y Seguridad en el Trabajo se encuentra en proceso.</t>
  </si>
  <si>
    <t>Se dio cumplimiento al cronograma de actividades del Plan de bienestar y capacitación, incorporado en el PETH.</t>
  </si>
  <si>
    <t>Cronograma PETH</t>
  </si>
  <si>
    <t>Se realizó el seguimiento trimestral correspondiente a las actividades del Plan de bienestar y capacitación,  incorporado en el PETH.</t>
  </si>
  <si>
    <t>Para el perdió de medición de este informe se realizó Capacitación superior a 8 horas, para dicha Capacitación se está implementando lo definido en el GI-35.</t>
  </si>
  <si>
    <t>FT- 141 Evaluación de las actividades de capacitación o la Encuesta de satisfacción.</t>
  </si>
  <si>
    <t xml:space="preserve">Se realizó solicitud de seguimiento y evaluación a los acuerdos  de gestión suscritos para el 2022 y correo de divulgación de capacitación realizada por el DASCD sobre Seguimientos de Acuerdos Gestión.
 </t>
  </si>
  <si>
    <t>Como evidencia se cuenta con correos de solicitud así como seguimientos a los acuerdos.</t>
  </si>
  <si>
    <t>Se realizó reporte del estado del seguimiento y evaluación de los acuerdos de gestión, el cual cuenta con No Radicado: I2022001968.</t>
  </si>
  <si>
    <t>Radicado: I2022001968.</t>
  </si>
  <si>
    <t>El Estatuto y Código de Ética se encuentra en proceso de actualización, una vez se actualice se procederá a su socialización a los Auditores de la OCI y al grupo de Auditores de Calidad.  Sin embargo se realzo socialización del Estatuto y Código de Ética vigentes el 29 de abril de 2022</t>
  </si>
  <si>
    <t>Informe Final Ciclo Auditorias Internas de Calidad 2022 
Informe Final Auditoria Contratación transversal -   (Plan de Trabajo - listado de Asistencia)</t>
  </si>
  <si>
    <t>Plan Anual de Auditorias aprobado en el 27 de Enero de 2022 Acta No. 1 Comité CICCI, Este plan cuenta con todas las hojas donde se realizo el análisis y se determino el universo de auditorias para la Empresa.</t>
  </si>
  <si>
    <t xml:space="preserve">Acta No. 1 Comité CICCI
http://www.eru.gov.co/es/transparencia/planeacion-presupuesto-e-informes/plan-de-accion?title=auditoria&amp;field_subcategoria_planeacion_value=All </t>
  </si>
  <si>
    <r>
      <rPr>
        <b/>
        <sz val="11"/>
        <color theme="1"/>
        <rFont val="Arial Narrow"/>
        <family val="2"/>
      </rPr>
      <t>1. Se estableció el ranking de auditores con los equipos auditores que participaron en la implementación del Ciclo de Auditorías Internas de Calidad 2022.</t>
    </r>
    <r>
      <rPr>
        <sz val="11"/>
        <color theme="1"/>
        <rFont val="Arial Narrow"/>
        <family val="2"/>
      </rPr>
      <t xml:space="preserve">
2. Seguimiento semestral Indicador denominado "Efectividad de las Acciones Formuladas en los Planes de Mejoramiento por Procesos."</t>
    </r>
  </si>
  <si>
    <t>1. RAD I2022001660 INFORME INTEGRAL DESEMPEÑO DE AUDITORES – CICLO AUDITORÍAS INTERNAS DE CALIDAD - 2022.
2. http://186.154.195.124/mipg-sig?title=&amp;field_proceso_target_id=160
Indicadores Evaluación y Seguimiento 2022 Agosto 2022</t>
  </si>
  <si>
    <t>Se estableció el ranking de auditores con los equipos auditores que participaron en la implementación del Ciclo de Auditorías Internas de Calidad 2022.</t>
  </si>
  <si>
    <t>1. RAD I2022001660 INFORME INTEGRAL DESEMPEÑO DE AUDITORES – CICLO AUDITORÍAS INTERNAS DE CALIDAD - 2022.</t>
  </si>
  <si>
    <t>Drive Auditorias Auditoria Contratación transversal
Drive Ciclo Auditorias Internas de Calidad 2022</t>
  </si>
  <si>
    <t>http://www.eru.gov.co/index.php/es/node/2756</t>
  </si>
  <si>
    <t>A la fecha no se ha realizado capacitaciones</t>
  </si>
  <si>
    <t>1. Plan Anual de Auditoria Vigencia 2022 V1, V2 y V3
2. Plan de Trabajo Auditoria Contratación transversal
3. Plan de Trabajo Ciclo Auditorias Internas de Calidad 2022 
4. Plan de Trabajo Auditoria Proceso Terceros Concurrentes
5. Plan de Trabajo Costeo de los proyectos y rentabilidad de la Empresa
6. Plan de Trabajo Voto Nacional (Incluye Edificio Formación para el Trabajo)
7. Plan de Trabajo Servicios Administrativos y de apoyo - PIGA - Talento Humano -  Servicios Logísticos</t>
  </si>
  <si>
    <t>1. http://www.eru.gov.co/es/transparencia/planeacion-presupuesto-e-informes/plan-de-accion?title=auditoria&amp;field_subcategoria_planeacion_value=All 
2. Plan de Trabajo Auditoria Contratación transversal
3. Plan de Trabajo Ciclo Auditorias Internas de Calidad 2022 
4. Plan de Trabajo Auditoria Proceso Terceros Concurrentes
5. Plan de Trabajo Costeo de los proyectos y rentabilidad de la Empresa
6. Plan de Trabajo Voto Nacional (Incluye Edificio Formación para el Trabajo)
7. Plan de Trabajo Servicios Administrativos y de apoyo - PIGA - Talento Humano -  Servicios Logísticos</t>
  </si>
  <si>
    <t>FT-216 Acuerdo de confidencialidad, declaración de impedimentos, inhabilidades y conflictos de intereses V1</t>
  </si>
  <si>
    <t>El formato para suscribir la declaración de impedimentos y conflictos de interés de los auditores se encuentra publicado en la Erunet de la Empresa</t>
  </si>
  <si>
    <t>1. Reunión de Apertura Auditoria Contratación transversal
Plan de Trabajo Auditoria Contratación transversal
2. Reunión de Apertura  Ciclo Auditorias Internas de Calidad 2022 
 Plan de Trabajo Ciclo Auditorias Internas de Calidad 2022 
3. Reunión de Apertura  Auditoria Proceso Terceros Concurrentes
Plan de Trabajo Auditoria Proceso Terceros Concurrentes
4. Reunión de Apertura  Costeo de los proyectos y rentabilidad de la Empresa
5. Reunión de Apertura de Trabajo Costeo de los proyectos y rentabilidad de la Empresa
6. Reunión de Apertura Voto Nacional (Incluye Edificio Formación para el Trabajo)
7. Reunión de Apertura Servicios Administrativos y de apoyo - PIGA - Talento Humano -  Servicios Logísticos</t>
  </si>
  <si>
    <t>1. Lista de Asistencia Reunión de Apertura Auditoria Contratación transversal
Plan de Trabajo Auditoria Contratación transversal
2. Lista de Asistencia Reunión de Apertura  Ciclo Auditorias Internas de Calidad 2022 
 Plan de Trabajo Ciclo Auditorias Internas de Calidad 2022 
3. Lista de Asistencia Reunión de Apertura  Auditoria Proceso Terceros Concurrentes
Plan de Trabajo Auditoria Proceso Terceros Concurrentes
4. Lista de Asistencia Reunión de Apertura  Costeo de los proyectos y rentabilidad de la Empresa
5.  Lista de Asistencia de Trabajo Costeo de los proyectos y rentabilidad de la Empresa
6.  Lista de Asistencia Voto Nacional (Incluye Edificio Formación para el Trabajo)
7.  Lista de Asistencia Servicios Administrativos y de apoyo - PIGA - Talento Humano -  Servicios Logísticos</t>
  </si>
  <si>
    <t>Acta de Comité CICCI  No.3</t>
  </si>
  <si>
    <t>Acta de Comité CICCI  No.4</t>
  </si>
  <si>
    <t>Producto de esta auditoria y de la auditoria de precertificación el proceso cuenta con 22 Acciones de mejora en Plan de Mejoramiento por procesos y a la fecha del seguimiento ha finalizado 18 acciones.</t>
  </si>
  <si>
    <t>Recepción de correos. Evaluación de la información. Envío a fiduciarias con observaciones. Reunión para aclarar observaciones.</t>
  </si>
  <si>
    <t>Correos electrónicos. Reuniones en calendario</t>
  </si>
  <si>
    <t>Los acuerdos de niveles de servicios se encuentran incluidos en la actualización de los Manuales Operativos y Manual de Contratación que se encuentra en revisión y aprobación por parte la Dirección de Gestión Contractual</t>
  </si>
  <si>
    <t>Borrador del los manuales operativos de Alianza y Colpatria</t>
  </si>
  <si>
    <t>Revisión y diligenciamiento de información en carpeta en drive de la Empresa. Envío al coordinador de fiducias para posterior envío, aprobación y remisión por parte del Subgerente de Gestión Inmobiliaria</t>
  </si>
  <si>
    <t>Correos electrónicos</t>
  </si>
  <si>
    <t>Actividad finalizada en el cuatrimestre anterior con el nuevo proceso de instrucciones con Scotiabank Colpatria</t>
  </si>
  <si>
    <t>Presentación realizada a la Gerencia ERU</t>
  </si>
  <si>
    <t>El 21 de septiembre y el 25 de octubre de 2022, se realizaron asesorías virtuales para obtener información acerca del trámite  "Cumplimiento de la obligación VIS-VIP a través de compensación económica",  se informa que  no tiene ningún costo y se deja registro en G-Meet.</t>
  </si>
  <si>
    <t>Calendario G-Meet - Información sobre la atención virtual realizada.</t>
  </si>
  <si>
    <t>Se reportó de manera mensual la información a actualizar del trámite "Cumplimiento de la obligación VIS-VIP a través de compensación económica" en la Guía de Trámites y Servicios y en el Sistema Único de Información y Trámites - SUIT.</t>
  </si>
  <si>
    <t>Se aportan correos electrónicos a través de los cuales se solicita e informa sobre la actualización  del trámite "Cumplimiento de la obligación VIS-VIP a través de compensación económica" en la Guía de Trámites y Servicios y en el Sistema Único de Información y Trámites - SUIT.</t>
  </si>
  <si>
    <t xml:space="preserve">Semanalmente, la Gerencia de Estructuración de Proyectos, realiza el seguimiento al tablero de proyectos, en el cual se describen los avances y dificultades presentados en los proyectos a su cargo y que son responsabilidad de la SGI. </t>
  </si>
  <si>
    <t>Tablero de control Proyectos</t>
  </si>
  <si>
    <t>El 21 de noviembre de 2022, se actualizo el procedimiento de Modelaciones financieras de los proyectos en su versión 2.</t>
  </si>
  <si>
    <t>Procedimiento PD-75 Actualizado versión 2</t>
  </si>
  <si>
    <t>Se realizan reuniones de seguimiento con los  Fideicomitentes Desarrolladores y Constructores para verificar el estado de ejecución de cada proyecto y los trámites que estén pendientes ante entidades para prestar acompañamiento y realizar gestiones direccionadas a agilizar las aprobaciones y entregas pendientes.</t>
  </si>
  <si>
    <t>Actas de reunión con los Fideicomitentes Desarrolladores y Constructores.</t>
  </si>
  <si>
    <t>Acatas del actas del Comité de Defensa Judicial, Conciliación y Repetición</t>
  </si>
  <si>
    <t>Piezas procesales subidas en SIPROJ WEB</t>
  </si>
  <si>
    <t xml:space="preserve">En la matriz de procesos judiciales, la dependiente judicial incorporó todas las actuaciones nuevas. </t>
  </si>
  <si>
    <t xml:space="preserve">base de datos de procesos judiciales </t>
  </si>
  <si>
    <t xml:space="preserve">Acta de reunión No. 1 de fecha 24 de octubre de 2022.                                                                                                                                                                                                                                                                                                                                                                                                                                                    Acta de reunión No. 2 de fecha 1 de noviembre de 2022                                                                                                                                                                                                                                                                                                                                                                                                                                                           Acta de reunión No. 3 de fecha 14 de diciembre de 2022.                                                                                                                                                           </t>
  </si>
  <si>
    <t xml:space="preserve">Acta de reunión No. 1 de fecha 24 de octubre de 2022.                                                                                                                                                                                                                                                                                                                                                                                                                                                    Acta de reunión No. 2  de fecha 4 de noviembre de 2022                                                                                                                                                                                                                                                                                                                                                                                                                                                           Acta de reunión No. 3 de fecha 7 de diciembre de 2022.                                                                                                                                                           </t>
  </si>
  <si>
    <t>1. No se evidencian los Informes trimestrales presentados de acuerdo a lo establecido en los controles
2. No se evidencia la presentación a la Gerencia General de manera semanal, un reporte sobre el seguimiento a las actividades de ejecución de los proyectos de vivienda supervisados por la Gerencia de Vivienda.</t>
  </si>
  <si>
    <t>El proceso cuenta con evidencias de la socialización de la herramienta de seguimiento</t>
  </si>
  <si>
    <t>El procesos cuenta con el soporte comunicado.</t>
  </si>
  <si>
    <t xml:space="preserve">Seguimiento disponible en Drive compartido con la profesional y jefe de la oficina y Actas de reunión:                                       No. 1 de fecha 24 de octubre de 2022.                                                                                                                                                                                                                                                                                                                                                                                                                                                    No. 2  de fecha 4 de noviembre de 2022                                                                                                                                                                                                                                                                                                                                                                                                                                                           No. 3 de fecha 7 de diciembre de 2022.                                                                                                                                                           </t>
  </si>
  <si>
    <t xml:space="preserve">Seguimiento disponible en Drive compartido con la profesional y jefe de la oficina y Actas de reunión:                                       No. 1 de fecha 24 de octubre de 2022.                                                                                                                                                                                                                                                                                                                                                                                                                                                    No. 2  de fecha 1 de noviembre de 2022                                                                                                                                                                                                                                                                                                                                                                                                                                                           No. 3 de fecha 14 de diciembre de 2022.                                                                                                                                                           </t>
  </si>
  <si>
    <t>El reporte del control y las actividades de control se reportaron invertidos</t>
  </si>
  <si>
    <t xml:space="preserve">Se realizó el seguimiento de entregables  dando cumplimiento con las fechas establecidas por cada ente de control y vigilancia, sobre este se deja como evidencia </t>
  </si>
  <si>
    <t>Se expidió la Resolución 940 del 23 de diciembre de 2022 entre la ERU y la SDHT “Por la cual se adopta el reglamento para el cumplimiento de la obligación de destinar suelo útil y urbanizado o su equivalente en metros cuadrados de construcción para el desarrollo de vivienda de interés prioritario (VIP) y vivienda de interés social (VIS) en los tratamientos urbanísticos de desarrollo, renovación y consolidación, a través de la alternativa de pago compensatorio en proyectos que gestione la Empresa de Renovación y Desarrollo Urbano de Bogotá; se regula su recaudo, administración y destinación y se dictan otras disposiciones”</t>
  </si>
  <si>
    <t>Resolución 940 de 2022</t>
  </si>
  <si>
    <t>1. No hay evidencia de la reuniones bimensuales  de los comités operativos de los convenios suscritos para el desarrollo de los proyectos de vivienda, con el propósito de identificar los posibles retrasos que se puedan presentar en la ejecución de los mismos, así como las acciones y compromisos a tomar, los cuales quedan registrados en las respectivas actas de comité.
2. No se evidencian los reportes semanales a la Gerencia General sobre el seguimiento a las actividades de ejecución de los proyectos de vivienda supervisados por la Gerencia de Vivienda, de acuerdo a lo establecido en la Acción de tratamiento</t>
  </si>
  <si>
    <t>Durante el  tercer cuatrimestre se realizó un comité de autoevaluación.
Se diligenciaron los formatos de seguimiento para la ejecución del plan de gestión de los proyectos San Bernardo tercer Milenio, Fenicia, Calle 26  y Proscenio, los cuales se encuentran ubicados en las carpetas de los respectivos proyectos
Para las adiciones de los contratos de tiene la oficina de Gestión Social en la presente vigencia se encuentra contemplada la obligación: "Guardar estricta reserva sobre toda la información y documentos que tenga acceso"; se ponen como evidencia los 23 contratos suscritos en la vigencia 2022 por parte de la oficina de gestión social: 294-2022,298-2022,300-2022,307-2022,308-2022,309-2022,315-2022,316-2022,318-2022,319-2022,320-2022,322-2022,323-2022,325-2022,326-2022,327-2022,329-2022,330-2022,332-2022,333-2022,336-2022,337-2022 y 358-2022</t>
  </si>
  <si>
    <t>El profesional de Inventarios realizo la actualización correspondiente de acuerdo al ingreso o salida de Colaboradores o por cambios en equipos de computo, adicionalmente se ejecutaron las actividades descritas en el PD-59.</t>
  </si>
  <si>
    <t>Actualización Inventario, PD-21, Informe de Inventarios Agosto - septiembre de 2022.</t>
  </si>
  <si>
    <t>Se realizaron reuniones con los contratistas de servicios  logísticos con el fin de hacer seguimiento al desarrollo de las actividades y obligaciones.</t>
  </si>
  <si>
    <t>Actas de reunión</t>
  </si>
  <si>
    <t>Correo de socialización.</t>
  </si>
  <si>
    <t xml:space="preserve">El profesional del Proceso socializó la actualización del Sistema Integrado de Conservación Documental, la cual fue enviada a validación por el Archivo de Bogotá D.C. </t>
  </si>
  <si>
    <t>Durante el cuatrimestres se desarrollaron las actividades programadas en el Plan Institucional de Archivos PINAR .</t>
  </si>
  <si>
    <t xml:space="preserve">Formato Único de Inventario Documental - Traslado documental </t>
  </si>
  <si>
    <t xml:space="preserve">Se crearon los expedientes electrónicos en el SGDEA- TAMPUS, de acuerdo con las solicitudes recibidas mediante correo electrónico. </t>
  </si>
  <si>
    <t xml:space="preserve">En la matriz de seguimiento la dependiente judicial incorpora los nuevos estados que salgan dentro de los procesos judiciales </t>
  </si>
  <si>
    <t>En este ultimo cuatrimestre se celebraron 8 comités de actas del Comité de Defensa Judicial, Conciliación y Repetición, y sus respectivas actas se encuentran subidas en el Siproj web</t>
  </si>
  <si>
    <t>Cada uno de los abogados del equipo de defensa judicial  cargo las respectivas fichas presentadas ante el actas del Comité de Defensa Judicial, Conciliación y Repetición</t>
  </si>
  <si>
    <t xml:space="preserve">En este cuatrimestre se realizaron verificaciones de los procesos judiciales que adelanta la empresa como demandado o demandante en el Siproj encontrando que todos los procesos se encuentran con sus piezas procesales debidamente subidas </t>
  </si>
  <si>
    <t xml:space="preserve">En la matriz de seguimiento la dependiente judicial incorpora los estados que salgan dentro de los procesos judiciales </t>
  </si>
  <si>
    <t xml:space="preserve">La dependiente judicial revisó en este cuatrimestre los procesos judiciales e incorporo en la base de datos la información de las actuaciones nuevas </t>
  </si>
  <si>
    <t>Todos las solicitudes radicadas en la DGC se tramitan a través de la plataforma transaccional SECOP II y se constata su recomendación previa de trámite, a través de las actas de las respectivas sesiones del comité de contratación.</t>
  </si>
  <si>
    <t xml:space="preserve">el 2022 se adelantaron  39 comités de contratación, sus correspondientes actas  se encuentran alojadas en el TAMPUS:
520.2.07. Actas del Comité de Contratación
</t>
  </si>
  <si>
    <t xml:space="preserve">Se realizan siguiente mensual al Plan Anual de Adquisidores y Plan de Inversión, cuando se detectan retrasos en su ejecución se envía a las diferentes dependencias comunicaciones internas con el fin de evidenciar el avance en los procesos de contratación programados </t>
  </si>
  <si>
    <t>En este periodo se han adelantado 2 comunicaciones internas a las diferentes áreas a las cuales se les ha detectado un retraso con el fin de generar alerta al respecto, a continuación se relacionan los números de radicados: 
I2022003106
I2022003107</t>
  </si>
  <si>
    <t>En el presente periodo se han actualizado los formatos relacionados a continuación, los cuales se han socializado con la Empresa a través de correo electrónico y reunión a través de MEET para aclarar dudas al respecto de su uso.
FT-213 Constancia de cierre Expediente Contractual V1
FT-212 Acta de Liquidación de contratos V1
FT-23 Lista de chequeo requisitos básicos de contratación V8</t>
  </si>
  <si>
    <t>Durante el perdido de medición de este informe se realizaron las siguientes actividades relacionadas con divulgación, capacitación del PIGA:
1. Ciclopaseo al Humedal el Salitre con el apoyo del IDRD
2. Seguimiento energía, residuos y consumo papel: ver Indicadores del Proceso 
3. Seguimiento diario movilidad
4. Charla: Qué es la movilidad sostenible?, Beneficios ambientales con SST en el marco de la semana de la bici
5. Semana de la bici
6. Charla sobre "Cultura del agua" en los miércoles sostenibles 
7. Se realizó la caminata al sendero de La Aguadora
8, Charla Botellas de Amor</t>
  </si>
  <si>
    <t>Se realizaron  seguimientos donde se verificaron los avances presupuestales conformes a las actividades realizadas con el fin de identificar los logros alcanzados.
Se realizo auditoria por parte de la oficina de control interno donde se realizo seguimiento a la ejecución del PACA y logro evidenciar el cumplimiento satisfactorio de lo estipulado para ejecución.</t>
  </si>
  <si>
    <t>Reporte seguimiento.
Correo con seguimiento para Auditoria</t>
  </si>
  <si>
    <t>Se realizó reunión con la Secretaria Distrital de Ambiente con el objetivo de revisar los formatos 31 y 32 los cuales identifican los lineamientos establecidos en el PACA. Como resultado de la revisión por parte de la Secretaria se evidencio que se está dando cumplimiento a las metas establecidas en el PACA y se procedió a hacer el correspondiente cargue. a Storm.</t>
  </si>
  <si>
    <t>Comunicación de la secretaria informando la aprobación para subir la información a la herramienta  STORM WEB</t>
  </si>
  <si>
    <t>Se realizó el seguimiento a la matriz de quejas y reclamos y a los informes de calidad en las repuestas emitidos por la Alcaldía Mayor de Bogotá</t>
  </si>
  <si>
    <t xml:space="preserve">Con relación a los incumplimiento en los criterios de respuesta encontrados,  se envió memorando a los jefes de área y se programaron las capacitaciones funcionales. </t>
  </si>
  <si>
    <t>Correos de requerimiento.</t>
  </si>
  <si>
    <t>Novedades de acceso lógico.</t>
  </si>
  <si>
    <r>
      <t xml:space="preserve">Para la esta vigencia la solicitud de presupuesto se realizo con los proyectos registrados en el PETI, lo anterior dado que los proyectos de TI que cubren las necesidades se plantearon en dicho Plan de acuerdo a lo descrito en el numeral </t>
    </r>
    <r>
      <rPr>
        <b/>
        <i/>
        <sz val="11"/>
        <rFont val="Arial Narrow"/>
        <family val="2"/>
      </rPr>
      <t>7.2.7  Estimación de Costos 7.2.4.1 Principales Proyectos</t>
    </r>
    <r>
      <rPr>
        <sz val="11"/>
        <rFont val="Arial Narrow"/>
        <family val="2"/>
      </rPr>
      <t xml:space="preserve">. Así las cosas, para la vigencia 2023 se validara la pertinacia de  este control, ya que la proyección del presupuesto se realizara con el Plan Estratégico de Tecnologías de la Información 2022-2026.
</t>
    </r>
  </si>
  <si>
    <t>Evidencia contrato 327-2021 mantenimiento equipos de computo.</t>
  </si>
  <si>
    <t xml:space="preserve">Evidencia contrato 327-2021 mantenimiento equipos de computo. </t>
  </si>
  <si>
    <t xml:space="preserve">El monitoreo web se ha venido realizando permanentemente con el fin de verificar la disponibilidad y el funcionamiento de los aplicativos.
</t>
  </si>
  <si>
    <t>Se realizo el  seguimiento al contrato que soporta los servicios de TI y se realizaron actividades de capacitación.</t>
  </si>
  <si>
    <t xml:space="preserve">Evidencias capacitación. </t>
  </si>
  <si>
    <t>Seguimiento de la revisión y verificación de la información tributaria por parte de la revisoría fiscal y asesor tributario</t>
  </si>
  <si>
    <t>Dentro del seguimiento se realizan las siguientes actividades:
1) Se realiza el cruce de auxiliares versus la declaración a presentar.
2) Se revisaron los movimientos contables conforme a libros auxiliares, suministrados.
de acuerdo a muestra seleccionada.
3) Se valida la auto renta declarada tanto en base como en porcentaje aplicado
4) Se verifica la oportunidad de pago del periodo del mes anterior
5) Se valida la fecha limite de presentación del impuesto a presentar</t>
  </si>
  <si>
    <t>Se ha realizado  la conciliación de información confrontando  la información registrada frente a la ejecutada de los recursos financieros de la Empresa, con el propósito de asegurar el seguimiento a los recursos financieros.</t>
  </si>
  <si>
    <t>El  procedimiento se encuentra etapa de ajustes de observaciones recibidas por parte de la Oficina de Planeación  por parte del proceso de Contabilidad.</t>
  </si>
  <si>
    <t>Correo recibido por la Oficina de Planeación.</t>
  </si>
  <si>
    <t>El proceso no reporto avance de  las acciones de tratamiento por lo que se mantiene el porcentaje asignado en el segundo Seguimiento.</t>
  </si>
  <si>
    <t>1. Informe Final Ciclo Auditorias Internas de Calidad 2022 
2. Informe Final Auditoria Contratación transversal
3. Informe Final   Auditoria Proceso Terceros Concurrentes
Plan de Trabajo Auditoria Proceso Terceros Concurrentes
4. Informe Final  Costeo de los proyectos y rentabilidad de la Empresa
5.  Informe Final  Costeo de los proyectos y rentabilidad de la Empresa
6.  Informe Final  Voto Nacional (Incluye Edificio Formación para el Trabajo)
7.  Lista de Asistencia Informe Final  Servicios Administrativos y de apoyo - PIGA - Talento Humano -  Servicios Logísticos</t>
  </si>
  <si>
    <t xml:space="preserve">Cada vez que se ejecuta un trabajo de auditoria, el auditor líder compila la información insumo resultante del trabajo de auditoría en un drive asociado al correo de la Jefe de la Oficina de Control Interno para su protección y resguardo, quien verifica su contenido, a lo cual el proceso Gestión de TIC realiza el Backus respectiva. </t>
  </si>
  <si>
    <t xml:space="preserve">El 24 de octubre de 2022 se realizó reunión entre la Jefe de disciplinarios y la profesional del área donde se establecieron las pruebas y las decisiones a tomar dentro del proceso disciplinario No. 008-2022.                                                                                                                           El 1 de noviembre de 2022 se realizó la reunión entre la Jefe de disciplinarios y la profesional del área donde se revisaron las pruebas y la toma de decisiones dentro del proceso No. 007-2022.                                                                                                                                                         El 14 de diciembre de 2022 se realizó la reunión entre la Jefe de disciplinarios y la profesional del área donde se verificaron las pruebas y la decisión a tomar dentro del proceso disciplinario No. 069-2018. </t>
  </si>
  <si>
    <t xml:space="preserve">Reuniones en las que se  revisaron expedientes priorizados en los que el recaudo de pruebas finalizó, llegando a un acuerdo respecto de la decisión que se adoptará a saber:                                                                                                                                                      Reunión de fecha 24 de octubre de 2022.                                                                                                                                                                                                                                                                                                                                                                                                                                                    Reunión de fecha 1 de noviembre de 2022                                                                                                                                                                                                                                                                                                                                                                                                                                                           Reunión de fecha 14 de diciembre de 2022.                                                         Seguimiento  disponible en Drive, a las solicitudes de pruebas dentro de los expedientes que se encuentran en términos para tomar decisiones respecto de la formulación de cargos o del auto de terminación y archivo definitivo                                                               </t>
  </si>
  <si>
    <t xml:space="preserve">El 24 de octubre de 2022 se realizó reunión entre la Jefe de disciplinarios y la profesional del área donde se verificaron los términos de prescripción del proceso No. 008-2022.                            El 4 de noviembre de 2022 se realizó la reunión entre la Jefe de disciplinarios y la profesional del área donde se verificaron los términos de prescripción del proceso No. 007-2022.                              El 7 de diciembre de 2022 se realizó la reunión entre la Jefe de disciplinarios y la profesional del área donde se verificaron los términos de prescripción del proceso No. 006-2022. </t>
  </si>
  <si>
    <t xml:space="preserve">Reuniones en las que se verificaron los términos de prescripción de procesos, a saber:                                                                                        Reunión de fecha 24 de octubre de 2022.                                                                                                                                                                                                                                                                                                                                                                                                                                                    Reunión de fecha 4 de noviembre de 2022                                                                                                                                                                                                                                                                                                                                                                                                                                                           Reunión de fecha 7 de diciembre de 2022.                                                            Actualización del archivo de seguimiento disponible en Drive con las actuaciones realizadas en el mes                                                                                                                                                       </t>
  </si>
  <si>
    <t xml:space="preserve">Actas de los Comités de Proyectos realizados durante los meses de septiembre, octubre, noviembre y diciembre, así: 
No.3: 14.09.22, No. 4: 19.10.22, No.5: 09.11.22, No.6: 23.11.22. </t>
  </si>
  <si>
    <t>La SGU estableció una acción de tratamiento que se desarrollo el dia 11 de octubre de 2022, a través, de una capacitación de directrices y adecuado tratamiento de datos e información confidencial de manera virtual al interior de la Subgerencia.</t>
  </si>
  <si>
    <t>En cumplimiento a lo establecido en los controles, el equipo de estudios previos de la SGDP, desarrollo las siguientes actividades:
*Se estructuraron 10 procesos de selección
*Se realizaron 5 Comités de Contratación
*Se realizaron  2 Comités Fiduciarios
*Se revisaron y radicaron 10 solicitudes de procesos de selección y contratación.</t>
  </si>
  <si>
    <r>
      <rPr>
        <sz val="11"/>
        <color theme="1"/>
        <rFont val="Arial Narrow"/>
        <family val="2"/>
      </rPr>
      <t>Se adelantaron los siguientes procesos selección y contratación (se adjuntan radicados):</t>
    </r>
    <r>
      <rPr>
        <sz val="11"/>
        <color rgb="FFFF0000"/>
        <rFont val="Arial Narrow"/>
        <family val="2"/>
      </rPr>
      <t xml:space="preserve">
</t>
    </r>
    <r>
      <rPr>
        <sz val="11"/>
        <color theme="1"/>
        <rFont val="Arial Narrow"/>
        <family val="2"/>
      </rPr>
      <t xml:space="preserve">*Proceso Estudios y diseños Nodos Cable San  Cristóbal  y su interventoría
*Proceso estudios ambiental, geológico, geotécnico y análisis de amenazas para la formulación de la modificación del Plan Parcial de desarrollo tres quebradas en la ciudad de Bogotá D.C.
*Proceso ciudadela nuevo Usme (Obras complementarias).
*Proceso de mantenimiento de predios </t>
    </r>
    <r>
      <rPr>
        <sz val="11"/>
        <color rgb="FFFF0000"/>
        <rFont val="Arial Narrow"/>
        <family val="2"/>
      </rPr>
      <t xml:space="preserve">
</t>
    </r>
    <r>
      <rPr>
        <sz val="11"/>
        <color theme="1"/>
        <rFont val="Arial Narrow"/>
        <family val="2"/>
      </rPr>
      <t>*Proceso principal Usme 2 IDIPRON y su interventoría.</t>
    </r>
    <r>
      <rPr>
        <sz val="11"/>
        <color rgb="FFFF0000"/>
        <rFont val="Arial Narrow"/>
        <family val="2"/>
      </rPr>
      <t xml:space="preserve">
</t>
    </r>
    <r>
      <rPr>
        <sz val="11"/>
        <color theme="1"/>
        <rFont val="Arial Narrow"/>
        <family val="2"/>
      </rPr>
      <t>*Proceso primeros auxilios BIC San Bernardo
*Proceso cerramiento predio Bosa
*Interventoría de obra Edificio de Mantenimiento Proyecto CHSJD (contratación Directa)</t>
    </r>
    <r>
      <rPr>
        <sz val="11"/>
        <color rgb="FFFF0000"/>
        <rFont val="Arial Narrow"/>
        <family val="2"/>
      </rPr>
      <t xml:space="preserve">
</t>
    </r>
    <r>
      <rPr>
        <b/>
        <u/>
        <sz val="11"/>
        <color theme="1"/>
        <rFont val="Arial Narrow"/>
        <family val="2"/>
      </rPr>
      <t>Comités de Contratación:</t>
    </r>
    <r>
      <rPr>
        <sz val="11"/>
        <color rgb="FFFF0000"/>
        <rFont val="Arial Narrow"/>
        <family val="2"/>
      </rPr>
      <t xml:space="preserve">
</t>
    </r>
    <r>
      <rPr>
        <sz val="11"/>
        <rFont val="Arial Narrow"/>
        <family val="2"/>
      </rPr>
      <t>Comité de Contratación No. 32 de fecha 06 de septiembre de 2022
Comité de Contratación No. 33 de fecha 23 de septiembre de 2022
Comité de Contratación No. 36 de fecha 21 de octubre de 2022
Comité de Contratación No. 38 de fecha 18  de noviembre de 2022
Comité de Contratación No.39 de fecha 29 de diciembre de 2022</t>
    </r>
  </si>
  <si>
    <t>Proyecto Alcaldía de Mártires:
*Acta parcial de obra No. 6, 7 y 8
*Acta parcial de interventoría No. 6, 7 y 8.
*1. Acta de recibo parcial No 2  Cto 079-2022 CHSJD.Estudios y diseños.
2. Acta parcial de obra No 4 Cto 076-2022. CHSJD</t>
  </si>
  <si>
    <t>No se evidencia avance en la acciones de tratamiento frente a lo reportado en el segundo cuatrimestre, por lo que se mantiene el porcentaje de avance del 66%</t>
  </si>
  <si>
    <t>Se realizó seguimiento predio a predio de los procesos que se encuentran en trámites de pago</t>
  </si>
  <si>
    <t>Se ha venido realizando la copia automática  del sistema JSP7 Gobierno, TAMPUS, GLPI. El profesional verifica que la copia quede en el repositorio correctamente.</t>
  </si>
  <si>
    <t>No se evidencia el seguimiento a las alertas que se han generado a la fecha tanto en los instrumentos como en las reuniones de seguimiento. De acuerdo a lo establecido en el control.</t>
  </si>
  <si>
    <t>Es importante revisar la acción de tratamiento establecida ya que esta no mitiga posibilidad de la materialización del Riesgo establecido, no se evidencia la socialización los controles establecidos en el procedimiento PD-95 Estructuración del proceso de selección de contratistas para los proyectos que adelante la Empresa.</t>
  </si>
  <si>
    <t>Es importante que el proceso revise la pertinencia de los controles y acción de tratamiento ya que son las mismas y estas deben ser diferentes ya que los controles son para gestionar los riesgos de acuerdo a los parámetros de la empresa y las leyes del país, el cual debe ser llevado a cabo por todo el personal. y las acciones de tratamiento son para mitigar la materialización del riesgo después de los controles.</t>
  </si>
  <si>
    <t>Revisar la acción de tratamiento ya que la parte inicial de la misma “Mantener la reserva y confidencialidad de la información que obtenga como consecuencia de las actividades que desarrolle para el cumplimiento del objeto del contrato" y para los contratos de planta, en el otrosí a los contratos individuales de trabajo, en el acuerdo No. CUATRO, se especifica que el trabajador debe garantizar la confidencialidad de la información de la Empresa a la que tenga acceso por razón de las funciones asignadas" son controles del proceso. Por otra parte, no se evidencian actividades referentes a jornadas de capacitación del código de integridad, con el equipo de trabajo.</t>
  </si>
  <si>
    <t>Revisar la pertinencia de la acción de tratamiento planteada y evaluar si la ejecución de la misma si contribuye a la mitigación del riesgo.</t>
  </si>
  <si>
    <t>Revisar la pertinencia de las siguientes acciones de tratamiento planteadas y evaluar si la ejecución de la misma si contribuye a la mitigación del riesgo ya que esta es parte del control:
Cargar las fichas y las actas del Comité de Defensa Judicial, Conciliación y Repetición al SIPROJ WEB.</t>
  </si>
  <si>
    <t>Revisar la pertinencia de la acción de tratamiento planteada (Realizar el seguimiento mensual sobre el cumplimiento de los entregables.) y evaluar si la ejecución de la misma si contribuye a la mitigación del riesgo ya que esta es parte del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</si>
</sst>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68"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color theme="1"/>
      <name val="Arial Narrow"/>
      <family val="2"/>
    </font>
    <font>
      <i/>
      <sz val="10"/>
      <color theme="1"/>
      <name val="Arial Narrow"/>
      <family val="2"/>
    </font>
    <font>
      <sz val="10"/>
      <color rgb="FFFF0000"/>
      <name val="Arial Narrow"/>
      <family val="2"/>
    </font>
    <font>
      <b/>
      <i/>
      <sz val="10"/>
      <color theme="1"/>
      <name val="Arial Narrow"/>
      <family val="2"/>
    </font>
    <font>
      <b/>
      <sz val="10"/>
      <color rgb="FFFF0000"/>
      <name val="Arial Narrow"/>
      <family val="2"/>
    </font>
    <font>
      <u/>
      <sz val="11"/>
      <color theme="10"/>
      <name val="Calibri"/>
      <family val="2"/>
      <scheme val="minor"/>
    </font>
    <font>
      <sz val="11"/>
      <color rgb="FFFF0000"/>
      <name val="Arial Narrow"/>
      <family val="2"/>
    </font>
    <font>
      <b/>
      <u/>
      <sz val="11"/>
      <color theme="1"/>
      <name val="Arial Narrow"/>
      <family val="2"/>
    </font>
    <font>
      <b/>
      <i/>
      <sz val="11"/>
      <name val="Arial Narrow"/>
      <family val="2"/>
    </font>
    <font>
      <sz val="8"/>
      <name val="Calibri"/>
      <family val="2"/>
      <scheme val="minor"/>
    </font>
    <font>
      <sz val="11"/>
      <color rgb="FF000000"/>
      <name val="Arial"/>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83">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medium">
        <color theme="1"/>
      </left>
      <right/>
      <top style="medium">
        <color theme="1"/>
      </top>
      <bottom/>
      <diagonal/>
    </border>
    <border>
      <left/>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style="medium">
        <color indexed="64"/>
      </left>
      <right/>
      <top/>
      <bottom style="medium">
        <color theme="1"/>
      </bottom>
      <diagonal/>
    </border>
    <border>
      <left/>
      <right style="medium">
        <color theme="1"/>
      </right>
      <top/>
      <bottom style="medium">
        <color theme="1"/>
      </bottom>
      <diagonal/>
    </border>
    <border>
      <left style="dotted">
        <color rgb="FFE36C09"/>
      </left>
      <right style="dotted">
        <color rgb="FFE36C09"/>
      </right>
      <top style="dotted">
        <color rgb="FFE36C09"/>
      </top>
      <bottom style="dotted">
        <color rgb="FFE36C09"/>
      </bottom>
      <diagonal/>
    </border>
    <border>
      <left style="dashed">
        <color rgb="FFE46C0A"/>
      </left>
      <right style="dashed">
        <color rgb="FFE46C0A"/>
      </right>
      <top style="dashed">
        <color rgb="FFE46C0A"/>
      </top>
      <bottom style="dashed">
        <color rgb="FFE46C0A"/>
      </bottom>
      <diagonal/>
    </border>
  </borders>
  <cellStyleXfs count="6">
    <xf numFmtId="0" fontId="0" fillId="0" borderId="0"/>
    <xf numFmtId="9" fontId="14" fillId="0" borderId="0" applyFont="0" applyFill="0" applyBorder="0" applyAlignment="0" applyProtection="0"/>
    <xf numFmtId="0" fontId="46" fillId="0" borderId="0"/>
    <xf numFmtId="0" fontId="47" fillId="0" borderId="0"/>
    <xf numFmtId="0" fontId="5" fillId="0" borderId="0"/>
    <xf numFmtId="0" fontId="62" fillId="0" borderId="0" applyNumberFormat="0" applyFill="0" applyBorder="0" applyAlignment="0" applyProtection="0"/>
  </cellStyleXfs>
  <cellXfs count="563">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4" fillId="2" borderId="2" xfId="0" applyFont="1" applyFill="1" applyBorder="1" applyAlignment="1">
      <alignment horizontal="center" vertical="center" textRotation="90"/>
    </xf>
    <xf numFmtId="0" fontId="5" fillId="0" borderId="0" xfId="0" applyFont="1"/>
    <xf numFmtId="0" fontId="3" fillId="0" borderId="1" xfId="0" applyFont="1" applyBorder="1" applyAlignment="1">
      <alignment horizontal="left" vertical="center" wrapText="1" indent="1" readingOrder="1"/>
    </xf>
    <xf numFmtId="0" fontId="8" fillId="0" borderId="0" xfId="0" applyFont="1" applyAlignment="1">
      <alignment horizontal="center" vertical="center" wrapText="1"/>
    </xf>
    <xf numFmtId="0" fontId="9" fillId="6" borderId="0" xfId="0" applyFont="1" applyFill="1" applyAlignment="1">
      <alignment horizontal="center" vertical="center" wrapText="1" readingOrder="1"/>
    </xf>
    <xf numFmtId="0" fontId="10" fillId="5" borderId="11" xfId="0" applyFont="1" applyFill="1" applyBorder="1" applyAlignment="1">
      <alignment horizontal="center" vertical="center" wrapText="1" readingOrder="1"/>
    </xf>
    <xf numFmtId="0" fontId="10" fillId="0" borderId="11" xfId="0" applyFont="1" applyBorder="1" applyAlignment="1">
      <alignment horizontal="justify" vertical="center" wrapText="1" readingOrder="1"/>
    </xf>
    <xf numFmtId="9" fontId="10" fillId="0" borderId="11" xfId="0" applyNumberFormat="1" applyFont="1" applyBorder="1" applyAlignment="1">
      <alignment horizontal="center" vertical="center" wrapText="1" readingOrder="1"/>
    </xf>
    <xf numFmtId="0" fontId="10" fillId="7" borderId="1" xfId="0" applyFont="1" applyFill="1" applyBorder="1" applyAlignment="1">
      <alignment horizontal="center" vertical="center" wrapText="1" readingOrder="1"/>
    </xf>
    <xf numFmtId="0" fontId="10" fillId="0" borderId="1" xfId="0" applyFont="1" applyBorder="1" applyAlignment="1">
      <alignment horizontal="justify" vertical="center" wrapText="1" readingOrder="1"/>
    </xf>
    <xf numFmtId="9" fontId="10" fillId="0" borderId="1" xfId="0" applyNumberFormat="1"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10" fillId="8" borderId="1" xfId="0" applyFont="1" applyFill="1" applyBorder="1" applyAlignment="1">
      <alignment horizontal="center" vertical="center" wrapText="1" readingOrder="1"/>
    </xf>
    <xf numFmtId="0" fontId="11" fillId="9" borderId="1" xfId="0" applyFont="1" applyFill="1" applyBorder="1" applyAlignment="1">
      <alignment horizontal="center" vertical="center" wrapText="1" readingOrder="1"/>
    </xf>
    <xf numFmtId="0" fontId="15" fillId="0" borderId="0" xfId="0" applyFont="1"/>
    <xf numFmtId="0" fontId="13" fillId="0" borderId="0" xfId="0" applyFont="1"/>
    <xf numFmtId="0" fontId="4" fillId="0" borderId="0" xfId="0" applyFont="1" applyAlignment="1">
      <alignment horizontal="left" vertical="center"/>
    </xf>
    <xf numFmtId="0" fontId="1" fillId="3" borderId="0" xfId="0" applyFont="1" applyFill="1" applyAlignment="1">
      <alignment vertic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7" fillId="0" borderId="0" xfId="0" applyFont="1" applyAlignment="1">
      <alignment vertical="center"/>
    </xf>
    <xf numFmtId="0" fontId="28" fillId="0" borderId="0" xfId="0" applyFont="1"/>
    <xf numFmtId="0" fontId="26" fillId="0" borderId="0" xfId="0" applyFont="1"/>
    <xf numFmtId="0" fontId="0" fillId="0" borderId="0" xfId="0" pivotButton="1"/>
    <xf numFmtId="0" fontId="12" fillId="0" borderId="0" xfId="0" applyFont="1" applyAlignment="1">
      <alignment horizontal="justify" vertical="center" wrapText="1" readingOrder="1"/>
    </xf>
    <xf numFmtId="0" fontId="29" fillId="0" borderId="0" xfId="0" applyFont="1"/>
    <xf numFmtId="0" fontId="31" fillId="6" borderId="0" xfId="0" applyFont="1" applyFill="1" applyAlignment="1">
      <alignment horizontal="center" vertical="center" wrapText="1" readingOrder="1"/>
    </xf>
    <xf numFmtId="0" fontId="32" fillId="0" borderId="11" xfId="0" applyFont="1" applyBorder="1" applyAlignment="1">
      <alignment horizontal="justify" vertical="center" wrapText="1" readingOrder="1"/>
    </xf>
    <xf numFmtId="0" fontId="32" fillId="0" borderId="1" xfId="0" applyFont="1" applyBorder="1" applyAlignment="1">
      <alignment horizontal="justify" vertical="center" wrapText="1" readingOrder="1"/>
    </xf>
    <xf numFmtId="0" fontId="32" fillId="5" borderId="11" xfId="0" applyFont="1" applyFill="1" applyBorder="1" applyAlignment="1">
      <alignment horizontal="center" vertical="center" wrapText="1" readingOrder="1"/>
    </xf>
    <xf numFmtId="0" fontId="32" fillId="7" borderId="1" xfId="0" applyFont="1" applyFill="1" applyBorder="1" applyAlignment="1">
      <alignment horizontal="center" vertical="center" wrapText="1" readingOrder="1"/>
    </xf>
    <xf numFmtId="0" fontId="32" fillId="4" borderId="1" xfId="0" applyFont="1" applyFill="1" applyBorder="1" applyAlignment="1">
      <alignment horizontal="center" vertical="center" wrapText="1" readingOrder="1"/>
    </xf>
    <xf numFmtId="0" fontId="32" fillId="8" borderId="1" xfId="0" applyFont="1" applyFill="1" applyBorder="1" applyAlignment="1">
      <alignment horizontal="center" vertical="center" wrapText="1" readingOrder="1"/>
    </xf>
    <xf numFmtId="0" fontId="33" fillId="9" borderId="1" xfId="0" applyFont="1" applyFill="1" applyBorder="1" applyAlignment="1">
      <alignment horizontal="center" vertical="center" wrapText="1" readingOrder="1"/>
    </xf>
    <xf numFmtId="0" fontId="32" fillId="0" borderId="11" xfId="0" applyFont="1" applyBorder="1" applyAlignment="1">
      <alignment horizontal="center" vertical="center" wrapText="1" readingOrder="1"/>
    </xf>
    <xf numFmtId="0" fontId="32" fillId="0" borderId="1" xfId="0" applyFont="1" applyBorder="1" applyAlignment="1">
      <alignment horizontal="center" vertical="center" wrapText="1" readingOrder="1"/>
    </xf>
    <xf numFmtId="0" fontId="19" fillId="12" borderId="12" xfId="0" applyFont="1" applyFill="1" applyBorder="1" applyAlignment="1" applyProtection="1">
      <alignment horizontal="center" wrapText="1" readingOrder="1"/>
      <protection hidden="1"/>
    </xf>
    <xf numFmtId="0" fontId="19" fillId="12" borderId="19" xfId="0" applyFont="1" applyFill="1" applyBorder="1" applyAlignment="1" applyProtection="1">
      <alignment horizontal="center" wrapText="1" readingOrder="1"/>
      <protection hidden="1"/>
    </xf>
    <xf numFmtId="0" fontId="19" fillId="11" borderId="0" xfId="0" applyFont="1" applyFill="1" applyAlignment="1" applyProtection="1">
      <alignment horizontal="center" vertical="center" wrapText="1" readingOrder="1"/>
      <protection hidden="1"/>
    </xf>
    <xf numFmtId="0" fontId="19" fillId="12" borderId="14" xfId="0" applyFont="1" applyFill="1" applyBorder="1" applyAlignment="1" applyProtection="1">
      <alignment horizontal="center" wrapText="1" readingOrder="1"/>
      <protection hidden="1"/>
    </xf>
    <xf numFmtId="0" fontId="19" fillId="12" borderId="0" xfId="0" applyFont="1" applyFill="1" applyAlignment="1" applyProtection="1">
      <alignment horizontal="center" wrapText="1" readingOrder="1"/>
      <protection hidden="1"/>
    </xf>
    <xf numFmtId="0" fontId="19" fillId="12" borderId="16" xfId="0" applyFont="1" applyFill="1" applyBorder="1" applyAlignment="1" applyProtection="1">
      <alignment horizontal="center" wrapText="1" readingOrder="1"/>
      <protection hidden="1"/>
    </xf>
    <xf numFmtId="0" fontId="19" fillId="12" borderId="18" xfId="0" applyFont="1" applyFill="1" applyBorder="1" applyAlignment="1" applyProtection="1">
      <alignment horizontal="center" wrapText="1" readingOrder="1"/>
      <protection hidden="1"/>
    </xf>
    <xf numFmtId="0" fontId="19" fillId="13" borderId="12" xfId="0" applyFont="1" applyFill="1" applyBorder="1" applyAlignment="1" applyProtection="1">
      <alignment horizontal="center" wrapText="1" readingOrder="1"/>
      <protection hidden="1"/>
    </xf>
    <xf numFmtId="0" fontId="19" fillId="13" borderId="19" xfId="0" applyFont="1" applyFill="1" applyBorder="1" applyAlignment="1" applyProtection="1">
      <alignment horizontal="center" wrapText="1" readingOrder="1"/>
      <protection hidden="1"/>
    </xf>
    <xf numFmtId="0" fontId="19" fillId="13" borderId="14" xfId="0" applyFont="1" applyFill="1" applyBorder="1" applyAlignment="1" applyProtection="1">
      <alignment horizontal="center" wrapText="1" readingOrder="1"/>
      <protection hidden="1"/>
    </xf>
    <xf numFmtId="0" fontId="19" fillId="13" borderId="0" xfId="0" applyFont="1" applyFill="1" applyAlignment="1" applyProtection="1">
      <alignment horizontal="center" wrapText="1" readingOrder="1"/>
      <protection hidden="1"/>
    </xf>
    <xf numFmtId="0" fontId="19" fillId="13" borderId="16" xfId="0" applyFont="1" applyFill="1" applyBorder="1" applyAlignment="1" applyProtection="1">
      <alignment horizontal="center" wrapText="1" readingOrder="1"/>
      <protection hidden="1"/>
    </xf>
    <xf numFmtId="0" fontId="19" fillId="13" borderId="18" xfId="0" applyFont="1" applyFill="1" applyBorder="1" applyAlignment="1" applyProtection="1">
      <alignment horizontal="center" wrapText="1" readingOrder="1"/>
      <protection hidden="1"/>
    </xf>
    <xf numFmtId="0" fontId="19" fillId="5" borderId="19" xfId="0" applyFont="1" applyFill="1" applyBorder="1" applyAlignment="1" applyProtection="1">
      <alignment horizontal="center" wrapText="1" readingOrder="1"/>
      <protection hidden="1"/>
    </xf>
    <xf numFmtId="0" fontId="19" fillId="5" borderId="0" xfId="0" applyFont="1" applyFill="1" applyAlignment="1" applyProtection="1">
      <alignment horizontal="center" wrapText="1" readingOrder="1"/>
      <protection hidden="1"/>
    </xf>
    <xf numFmtId="0" fontId="19" fillId="5" borderId="18" xfId="0" applyFont="1" applyFill="1" applyBorder="1" applyAlignment="1" applyProtection="1">
      <alignment horizontal="center" wrapText="1" readingOrder="1"/>
      <protection hidden="1"/>
    </xf>
    <xf numFmtId="0" fontId="0" fillId="3" borderId="0" xfId="0" applyFill="1"/>
    <xf numFmtId="0" fontId="48" fillId="3" borderId="49" xfId="2" applyFont="1" applyFill="1" applyBorder="1"/>
    <xf numFmtId="0" fontId="48" fillId="3" borderId="50" xfId="2" applyFont="1" applyFill="1" applyBorder="1"/>
    <xf numFmtId="0" fontId="48" fillId="3" borderId="51" xfId="2" applyFont="1" applyFill="1" applyBorder="1"/>
    <xf numFmtId="0" fontId="16" fillId="3" borderId="0" xfId="0" applyFont="1" applyFill="1" applyAlignment="1">
      <alignment vertical="center"/>
    </xf>
    <xf numFmtId="0" fontId="5" fillId="3" borderId="0" xfId="0" applyFont="1" applyFill="1"/>
    <xf numFmtId="0" fontId="35" fillId="3" borderId="0" xfId="0" applyFont="1" applyFill="1"/>
    <xf numFmtId="0" fontId="36" fillId="3" borderId="32" xfId="0" applyFont="1" applyFill="1" applyBorder="1" applyAlignment="1">
      <alignment horizontal="center" vertical="center" wrapText="1" readingOrder="1"/>
    </xf>
    <xf numFmtId="0" fontId="37" fillId="3" borderId="32" xfId="0" applyFont="1" applyFill="1" applyBorder="1" applyAlignment="1">
      <alignment horizontal="justify" vertical="center" wrapText="1" readingOrder="1"/>
    </xf>
    <xf numFmtId="9" fontId="36" fillId="3" borderId="41" xfId="0" applyNumberFormat="1" applyFont="1" applyFill="1" applyBorder="1" applyAlignment="1">
      <alignment horizontal="center" vertical="center" wrapText="1" readingOrder="1"/>
    </xf>
    <xf numFmtId="0" fontId="36" fillId="3" borderId="31" xfId="0" applyFont="1" applyFill="1" applyBorder="1" applyAlignment="1">
      <alignment horizontal="center" vertical="center" wrapText="1" readingOrder="1"/>
    </xf>
    <xf numFmtId="0" fontId="37" fillId="3" borderId="31" xfId="0" applyFont="1" applyFill="1" applyBorder="1" applyAlignment="1">
      <alignment horizontal="justify" vertical="center" wrapText="1" readingOrder="1"/>
    </xf>
    <xf numFmtId="9" fontId="36" fillId="3" borderId="36" xfId="0" applyNumberFormat="1" applyFont="1" applyFill="1" applyBorder="1" applyAlignment="1">
      <alignment horizontal="center" vertical="center" wrapText="1" readingOrder="1"/>
    </xf>
    <xf numFmtId="0" fontId="37" fillId="3" borderId="36" xfId="0" applyFont="1" applyFill="1" applyBorder="1" applyAlignment="1">
      <alignment horizontal="center" vertical="center" wrapText="1" readingOrder="1"/>
    </xf>
    <xf numFmtId="0" fontId="36" fillId="3" borderId="38" xfId="0" applyFont="1" applyFill="1" applyBorder="1" applyAlignment="1">
      <alignment horizontal="center" vertical="center" wrapText="1" readingOrder="1"/>
    </xf>
    <xf numFmtId="0" fontId="37" fillId="3" borderId="38" xfId="0" applyFont="1" applyFill="1" applyBorder="1" applyAlignment="1">
      <alignment horizontal="justify" vertical="center" wrapText="1" readingOrder="1"/>
    </xf>
    <xf numFmtId="0" fontId="37" fillId="3" borderId="39" xfId="0" applyFont="1" applyFill="1" applyBorder="1" applyAlignment="1">
      <alignment horizontal="center" vertical="center" wrapText="1" readingOrder="1"/>
    </xf>
    <xf numFmtId="0" fontId="45" fillId="3" borderId="0" xfId="0" applyFont="1" applyFill="1"/>
    <xf numFmtId="0" fontId="36" fillId="15" borderId="43" xfId="0" applyFont="1" applyFill="1" applyBorder="1" applyAlignment="1">
      <alignment horizontal="center" vertical="center" wrapText="1" readingOrder="1"/>
    </xf>
    <xf numFmtId="0" fontId="36" fillId="15" borderId="44" xfId="0" applyFont="1" applyFill="1" applyBorder="1" applyAlignment="1">
      <alignment horizontal="center" vertical="center" wrapText="1" readingOrder="1"/>
    </xf>
    <xf numFmtId="0" fontId="13" fillId="3" borderId="0" xfId="0" applyFont="1" applyFill="1"/>
    <xf numFmtId="0" fontId="30" fillId="3" borderId="0" xfId="0" applyFont="1" applyFill="1" applyAlignment="1">
      <alignment horizontal="center" vertical="center" wrapText="1"/>
    </xf>
    <xf numFmtId="0" fontId="12" fillId="3" borderId="0" xfId="0" applyFont="1" applyFill="1" applyAlignment="1">
      <alignment horizontal="justify" vertical="center" wrapText="1" readingOrder="1"/>
    </xf>
    <xf numFmtId="0" fontId="4" fillId="3" borderId="0" xfId="0" applyFont="1" applyFill="1" applyAlignment="1">
      <alignment vertical="center"/>
    </xf>
    <xf numFmtId="0" fontId="15" fillId="3" borderId="0" xfId="0" applyFont="1" applyFill="1"/>
    <xf numFmtId="0" fontId="4" fillId="3" borderId="0" xfId="0" applyFont="1" applyFill="1" applyAlignment="1">
      <alignment horizontal="left" vertical="center"/>
    </xf>
    <xf numFmtId="0" fontId="48" fillId="3" borderId="14" xfId="2" applyFont="1" applyFill="1" applyBorder="1"/>
    <xf numFmtId="0" fontId="53" fillId="3" borderId="0" xfId="0" applyFont="1" applyFill="1" applyAlignment="1">
      <alignment horizontal="left" vertical="center" wrapText="1"/>
    </xf>
    <xf numFmtId="0" fontId="54" fillId="3" borderId="0" xfId="0" applyFont="1" applyFill="1" applyAlignment="1">
      <alignment horizontal="left" vertical="top" wrapText="1"/>
    </xf>
    <xf numFmtId="0" fontId="48" fillId="3" borderId="0" xfId="2" applyFont="1" applyFill="1"/>
    <xf numFmtId="0" fontId="48" fillId="3" borderId="15" xfId="2" applyFont="1" applyFill="1" applyBorder="1"/>
    <xf numFmtId="0" fontId="48" fillId="3" borderId="16" xfId="2" applyFont="1" applyFill="1" applyBorder="1"/>
    <xf numFmtId="0" fontId="48" fillId="3" borderId="18" xfId="2" applyFont="1" applyFill="1" applyBorder="1"/>
    <xf numFmtId="0" fontId="48" fillId="3" borderId="17" xfId="2" applyFont="1" applyFill="1" applyBorder="1"/>
    <xf numFmtId="0" fontId="52" fillId="3" borderId="0" xfId="2" applyFont="1" applyFill="1" applyAlignment="1">
      <alignment horizontal="left" vertical="center" wrapText="1"/>
    </xf>
    <xf numFmtId="0" fontId="48" fillId="3" borderId="0" xfId="2" applyFont="1" applyFill="1" applyAlignment="1">
      <alignment horizontal="left" vertical="center" wrapText="1"/>
    </xf>
    <xf numFmtId="0" fontId="48" fillId="3" borderId="0" xfId="2" quotePrefix="1" applyFont="1" applyFill="1" applyAlignment="1">
      <alignment horizontal="left" vertical="center" wrapText="1"/>
    </xf>
    <xf numFmtId="0" fontId="50" fillId="3" borderId="14" xfId="2" quotePrefix="1" applyFont="1" applyFill="1" applyBorder="1" applyAlignment="1">
      <alignment horizontal="left" vertical="top" wrapText="1"/>
    </xf>
    <xf numFmtId="0" fontId="51" fillId="3" borderId="0" xfId="2" quotePrefix="1" applyFont="1" applyFill="1" applyAlignment="1">
      <alignment horizontal="left" vertical="top" wrapText="1"/>
    </xf>
    <xf numFmtId="0" fontId="51" fillId="3" borderId="15" xfId="2" quotePrefix="1" applyFont="1" applyFill="1" applyBorder="1" applyAlignment="1">
      <alignment horizontal="left" vertical="top" wrapText="1"/>
    </xf>
    <xf numFmtId="0" fontId="6" fillId="0" borderId="2" xfId="0" applyFont="1" applyBorder="1" applyAlignment="1" applyProtection="1">
      <alignment horizontal="justify" vertical="center" wrapText="1"/>
      <protection locked="0"/>
    </xf>
    <xf numFmtId="0" fontId="19" fillId="12" borderId="13" xfId="0" applyFont="1" applyFill="1" applyBorder="1" applyAlignment="1" applyProtection="1">
      <alignment horizontal="center" wrapText="1" readingOrder="1"/>
      <protection hidden="1"/>
    </xf>
    <xf numFmtId="0" fontId="19" fillId="12" borderId="15" xfId="0" applyFont="1" applyFill="1" applyBorder="1" applyAlignment="1" applyProtection="1">
      <alignment horizontal="center" wrapText="1" readingOrder="1"/>
      <protection hidden="1"/>
    </xf>
    <xf numFmtId="0" fontId="19" fillId="12" borderId="17" xfId="0" applyFont="1" applyFill="1" applyBorder="1" applyAlignment="1" applyProtection="1">
      <alignment horizontal="center" wrapText="1" readingOrder="1"/>
      <protection hidden="1"/>
    </xf>
    <xf numFmtId="0" fontId="19" fillId="11" borderId="12" xfId="0" applyFont="1" applyFill="1" applyBorder="1" applyAlignment="1" applyProtection="1">
      <alignment horizontal="center" vertical="center" wrapText="1" readingOrder="1"/>
      <protection hidden="1"/>
    </xf>
    <xf numFmtId="0" fontId="19" fillId="11" borderId="19" xfId="0" applyFont="1" applyFill="1" applyBorder="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1" borderId="15" xfId="0" applyFont="1" applyFill="1" applyBorder="1" applyAlignment="1" applyProtection="1">
      <alignment horizontal="center" vertical="center" wrapText="1" readingOrder="1"/>
      <protection hidden="1"/>
    </xf>
    <xf numFmtId="0" fontId="19" fillId="11" borderId="16" xfId="0" applyFont="1" applyFill="1" applyBorder="1" applyAlignment="1" applyProtection="1">
      <alignment horizontal="center" vertical="center" wrapText="1" readingOrder="1"/>
      <protection hidden="1"/>
    </xf>
    <xf numFmtId="0" fontId="19" fillId="11" borderId="18" xfId="0" applyFont="1" applyFill="1" applyBorder="1" applyAlignment="1" applyProtection="1">
      <alignment horizontal="center" vertical="center" wrapText="1" readingOrder="1"/>
      <protection hidden="1"/>
    </xf>
    <xf numFmtId="0" fontId="19" fillId="11" borderId="17" xfId="0" applyFont="1" applyFill="1" applyBorder="1" applyAlignment="1" applyProtection="1">
      <alignment horizontal="center" vertical="center" wrapText="1" readingOrder="1"/>
      <protection hidden="1"/>
    </xf>
    <xf numFmtId="0" fontId="19" fillId="13" borderId="13" xfId="0" applyFont="1" applyFill="1" applyBorder="1" applyAlignment="1" applyProtection="1">
      <alignment horizontal="center" wrapText="1" readingOrder="1"/>
      <protection hidden="1"/>
    </xf>
    <xf numFmtId="0" fontId="19" fillId="13" borderId="15" xfId="0" applyFont="1" applyFill="1" applyBorder="1" applyAlignment="1" applyProtection="1">
      <alignment horizontal="center" wrapText="1" readingOrder="1"/>
      <protection hidden="1"/>
    </xf>
    <xf numFmtId="0" fontId="19" fillId="13" borderId="17" xfId="0" applyFont="1" applyFill="1" applyBorder="1" applyAlignment="1" applyProtection="1">
      <alignment horizontal="center" wrapText="1" readingOrder="1"/>
      <protection hidden="1"/>
    </xf>
    <xf numFmtId="0" fontId="19" fillId="5" borderId="12" xfId="0" applyFont="1" applyFill="1" applyBorder="1" applyAlignment="1" applyProtection="1">
      <alignment horizontal="center" wrapText="1" readingOrder="1"/>
      <protection hidden="1"/>
    </xf>
    <xf numFmtId="0" fontId="19" fillId="5" borderId="13" xfId="0" applyFont="1" applyFill="1" applyBorder="1" applyAlignment="1" applyProtection="1">
      <alignment horizontal="center" wrapText="1" readingOrder="1"/>
      <protection hidden="1"/>
    </xf>
    <xf numFmtId="0" fontId="19" fillId="5" borderId="14" xfId="0" applyFont="1" applyFill="1" applyBorder="1" applyAlignment="1" applyProtection="1">
      <alignment horizontal="center" wrapText="1" readingOrder="1"/>
      <protection hidden="1"/>
    </xf>
    <xf numFmtId="0" fontId="19" fillId="5" borderId="15" xfId="0" applyFont="1" applyFill="1" applyBorder="1" applyAlignment="1" applyProtection="1">
      <alignment horizontal="center" wrapText="1" readingOrder="1"/>
      <protection hidden="1"/>
    </xf>
    <xf numFmtId="0" fontId="19" fillId="5" borderId="16" xfId="0" applyFont="1" applyFill="1" applyBorder="1" applyAlignment="1" applyProtection="1">
      <alignment horizontal="center" wrapText="1" readingOrder="1"/>
      <protection hidden="1"/>
    </xf>
    <xf numFmtId="0" fontId="19" fillId="5" borderId="17" xfId="0" applyFont="1" applyFill="1" applyBorder="1" applyAlignment="1" applyProtection="1">
      <alignment horizontal="center" wrapText="1" readingOrder="1"/>
      <protection hidden="1"/>
    </xf>
    <xf numFmtId="0" fontId="6" fillId="0" borderId="81" xfId="0" applyFont="1" applyBorder="1" applyAlignment="1">
      <alignment horizontal="justify" vertical="center" wrapText="1"/>
    </xf>
    <xf numFmtId="0" fontId="48" fillId="0" borderId="2" xfId="0" applyFont="1" applyBorder="1" applyAlignment="1" applyProtection="1">
      <alignment horizontal="center" vertical="center"/>
      <protection locked="0"/>
    </xf>
    <xf numFmtId="0" fontId="1" fillId="3" borderId="0" xfId="0" applyFont="1" applyFill="1" applyAlignment="1">
      <alignment horizontal="center" vertical="center" wrapText="1"/>
    </xf>
    <xf numFmtId="0" fontId="1" fillId="3" borderId="0" xfId="0" applyFont="1" applyFill="1" applyAlignment="1">
      <alignmen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48" fillId="0" borderId="2" xfId="0" applyFont="1" applyBorder="1" applyAlignment="1" applyProtection="1">
      <alignment horizontal="justify" vertical="center" wrapText="1"/>
      <protection locked="0"/>
    </xf>
    <xf numFmtId="0" fontId="6" fillId="0" borderId="2" xfId="0" applyFont="1" applyBorder="1" applyAlignment="1" applyProtection="1">
      <alignment horizontal="center" vertical="center"/>
      <protection locked="0"/>
    </xf>
    <xf numFmtId="14" fontId="48" fillId="0" borderId="2" xfId="0" applyNumberFormat="1" applyFont="1" applyBorder="1" applyAlignment="1" applyProtection="1">
      <alignment horizontal="center" vertical="center" wrapText="1"/>
      <protection locked="0"/>
    </xf>
    <xf numFmtId="9" fontId="6" fillId="0" borderId="4" xfId="0" applyNumberFormat="1" applyFont="1" applyBorder="1" applyAlignment="1" applyProtection="1">
      <alignment horizontal="center" vertical="center" wrapText="1"/>
      <protection hidden="1"/>
    </xf>
    <xf numFmtId="0" fontId="6" fillId="0" borderId="2" xfId="0" applyFont="1" applyBorder="1" applyAlignment="1">
      <alignment horizontal="center" vertical="center"/>
    </xf>
    <xf numFmtId="0" fontId="6" fillId="0" borderId="2" xfId="0" applyFont="1" applyBorder="1" applyAlignment="1" applyProtection="1">
      <alignment horizontal="center" vertical="center"/>
      <protection hidden="1"/>
    </xf>
    <xf numFmtId="0" fontId="6" fillId="0" borderId="2" xfId="0" applyFont="1" applyBorder="1" applyAlignment="1" applyProtection="1">
      <alignment horizontal="center" vertical="center" textRotation="90"/>
      <protection locked="0"/>
    </xf>
    <xf numFmtId="9" fontId="6" fillId="0" borderId="2" xfId="0" applyNumberFormat="1" applyFont="1" applyBorder="1" applyAlignment="1" applyProtection="1">
      <alignment horizontal="center" vertical="center"/>
      <protection hidden="1"/>
    </xf>
    <xf numFmtId="164" fontId="6" fillId="0" borderId="2" xfId="1" applyNumberFormat="1" applyFont="1" applyBorder="1" applyAlignment="1">
      <alignment horizontal="center" vertical="center"/>
    </xf>
    <xf numFmtId="0" fontId="57" fillId="0" borderId="2" xfId="0" applyFont="1" applyBorder="1" applyAlignment="1" applyProtection="1">
      <alignment horizontal="center" vertical="center" textRotation="90" wrapText="1"/>
      <protection hidden="1"/>
    </xf>
    <xf numFmtId="9" fontId="6" fillId="0" borderId="4" xfId="0" applyNumberFormat="1" applyFont="1" applyBorder="1" applyAlignment="1" applyProtection="1">
      <alignment horizontal="center" vertical="center"/>
      <protection hidden="1"/>
    </xf>
    <xf numFmtId="0" fontId="57" fillId="0" borderId="2" xfId="0" applyFont="1" applyBorder="1" applyAlignment="1" applyProtection="1">
      <alignment horizontal="center" vertical="center" textRotation="90"/>
      <protection hidden="1"/>
    </xf>
    <xf numFmtId="0" fontId="6" fillId="0" borderId="4" xfId="0" applyFont="1" applyBorder="1" applyAlignment="1" applyProtection="1">
      <alignment horizontal="center" vertical="center" textRotation="90"/>
      <protection locked="0"/>
    </xf>
    <xf numFmtId="14" fontId="6" fillId="0" borderId="2" xfId="0" applyNumberFormat="1" applyFont="1" applyBorder="1" applyAlignment="1" applyProtection="1">
      <alignment horizontal="center" vertical="center" wrapText="1"/>
      <protection locked="0"/>
    </xf>
    <xf numFmtId="9" fontId="6" fillId="0" borderId="8" xfId="0" applyNumberFormat="1" applyFont="1" applyBorder="1" applyAlignment="1" applyProtection="1">
      <alignment horizontal="center" vertical="center" wrapText="1"/>
      <protection hidden="1"/>
    </xf>
    <xf numFmtId="0" fontId="6" fillId="0" borderId="2" xfId="0" applyFont="1" applyBorder="1" applyAlignment="1" applyProtection="1">
      <alignment horizontal="center" vertical="center" wrapText="1"/>
      <protection locked="0"/>
    </xf>
    <xf numFmtId="0" fontId="6" fillId="0" borderId="2" xfId="0" applyFont="1" applyBorder="1" applyAlignment="1" applyProtection="1">
      <alignment horizontal="justify" vertical="center"/>
      <protection locked="0"/>
    </xf>
    <xf numFmtId="0" fontId="48" fillId="0" borderId="2" xfId="0" applyFont="1" applyBorder="1" applyAlignment="1" applyProtection="1">
      <alignment horizontal="center" vertical="center" wrapText="1"/>
      <protection locked="0"/>
    </xf>
    <xf numFmtId="164" fontId="6" fillId="0" borderId="2" xfId="1" applyNumberFormat="1" applyFont="1" applyFill="1" applyBorder="1" applyAlignment="1">
      <alignment horizontal="center" vertical="center"/>
    </xf>
    <xf numFmtId="0" fontId="6" fillId="0" borderId="81" xfId="0" applyFont="1" applyBorder="1" applyAlignment="1">
      <alignment horizontal="center" vertical="center"/>
    </xf>
    <xf numFmtId="164" fontId="6" fillId="3" borderId="2" xfId="1" applyNumberFormat="1" applyFont="1" applyFill="1" applyBorder="1" applyAlignment="1">
      <alignment horizontal="center" vertical="center"/>
    </xf>
    <xf numFmtId="0" fontId="6" fillId="0" borderId="6" xfId="0" applyFont="1" applyBorder="1" applyAlignment="1" applyProtection="1">
      <alignment horizontal="justify" vertical="center" wrapText="1"/>
      <protection locked="0"/>
    </xf>
    <xf numFmtId="164" fontId="48" fillId="0" borderId="2" xfId="1" applyNumberFormat="1" applyFont="1" applyBorder="1" applyAlignment="1">
      <alignment horizontal="center" vertical="center"/>
    </xf>
    <xf numFmtId="164" fontId="48" fillId="0" borderId="2" xfId="1" applyNumberFormat="1" applyFont="1" applyFill="1" applyBorder="1" applyAlignment="1">
      <alignment horizontal="center" vertical="center"/>
    </xf>
    <xf numFmtId="0" fontId="6" fillId="0" borderId="2" xfId="0" quotePrefix="1" applyFont="1" applyBorder="1" applyAlignment="1" applyProtection="1">
      <alignment horizontal="justify" vertical="center" wrapText="1"/>
      <protection locked="0"/>
    </xf>
    <xf numFmtId="0" fontId="6" fillId="0" borderId="0" xfId="0" applyFont="1" applyAlignment="1">
      <alignment vertical="center"/>
    </xf>
    <xf numFmtId="0" fontId="6" fillId="3" borderId="2" xfId="0" applyFont="1" applyFill="1" applyBorder="1" applyAlignment="1" applyProtection="1">
      <alignment horizontal="center" vertical="center"/>
      <protection locked="0"/>
    </xf>
    <xf numFmtId="14" fontId="6" fillId="3" borderId="2" xfId="0" applyNumberFormat="1"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59" fillId="3" borderId="2" xfId="0" applyFont="1" applyFill="1" applyBorder="1" applyAlignment="1" applyProtection="1">
      <alignment horizontal="center" vertical="center" textRotation="90"/>
      <protection locked="0"/>
    </xf>
    <xf numFmtId="0" fontId="57" fillId="3" borderId="2" xfId="0" applyFont="1" applyFill="1" applyBorder="1" applyAlignment="1" applyProtection="1">
      <alignment horizontal="center" vertical="center" textRotation="90" wrapText="1"/>
      <protection hidden="1"/>
    </xf>
    <xf numFmtId="9" fontId="6" fillId="3" borderId="4" xfId="0" applyNumberFormat="1" applyFont="1" applyFill="1" applyBorder="1" applyAlignment="1" applyProtection="1">
      <alignment horizontal="center" vertical="center"/>
      <protection hidden="1"/>
    </xf>
    <xf numFmtId="0" fontId="57" fillId="3" borderId="2" xfId="0" applyFont="1" applyFill="1" applyBorder="1" applyAlignment="1" applyProtection="1">
      <alignment horizontal="center" vertical="center" textRotation="90"/>
      <protection hidden="1"/>
    </xf>
    <xf numFmtId="0" fontId="6" fillId="3" borderId="4" xfId="0" applyFont="1" applyFill="1" applyBorder="1" applyAlignment="1" applyProtection="1">
      <alignment horizontal="center" vertical="center" textRotation="90"/>
      <protection locked="0"/>
    </xf>
    <xf numFmtId="0" fontId="48" fillId="3" borderId="2" xfId="0" applyFont="1" applyFill="1" applyBorder="1" applyAlignment="1" applyProtection="1">
      <alignment horizontal="center" vertical="center" wrapText="1"/>
      <protection locked="0"/>
    </xf>
    <xf numFmtId="0" fontId="6" fillId="3" borderId="2" xfId="0" applyFont="1" applyFill="1" applyBorder="1" applyAlignment="1">
      <alignment horizontal="center" vertical="center"/>
    </xf>
    <xf numFmtId="0" fontId="6" fillId="3" borderId="2" xfId="0" applyFont="1" applyFill="1" applyBorder="1" applyAlignment="1" applyProtection="1">
      <alignment horizontal="justify" vertical="center" wrapText="1"/>
      <protection locked="0"/>
    </xf>
    <xf numFmtId="0" fontId="6" fillId="3" borderId="2" xfId="0" applyFont="1" applyFill="1" applyBorder="1" applyAlignment="1" applyProtection="1">
      <alignment horizontal="center" vertical="center"/>
      <protection hidden="1"/>
    </xf>
    <xf numFmtId="9" fontId="59" fillId="3" borderId="2" xfId="0" applyNumberFormat="1" applyFont="1" applyFill="1" applyBorder="1" applyAlignment="1" applyProtection="1">
      <alignment horizontal="center" vertical="center"/>
      <protection hidden="1"/>
    </xf>
    <xf numFmtId="9" fontId="6" fillId="3" borderId="4" xfId="0" applyNumberFormat="1" applyFont="1" applyFill="1" applyBorder="1" applyAlignment="1" applyProtection="1">
      <alignment horizontal="center" vertical="center" wrapText="1"/>
      <protection hidden="1"/>
    </xf>
    <xf numFmtId="0" fontId="6" fillId="3" borderId="2" xfId="0" applyFont="1" applyFill="1" applyBorder="1" applyAlignment="1" applyProtection="1">
      <alignment horizontal="center" vertical="center" textRotation="90"/>
      <protection locked="0"/>
    </xf>
    <xf numFmtId="9" fontId="6" fillId="3" borderId="2" xfId="0" applyNumberFormat="1" applyFont="1" applyFill="1" applyBorder="1" applyAlignment="1" applyProtection="1">
      <alignment horizontal="center" vertical="center"/>
      <protection hidden="1"/>
    </xf>
    <xf numFmtId="0" fontId="3" fillId="3" borderId="82" xfId="0" applyFont="1" applyFill="1" applyBorder="1" applyAlignment="1" applyProtection="1">
      <alignment horizontal="justify" vertical="center" wrapText="1"/>
      <protection locked="0"/>
    </xf>
    <xf numFmtId="0" fontId="3" fillId="3" borderId="82" xfId="0" applyFont="1" applyFill="1" applyBorder="1" applyAlignment="1" applyProtection="1">
      <alignment horizontal="center" vertical="center"/>
      <protection locked="0"/>
    </xf>
    <xf numFmtId="14" fontId="3" fillId="3" borderId="82" xfId="0" applyNumberFormat="1" applyFont="1" applyFill="1" applyBorder="1" applyAlignment="1" applyProtection="1">
      <alignment horizontal="center" vertical="center" wrapText="1"/>
      <protection locked="0"/>
    </xf>
    <xf numFmtId="9" fontId="6" fillId="3" borderId="8" xfId="0" applyNumberFormat="1" applyFont="1" applyFill="1" applyBorder="1" applyAlignment="1" applyProtection="1">
      <alignment horizontal="center" vertical="center" wrapText="1"/>
      <protection hidden="1"/>
    </xf>
    <xf numFmtId="0" fontId="48" fillId="3" borderId="82" xfId="0" applyFont="1" applyFill="1" applyBorder="1" applyAlignment="1" applyProtection="1">
      <alignment horizontal="justify" vertical="center" wrapText="1"/>
      <protection locked="0"/>
    </xf>
    <xf numFmtId="0" fontId="6" fillId="3" borderId="81" xfId="0" applyFont="1" applyFill="1" applyBorder="1" applyAlignment="1">
      <alignment horizontal="justify" vertical="center" wrapText="1"/>
    </xf>
    <xf numFmtId="0" fontId="3" fillId="3" borderId="81" xfId="0" applyFont="1" applyFill="1" applyBorder="1" applyAlignment="1">
      <alignment horizontal="center" vertical="center" wrapText="1"/>
    </xf>
    <xf numFmtId="0" fontId="3" fillId="3" borderId="81" xfId="0" applyFont="1" applyFill="1" applyBorder="1" applyAlignment="1">
      <alignment horizontal="justify" vertical="center" wrapText="1"/>
    </xf>
    <xf numFmtId="0" fontId="3" fillId="3" borderId="81" xfId="0" applyFont="1" applyFill="1" applyBorder="1" applyAlignment="1">
      <alignment horizontal="center" vertical="center"/>
    </xf>
    <xf numFmtId="0" fontId="48" fillId="3" borderId="81" xfId="0" applyFont="1" applyFill="1" applyBorder="1" applyAlignment="1">
      <alignment horizontal="left" vertical="center" wrapText="1"/>
    </xf>
    <xf numFmtId="0" fontId="48" fillId="3" borderId="2" xfId="0" applyFont="1" applyFill="1" applyBorder="1" applyAlignment="1" applyProtection="1">
      <alignment horizontal="justify" vertical="center" wrapText="1"/>
      <protection locked="0"/>
    </xf>
    <xf numFmtId="14" fontId="6" fillId="3" borderId="2" xfId="0" applyNumberFormat="1" applyFont="1" applyFill="1" applyBorder="1" applyAlignment="1" applyProtection="1">
      <alignment horizontal="center" vertical="center"/>
      <protection locked="0"/>
    </xf>
    <xf numFmtId="0" fontId="59" fillId="0" borderId="2" xfId="0" applyFont="1" applyBorder="1" applyAlignment="1" applyProtection="1">
      <alignment horizontal="center" vertical="center"/>
      <protection hidden="1"/>
    </xf>
    <xf numFmtId="0" fontId="59" fillId="0" borderId="2" xfId="0" applyFont="1" applyBorder="1" applyAlignment="1" applyProtection="1">
      <alignment horizontal="center" vertical="center" textRotation="90"/>
      <protection locked="0"/>
    </xf>
    <xf numFmtId="9" fontId="59" fillId="0" borderId="2" xfId="0" applyNumberFormat="1" applyFont="1" applyBorder="1" applyAlignment="1" applyProtection="1">
      <alignment horizontal="center" vertical="center"/>
      <protection hidden="1"/>
    </xf>
    <xf numFmtId="164" fontId="59" fillId="0" borderId="2" xfId="1" applyNumberFormat="1" applyFont="1" applyBorder="1" applyAlignment="1">
      <alignment horizontal="center" vertical="center"/>
    </xf>
    <xf numFmtId="0" fontId="61" fillId="0" borderId="2" xfId="0" applyFont="1" applyBorder="1" applyAlignment="1" applyProtection="1">
      <alignment horizontal="center" vertical="center" textRotation="90" wrapText="1"/>
      <protection hidden="1"/>
    </xf>
    <xf numFmtId="9" fontId="59" fillId="0" borderId="4" xfId="0" applyNumberFormat="1" applyFont="1" applyBorder="1" applyAlignment="1" applyProtection="1">
      <alignment horizontal="center" vertical="center"/>
      <protection hidden="1"/>
    </xf>
    <xf numFmtId="0" fontId="61" fillId="0" borderId="2" xfId="0" applyFont="1" applyBorder="1" applyAlignment="1" applyProtection="1">
      <alignment horizontal="center" vertical="center" textRotation="90"/>
      <protection hidden="1"/>
    </xf>
    <xf numFmtId="0" fontId="59" fillId="0" borderId="4" xfId="0" applyFont="1" applyBorder="1" applyAlignment="1" applyProtection="1">
      <alignment horizontal="center" vertical="center" textRotation="90"/>
      <protection locked="0"/>
    </xf>
    <xf numFmtId="0" fontId="59" fillId="0" borderId="2" xfId="0" applyFont="1" applyBorder="1" applyAlignment="1" applyProtection="1">
      <alignment horizontal="justify" vertical="center" wrapText="1"/>
      <protection locked="0"/>
    </xf>
    <xf numFmtId="0" fontId="59" fillId="0" borderId="2" xfId="0" applyFont="1" applyBorder="1" applyAlignment="1" applyProtection="1">
      <alignment horizontal="center" vertical="center"/>
      <protection locked="0"/>
    </xf>
    <xf numFmtId="14" fontId="59" fillId="0" borderId="2" xfId="0" applyNumberFormat="1" applyFont="1" applyBorder="1" applyAlignment="1" applyProtection="1">
      <alignment horizontal="center" vertical="center" wrapText="1"/>
      <protection locked="0"/>
    </xf>
    <xf numFmtId="9" fontId="48" fillId="0" borderId="4" xfId="0" applyNumberFormat="1" applyFont="1" applyBorder="1" applyAlignment="1" applyProtection="1">
      <alignment horizontal="center" vertical="center" wrapText="1"/>
      <protection hidden="1"/>
    </xf>
    <xf numFmtId="9" fontId="48" fillId="0" borderId="8" xfId="0" applyNumberFormat="1" applyFont="1" applyBorder="1" applyAlignment="1" applyProtection="1">
      <alignment horizontal="center" vertical="center" wrapText="1"/>
      <protection hidden="1"/>
    </xf>
    <xf numFmtId="0" fontId="48" fillId="0" borderId="2" xfId="0" applyFont="1" applyBorder="1" applyAlignment="1">
      <alignment horizontal="center" vertical="center"/>
    </xf>
    <xf numFmtId="0" fontId="48" fillId="0" borderId="2" xfId="0" applyFont="1" applyBorder="1" applyAlignment="1" applyProtection="1">
      <alignment horizontal="center" vertical="center"/>
      <protection hidden="1"/>
    </xf>
    <xf numFmtId="0" fontId="48" fillId="0" borderId="2" xfId="0" applyFont="1" applyBorder="1" applyAlignment="1" applyProtection="1">
      <alignment horizontal="center" vertical="center" textRotation="90"/>
      <protection locked="0"/>
    </xf>
    <xf numFmtId="9" fontId="48" fillId="0" borderId="2" xfId="0" applyNumberFormat="1" applyFont="1" applyBorder="1" applyAlignment="1" applyProtection="1">
      <alignment horizontal="center" vertical="center"/>
      <protection hidden="1"/>
    </xf>
    <xf numFmtId="0" fontId="52" fillId="0" borderId="2" xfId="0" applyFont="1" applyBorder="1" applyAlignment="1" applyProtection="1">
      <alignment horizontal="center" vertical="center" textRotation="90" wrapText="1"/>
      <protection hidden="1"/>
    </xf>
    <xf numFmtId="9" fontId="48" fillId="0" borderId="4" xfId="0" applyNumberFormat="1" applyFont="1" applyBorder="1" applyAlignment="1" applyProtection="1">
      <alignment horizontal="center" vertical="center"/>
      <protection hidden="1"/>
    </xf>
    <xf numFmtId="0" fontId="52" fillId="0" borderId="2" xfId="0" applyFont="1" applyBorder="1" applyAlignment="1" applyProtection="1">
      <alignment horizontal="center" vertical="center" textRotation="90"/>
      <protection hidden="1"/>
    </xf>
    <xf numFmtId="0" fontId="48" fillId="0" borderId="4" xfId="0" applyFont="1" applyBorder="1" applyAlignment="1" applyProtection="1">
      <alignment horizontal="center" vertical="center" textRotation="90"/>
      <protection locked="0"/>
    </xf>
    <xf numFmtId="0" fontId="4" fillId="0" borderId="0" xfId="0" applyFont="1" applyAlignment="1">
      <alignment horizontal="center" vertical="center"/>
    </xf>
    <xf numFmtId="0" fontId="6" fillId="0" borderId="0" xfId="0" applyFont="1" applyAlignment="1">
      <alignment horizontal="center" vertical="center"/>
    </xf>
    <xf numFmtId="0" fontId="59" fillId="0" borderId="0" xfId="0" applyFont="1" applyAlignment="1">
      <alignment vertical="center"/>
    </xf>
    <xf numFmtId="0" fontId="3" fillId="0" borderId="81" xfId="0" applyFont="1" applyBorder="1" applyAlignment="1">
      <alignment horizontal="center" vertical="center" wrapText="1"/>
    </xf>
    <xf numFmtId="0" fontId="48" fillId="3" borderId="2" xfId="0" applyFont="1" applyFill="1" applyBorder="1" applyAlignment="1" applyProtection="1">
      <alignment horizontal="center" vertical="center"/>
      <protection hidden="1"/>
    </xf>
    <xf numFmtId="0" fontId="48" fillId="3" borderId="2" xfId="0" applyFont="1" applyFill="1" applyBorder="1" applyAlignment="1" applyProtection="1">
      <alignment horizontal="center" vertical="center" textRotation="90"/>
      <protection locked="0"/>
    </xf>
    <xf numFmtId="9" fontId="48" fillId="3" borderId="2" xfId="0" applyNumberFormat="1" applyFont="1" applyFill="1" applyBorder="1" applyAlignment="1" applyProtection="1">
      <alignment horizontal="center" vertical="center"/>
      <protection hidden="1"/>
    </xf>
    <xf numFmtId="164" fontId="48" fillId="3" borderId="2" xfId="1" applyNumberFormat="1" applyFont="1" applyFill="1" applyBorder="1" applyAlignment="1">
      <alignment horizontal="center" vertical="center"/>
    </xf>
    <xf numFmtId="0" fontId="52" fillId="3" borderId="2" xfId="0" applyFont="1" applyFill="1" applyBorder="1" applyAlignment="1" applyProtection="1">
      <alignment horizontal="center" vertical="center" textRotation="90" wrapText="1"/>
      <protection hidden="1"/>
    </xf>
    <xf numFmtId="9" fontId="48" fillId="3" borderId="4" xfId="0" applyNumberFormat="1" applyFont="1" applyFill="1" applyBorder="1" applyAlignment="1" applyProtection="1">
      <alignment horizontal="center" vertical="center"/>
      <protection hidden="1"/>
    </xf>
    <xf numFmtId="0" fontId="52" fillId="3" borderId="2" xfId="0" applyFont="1" applyFill="1" applyBorder="1" applyAlignment="1" applyProtection="1">
      <alignment horizontal="center" vertical="center" textRotation="90"/>
      <protection hidden="1"/>
    </xf>
    <xf numFmtId="0" fontId="48" fillId="3" borderId="4" xfId="0" applyFont="1" applyFill="1" applyBorder="1" applyAlignment="1" applyProtection="1">
      <alignment horizontal="center" vertical="center" textRotation="90"/>
      <protection locked="0"/>
    </xf>
    <xf numFmtId="0" fontId="48" fillId="0" borderId="0" xfId="0" applyFont="1" applyAlignment="1">
      <alignment vertical="center"/>
    </xf>
    <xf numFmtId="0" fontId="6" fillId="13" borderId="2" xfId="0" applyFont="1" applyFill="1" applyBorder="1" applyAlignment="1" applyProtection="1">
      <alignment horizontal="center" vertical="center"/>
      <protection hidden="1"/>
    </xf>
    <xf numFmtId="0" fontId="6" fillId="3" borderId="0" xfId="0" applyFont="1" applyFill="1" applyAlignment="1">
      <alignment horizontal="center" vertical="center"/>
    </xf>
    <xf numFmtId="0" fontId="4" fillId="2" borderId="2" xfId="0" applyFont="1" applyFill="1" applyBorder="1" applyAlignment="1">
      <alignment horizontal="center" vertical="center" wrapText="1"/>
    </xf>
    <xf numFmtId="0" fontId="2" fillId="0" borderId="2" xfId="0" applyFont="1" applyBorder="1" applyAlignment="1" applyProtection="1">
      <alignment horizontal="left" vertical="center" wrapText="1"/>
      <protection locked="0"/>
    </xf>
    <xf numFmtId="0" fontId="2" fillId="0" borderId="2" xfId="0" quotePrefix="1" applyFont="1" applyBorder="1" applyAlignment="1" applyProtection="1">
      <alignment horizontal="left" vertical="center" wrapText="1"/>
      <protection locked="0"/>
    </xf>
    <xf numFmtId="9" fontId="6" fillId="0" borderId="0" xfId="0" applyNumberFormat="1" applyFont="1" applyAlignment="1">
      <alignment horizontal="center" vertical="center"/>
    </xf>
    <xf numFmtId="0" fontId="1" fillId="0" borderId="2" xfId="0" applyFont="1" applyBorder="1" applyAlignment="1" applyProtection="1">
      <alignment horizontal="left" vertical="center" wrapText="1"/>
      <protection locked="0"/>
    </xf>
    <xf numFmtId="0" fontId="1" fillId="0" borderId="2" xfId="0" quotePrefix="1" applyFont="1" applyBorder="1" applyAlignment="1" applyProtection="1">
      <alignment horizontal="left" vertical="center" wrapText="1"/>
      <protection locked="0"/>
    </xf>
    <xf numFmtId="9" fontId="6" fillId="0" borderId="2" xfId="0" applyNumberFormat="1" applyFont="1" applyBorder="1" applyAlignment="1" applyProtection="1">
      <alignment horizontal="center" vertical="center" wrapText="1"/>
      <protection locked="0"/>
    </xf>
    <xf numFmtId="0" fontId="48" fillId="0" borderId="2" xfId="0" applyFont="1" applyBorder="1" applyAlignment="1">
      <alignment vertical="center" wrapText="1"/>
    </xf>
    <xf numFmtId="0" fontId="48" fillId="0" borderId="2" xfId="0" quotePrefix="1" applyFont="1" applyBorder="1" applyAlignment="1">
      <alignment vertical="center" wrapText="1"/>
    </xf>
    <xf numFmtId="0" fontId="1" fillId="0" borderId="2" xfId="0" applyFont="1" applyBorder="1" applyAlignment="1" applyProtection="1">
      <alignment horizontal="justify" vertical="center" wrapText="1"/>
      <protection locked="0"/>
    </xf>
    <xf numFmtId="0" fontId="62" fillId="0" borderId="2" xfId="5" applyBorder="1" applyAlignment="1" applyProtection="1">
      <alignment horizontal="left" vertical="center" wrapText="1"/>
      <protection locked="0"/>
    </xf>
    <xf numFmtId="0" fontId="62" fillId="0" borderId="2" xfId="5" applyFill="1" applyBorder="1" applyAlignment="1" applyProtection="1">
      <alignment horizontal="justify" vertical="center" wrapText="1"/>
      <protection locked="0"/>
    </xf>
    <xf numFmtId="0" fontId="2" fillId="0" borderId="2" xfId="0" applyFont="1" applyBorder="1" applyAlignment="1" applyProtection="1">
      <alignment horizontal="justify" vertical="center" wrapText="1"/>
      <protection locked="0"/>
    </xf>
    <xf numFmtId="0" fontId="63" fillId="0" borderId="2" xfId="0" applyFont="1" applyBorder="1" applyAlignment="1" applyProtection="1">
      <alignment horizontal="left" vertical="center" wrapText="1"/>
      <protection locked="0"/>
    </xf>
    <xf numFmtId="0" fontId="1" fillId="0" borderId="0" xfId="0" applyFont="1" applyAlignment="1">
      <alignment horizontal="justify" vertical="center" wrapText="1"/>
    </xf>
    <xf numFmtId="0" fontId="6" fillId="0" borderId="0" xfId="0" applyFont="1" applyAlignment="1">
      <alignment vertical="center" wrapText="1"/>
    </xf>
    <xf numFmtId="0" fontId="6" fillId="0" borderId="0" xfId="0" applyFont="1" applyAlignment="1">
      <alignment horizontal="justify" vertical="center" wrapText="1"/>
    </xf>
    <xf numFmtId="0" fontId="1" fillId="0" borderId="2" xfId="0" applyFont="1" applyBorder="1" applyAlignment="1" applyProtection="1">
      <alignment horizontal="center" vertical="center" wrapText="1"/>
      <protection locked="0"/>
    </xf>
    <xf numFmtId="0" fontId="1" fillId="0" borderId="31" xfId="0" applyFont="1" applyBorder="1" applyAlignment="1">
      <alignment vertical="center" wrapText="1"/>
    </xf>
    <xf numFmtId="9" fontId="1" fillId="0" borderId="2" xfId="1" applyFont="1" applyFill="1" applyBorder="1" applyAlignment="1" applyProtection="1">
      <alignment horizontal="center" vertical="center" wrapText="1"/>
      <protection locked="0"/>
    </xf>
    <xf numFmtId="0" fontId="57" fillId="0" borderId="2" xfId="0" applyFont="1" applyBorder="1" applyAlignment="1" applyProtection="1">
      <alignment horizontal="center" vertical="center" wrapText="1"/>
      <protection locked="0"/>
    </xf>
    <xf numFmtId="9" fontId="1" fillId="0" borderId="0" xfId="0" applyNumberFormat="1" applyFont="1" applyAlignment="1">
      <alignment horizontal="center" vertical="center"/>
    </xf>
    <xf numFmtId="0" fontId="49" fillId="14" borderId="46" xfId="2" applyFont="1" applyFill="1" applyBorder="1" applyAlignment="1">
      <alignment horizontal="center" vertical="center" wrapText="1"/>
    </xf>
    <xf numFmtId="0" fontId="49" fillId="14" borderId="47" xfId="2" applyFont="1" applyFill="1" applyBorder="1" applyAlignment="1">
      <alignment horizontal="center" vertical="center" wrapText="1"/>
    </xf>
    <xf numFmtId="0" fontId="49" fillId="14" borderId="48" xfId="2" applyFont="1" applyFill="1" applyBorder="1" applyAlignment="1">
      <alignment horizontal="center" vertical="center" wrapText="1"/>
    </xf>
    <xf numFmtId="0" fontId="48" fillId="0" borderId="14" xfId="2" quotePrefix="1" applyFont="1" applyBorder="1" applyAlignment="1">
      <alignment horizontal="left" vertical="center" wrapText="1"/>
    </xf>
    <xf numFmtId="0" fontId="48" fillId="0" borderId="0" xfId="2" quotePrefix="1" applyFont="1" applyAlignment="1">
      <alignment horizontal="left" vertical="center" wrapText="1"/>
    </xf>
    <xf numFmtId="0" fontId="48" fillId="0" borderId="15" xfId="2" quotePrefix="1" applyFont="1" applyBorder="1" applyAlignment="1">
      <alignment horizontal="left" vertical="center" wrapText="1"/>
    </xf>
    <xf numFmtId="0" fontId="48" fillId="0" borderId="66" xfId="2" quotePrefix="1" applyFont="1" applyBorder="1" applyAlignment="1">
      <alignment horizontal="left" vertical="center" wrapText="1"/>
    </xf>
    <xf numFmtId="0" fontId="48" fillId="0" borderId="67" xfId="2" quotePrefix="1" applyFont="1" applyBorder="1" applyAlignment="1">
      <alignment horizontal="left" vertical="center" wrapText="1"/>
    </xf>
    <xf numFmtId="0" fontId="48" fillId="0" borderId="68" xfId="2" quotePrefix="1" applyFont="1" applyBorder="1" applyAlignment="1">
      <alignment horizontal="left" vertical="center" wrapText="1"/>
    </xf>
    <xf numFmtId="0" fontId="50" fillId="3" borderId="49" xfId="2" quotePrefix="1" applyFont="1" applyFill="1" applyBorder="1" applyAlignment="1">
      <alignment horizontal="left" vertical="top" wrapText="1"/>
    </xf>
    <xf numFmtId="0" fontId="51" fillId="3" borderId="50" xfId="2" quotePrefix="1" applyFont="1" applyFill="1" applyBorder="1" applyAlignment="1">
      <alignment horizontal="left" vertical="top" wrapText="1"/>
    </xf>
    <xf numFmtId="0" fontId="51" fillId="3" borderId="51" xfId="2" quotePrefix="1" applyFont="1" applyFill="1" applyBorder="1" applyAlignment="1">
      <alignment horizontal="left" vertical="top" wrapText="1"/>
    </xf>
    <xf numFmtId="0" fontId="48" fillId="0" borderId="14" xfId="2" quotePrefix="1" applyFont="1" applyBorder="1" applyAlignment="1">
      <alignment horizontal="left" vertical="top" wrapText="1"/>
    </xf>
    <xf numFmtId="0" fontId="48" fillId="0" borderId="0" xfId="2" quotePrefix="1" applyFont="1" applyAlignment="1">
      <alignment horizontal="left" vertical="top" wrapText="1"/>
    </xf>
    <xf numFmtId="0" fontId="48" fillId="0" borderId="15" xfId="2" quotePrefix="1" applyFont="1" applyBorder="1" applyAlignment="1">
      <alignment horizontal="left" vertical="top" wrapText="1"/>
    </xf>
    <xf numFmtId="0" fontId="53" fillId="14" borderId="52" xfId="3" applyFont="1" applyFill="1" applyBorder="1" applyAlignment="1">
      <alignment horizontal="center" vertical="center" wrapText="1"/>
    </xf>
    <xf numFmtId="0" fontId="53" fillId="14" borderId="53" xfId="3" applyFont="1" applyFill="1" applyBorder="1" applyAlignment="1">
      <alignment horizontal="center" vertical="center" wrapText="1"/>
    </xf>
    <xf numFmtId="0" fontId="53" fillId="14" borderId="54" xfId="2" applyFont="1" applyFill="1" applyBorder="1" applyAlignment="1">
      <alignment horizontal="center" vertical="center"/>
    </xf>
    <xf numFmtId="0" fontId="53" fillId="14" borderId="55" xfId="2" applyFont="1" applyFill="1" applyBorder="1" applyAlignment="1">
      <alignment horizontal="center" vertical="center"/>
    </xf>
    <xf numFmtId="0" fontId="2" fillId="3" borderId="66" xfId="2" quotePrefix="1" applyFont="1" applyFill="1" applyBorder="1" applyAlignment="1">
      <alignment horizontal="justify" vertical="center" wrapText="1"/>
    </xf>
    <xf numFmtId="0" fontId="2" fillId="3" borderId="67" xfId="2" quotePrefix="1" applyFont="1" applyFill="1" applyBorder="1" applyAlignment="1">
      <alignment horizontal="justify" vertical="center" wrapText="1"/>
    </xf>
    <xf numFmtId="0" fontId="2" fillId="3" borderId="68" xfId="2" quotePrefix="1" applyFont="1" applyFill="1" applyBorder="1" applyAlignment="1">
      <alignment horizontal="justify" vertical="center" wrapText="1"/>
    </xf>
    <xf numFmtId="0" fontId="53" fillId="3" borderId="56" xfId="3" applyFont="1" applyFill="1" applyBorder="1" applyAlignment="1">
      <alignment horizontal="left" vertical="top" wrapText="1" readingOrder="1"/>
    </xf>
    <xf numFmtId="0" fontId="53" fillId="3" borderId="57" xfId="3" applyFont="1" applyFill="1" applyBorder="1" applyAlignment="1">
      <alignment horizontal="left" vertical="top" wrapText="1" readingOrder="1"/>
    </xf>
    <xf numFmtId="0" fontId="54" fillId="3" borderId="58" xfId="2" applyFont="1" applyFill="1" applyBorder="1" applyAlignment="1">
      <alignment horizontal="justify" vertical="center" wrapText="1"/>
    </xf>
    <xf numFmtId="0" fontId="54" fillId="3" borderId="59" xfId="2" applyFont="1" applyFill="1" applyBorder="1" applyAlignment="1">
      <alignment horizontal="justify" vertical="center" wrapText="1"/>
    </xf>
    <xf numFmtId="0" fontId="53" fillId="3" borderId="60" xfId="0" applyFont="1" applyFill="1" applyBorder="1" applyAlignment="1">
      <alignment horizontal="left" vertical="center" wrapText="1"/>
    </xf>
    <xf numFmtId="0" fontId="53" fillId="3" borderId="61" xfId="0" applyFont="1" applyFill="1" applyBorder="1" applyAlignment="1">
      <alignment horizontal="left" vertical="center" wrapText="1"/>
    </xf>
    <xf numFmtId="0" fontId="54" fillId="3" borderId="62" xfId="2" applyFont="1" applyFill="1" applyBorder="1" applyAlignment="1">
      <alignment horizontal="justify" vertical="center" wrapText="1"/>
    </xf>
    <xf numFmtId="0" fontId="54" fillId="3" borderId="63" xfId="2" applyFont="1" applyFill="1" applyBorder="1" applyAlignment="1">
      <alignment horizontal="justify" vertical="center" wrapText="1"/>
    </xf>
    <xf numFmtId="0" fontId="48" fillId="3" borderId="14" xfId="2" applyFont="1" applyFill="1" applyBorder="1" applyAlignment="1">
      <alignment horizontal="left" vertical="top" wrapText="1"/>
    </xf>
    <xf numFmtId="0" fontId="48" fillId="3" borderId="0" xfId="2" applyFont="1" applyFill="1" applyAlignment="1">
      <alignment horizontal="left" vertical="top" wrapText="1"/>
    </xf>
    <xf numFmtId="0" fontId="48" fillId="3" borderId="15" xfId="2" applyFont="1" applyFill="1" applyBorder="1" applyAlignment="1">
      <alignment horizontal="left" vertical="top" wrapText="1"/>
    </xf>
    <xf numFmtId="0" fontId="53" fillId="3" borderId="69" xfId="0" applyFont="1" applyFill="1" applyBorder="1" applyAlignment="1">
      <alignment horizontal="left" vertical="center" wrapText="1"/>
    </xf>
    <xf numFmtId="0" fontId="53" fillId="3" borderId="70" xfId="0" applyFont="1" applyFill="1" applyBorder="1" applyAlignment="1">
      <alignment horizontal="left" vertical="center" wrapText="1"/>
    </xf>
    <xf numFmtId="0" fontId="53" fillId="3" borderId="71" xfId="0" applyFont="1" applyFill="1" applyBorder="1" applyAlignment="1">
      <alignment horizontal="left" vertical="center" wrapText="1"/>
    </xf>
    <xf numFmtId="0" fontId="53" fillId="3" borderId="72" xfId="0" applyFont="1" applyFill="1" applyBorder="1" applyAlignment="1">
      <alignment horizontal="left" vertical="center" wrapText="1"/>
    </xf>
    <xf numFmtId="0" fontId="54" fillId="3" borderId="64" xfId="0" applyFont="1" applyFill="1" applyBorder="1" applyAlignment="1">
      <alignment horizontal="justify" vertical="center" wrapText="1"/>
    </xf>
    <xf numFmtId="0" fontId="54" fillId="3" borderId="65" xfId="0" applyFont="1" applyFill="1" applyBorder="1" applyAlignment="1">
      <alignment horizontal="justify" vertical="center" wrapText="1"/>
    </xf>
    <xf numFmtId="0" fontId="42" fillId="0" borderId="75" xfId="0" applyFont="1" applyBorder="1" applyAlignment="1">
      <alignment horizontal="center" vertical="center" wrapText="1"/>
    </xf>
    <xf numFmtId="0" fontId="42" fillId="0" borderId="0" xfId="0" applyFont="1" applyAlignment="1">
      <alignment horizontal="center" vertical="center"/>
    </xf>
    <xf numFmtId="0" fontId="42" fillId="0" borderId="75" xfId="0" applyFont="1" applyBorder="1" applyAlignment="1">
      <alignment horizontal="center" vertical="center"/>
    </xf>
    <xf numFmtId="0" fontId="42" fillId="0" borderId="77" xfId="0" applyFont="1" applyBorder="1" applyAlignment="1">
      <alignment horizontal="center" vertical="center"/>
    </xf>
    <xf numFmtId="0" fontId="42" fillId="0" borderId="78" xfId="0" applyFont="1" applyBorder="1" applyAlignment="1">
      <alignment horizontal="center" vertical="center"/>
    </xf>
    <xf numFmtId="0" fontId="42" fillId="0" borderId="14" xfId="0" applyFont="1" applyBorder="1" applyAlignment="1">
      <alignment horizontal="center" vertical="center" wrapText="1"/>
    </xf>
    <xf numFmtId="0" fontId="42" fillId="0" borderId="14" xfId="0" applyFont="1" applyBorder="1" applyAlignment="1">
      <alignment horizontal="center" vertical="center"/>
    </xf>
    <xf numFmtId="0" fontId="42" fillId="0" borderId="79" xfId="0" applyFont="1" applyBorder="1" applyAlignment="1">
      <alignment horizontal="center" vertical="center"/>
    </xf>
    <xf numFmtId="0" fontId="42" fillId="0" borderId="0" xfId="0" applyFont="1" applyAlignment="1">
      <alignment horizontal="center" vertical="center" wrapText="1"/>
    </xf>
    <xf numFmtId="0" fontId="42" fillId="0" borderId="76" xfId="0" applyFont="1" applyBorder="1" applyAlignment="1">
      <alignment horizontal="center" vertical="center"/>
    </xf>
    <xf numFmtId="0" fontId="42" fillId="0" borderId="80" xfId="0" applyFont="1" applyBorder="1" applyAlignment="1">
      <alignment horizontal="center" vertical="center"/>
    </xf>
    <xf numFmtId="0" fontId="41" fillId="11" borderId="20" xfId="0" applyFont="1" applyFill="1" applyBorder="1" applyAlignment="1">
      <alignment horizontal="center" vertical="center" wrapText="1" readingOrder="1"/>
    </xf>
    <xf numFmtId="0" fontId="41" fillId="11" borderId="21" xfId="0" applyFont="1" applyFill="1" applyBorder="1" applyAlignment="1">
      <alignment horizontal="center" vertical="center" wrapText="1" readingOrder="1"/>
    </xf>
    <xf numFmtId="0" fontId="41" fillId="11" borderId="22" xfId="0" applyFont="1" applyFill="1" applyBorder="1" applyAlignment="1">
      <alignment horizontal="center" vertical="center" wrapText="1" readingOrder="1"/>
    </xf>
    <xf numFmtId="0" fontId="41" fillId="11" borderId="23" xfId="0" applyFont="1" applyFill="1" applyBorder="1" applyAlignment="1">
      <alignment horizontal="center" vertical="center" wrapText="1" readingOrder="1"/>
    </xf>
    <xf numFmtId="0" fontId="41" fillId="11" borderId="0" xfId="0" applyFont="1" applyFill="1" applyAlignment="1">
      <alignment horizontal="center" vertical="center" wrapText="1" readingOrder="1"/>
    </xf>
    <xf numFmtId="0" fontId="41" fillId="11" borderId="24" xfId="0" applyFont="1" applyFill="1" applyBorder="1" applyAlignment="1">
      <alignment horizontal="center" vertical="center" wrapText="1" readingOrder="1"/>
    </xf>
    <xf numFmtId="0" fontId="42" fillId="0" borderId="12" xfId="0" applyFont="1" applyBorder="1" applyAlignment="1">
      <alignment horizontal="center" vertical="center" wrapText="1"/>
    </xf>
    <xf numFmtId="0" fontId="42" fillId="0" borderId="19" xfId="0" applyFont="1" applyBorder="1" applyAlignment="1">
      <alignment horizontal="center" vertical="center"/>
    </xf>
    <xf numFmtId="0" fontId="41" fillId="12" borderId="20" xfId="0" applyFont="1" applyFill="1" applyBorder="1" applyAlignment="1">
      <alignment horizontal="center" vertical="center" wrapText="1" readingOrder="1"/>
    </xf>
    <xf numFmtId="0" fontId="41" fillId="12" borderId="21" xfId="0" applyFont="1" applyFill="1" applyBorder="1" applyAlignment="1">
      <alignment horizontal="center" vertical="center" wrapText="1" readingOrder="1"/>
    </xf>
    <xf numFmtId="0" fontId="41" fillId="12" borderId="22" xfId="0" applyFont="1" applyFill="1" applyBorder="1" applyAlignment="1">
      <alignment horizontal="center" vertical="center" wrapText="1" readingOrder="1"/>
    </xf>
    <xf numFmtId="0" fontId="41" fillId="12" borderId="23" xfId="0" applyFont="1" applyFill="1" applyBorder="1" applyAlignment="1">
      <alignment horizontal="center" vertical="center" wrapText="1" readingOrder="1"/>
    </xf>
    <xf numFmtId="0" fontId="41" fillId="12" borderId="0" xfId="0" applyFont="1" applyFill="1" applyAlignment="1">
      <alignment horizontal="center" vertical="center" wrapText="1" readingOrder="1"/>
    </xf>
    <xf numFmtId="0" fontId="41" fillId="12" borderId="24" xfId="0" applyFont="1" applyFill="1" applyBorder="1" applyAlignment="1">
      <alignment horizontal="center" vertical="center" wrapText="1" readingOrder="1"/>
    </xf>
    <xf numFmtId="0" fontId="40" fillId="0" borderId="0" xfId="0" applyFont="1" applyAlignment="1">
      <alignment horizontal="center" vertical="center" wrapText="1"/>
    </xf>
    <xf numFmtId="0" fontId="22" fillId="0" borderId="0" xfId="0" applyFont="1" applyAlignment="1">
      <alignment horizontal="center" vertical="center" wrapText="1"/>
    </xf>
    <xf numFmtId="0" fontId="18" fillId="10" borderId="0" xfId="0" applyFont="1" applyFill="1" applyAlignment="1">
      <alignment horizontal="center" vertical="center" wrapText="1" readingOrder="1"/>
    </xf>
    <xf numFmtId="0" fontId="18" fillId="10" borderId="0" xfId="0" applyFont="1" applyFill="1" applyAlignment="1">
      <alignment horizontal="center" vertical="center" textRotation="90" wrapText="1" readingOrder="1"/>
    </xf>
    <xf numFmtId="0" fontId="18" fillId="10" borderId="15" xfId="0" applyFont="1" applyFill="1" applyBorder="1" applyAlignment="1">
      <alignment horizontal="center" vertical="center" textRotation="90" wrapText="1" readingOrder="1"/>
    </xf>
    <xf numFmtId="0" fontId="41" fillId="5" borderId="20" xfId="0" applyFont="1" applyFill="1" applyBorder="1" applyAlignment="1">
      <alignment horizontal="center" vertical="center" wrapText="1" readingOrder="1"/>
    </xf>
    <xf numFmtId="0" fontId="41" fillId="5" borderId="21" xfId="0" applyFont="1" applyFill="1" applyBorder="1" applyAlignment="1">
      <alignment horizontal="center" vertical="center" wrapText="1" readingOrder="1"/>
    </xf>
    <xf numFmtId="0" fontId="41" fillId="5" borderId="22" xfId="0" applyFont="1" applyFill="1" applyBorder="1" applyAlignment="1">
      <alignment horizontal="center" vertical="center" wrapText="1" readingOrder="1"/>
    </xf>
    <xf numFmtId="0" fontId="41" fillId="5" borderId="23" xfId="0" applyFont="1" applyFill="1" applyBorder="1" applyAlignment="1">
      <alignment horizontal="center" vertical="center" wrapText="1" readingOrder="1"/>
    </xf>
    <xf numFmtId="0" fontId="41" fillId="5" borderId="0" xfId="0" applyFont="1" applyFill="1" applyAlignment="1">
      <alignment horizontal="center" vertical="center" wrapText="1" readingOrder="1"/>
    </xf>
    <xf numFmtId="0" fontId="41" fillId="5" borderId="24" xfId="0" applyFont="1" applyFill="1" applyBorder="1" applyAlignment="1">
      <alignment horizontal="center" vertical="center" wrapText="1" readingOrder="1"/>
    </xf>
    <xf numFmtId="0" fontId="41" fillId="13" borderId="20" xfId="0" applyFont="1" applyFill="1" applyBorder="1" applyAlignment="1">
      <alignment horizontal="center" vertical="center" wrapText="1" readingOrder="1"/>
    </xf>
    <xf numFmtId="0" fontId="41" fillId="13" borderId="21" xfId="0" applyFont="1" applyFill="1" applyBorder="1" applyAlignment="1">
      <alignment horizontal="center" vertical="center" wrapText="1" readingOrder="1"/>
    </xf>
    <xf numFmtId="0" fontId="41" fillId="13" borderId="22" xfId="0" applyFont="1" applyFill="1" applyBorder="1" applyAlignment="1">
      <alignment horizontal="center" vertical="center" wrapText="1" readingOrder="1"/>
    </xf>
    <xf numFmtId="0" fontId="41" fillId="13" borderId="23" xfId="0" applyFont="1" applyFill="1" applyBorder="1" applyAlignment="1">
      <alignment horizontal="center" vertical="center" wrapText="1" readingOrder="1"/>
    </xf>
    <xf numFmtId="0" fontId="41" fillId="13" borderId="0" xfId="0" applyFont="1" applyFill="1" applyAlignment="1">
      <alignment horizontal="center" vertical="center" wrapText="1" readingOrder="1"/>
    </xf>
    <xf numFmtId="0" fontId="41" fillId="13" borderId="24" xfId="0" applyFont="1" applyFill="1" applyBorder="1" applyAlignment="1">
      <alignment horizontal="center" vertical="center" wrapText="1" readingOrder="1"/>
    </xf>
    <xf numFmtId="0" fontId="48" fillId="0" borderId="4" xfId="0" applyFont="1" applyBorder="1" applyAlignment="1" applyProtection="1">
      <alignment horizontal="center" vertical="center"/>
      <protection locked="0"/>
    </xf>
    <xf numFmtId="0" fontId="48" fillId="0" borderId="8" xfId="0" applyFont="1" applyBorder="1" applyAlignment="1" applyProtection="1">
      <alignment horizontal="center" vertical="center"/>
      <protection locked="0"/>
    </xf>
    <xf numFmtId="0" fontId="52" fillId="0" borderId="4" xfId="0" applyFont="1" applyBorder="1" applyAlignment="1" applyProtection="1">
      <alignment horizontal="center" vertical="center" wrapText="1"/>
      <protection hidden="1"/>
    </xf>
    <xf numFmtId="0" fontId="52" fillId="0" borderId="8" xfId="0" applyFont="1" applyBorder="1" applyAlignment="1" applyProtection="1">
      <alignment horizontal="center" vertical="center" wrapText="1"/>
      <protection hidden="1"/>
    </xf>
    <xf numFmtId="0" fontId="52" fillId="0" borderId="5" xfId="0" applyFont="1" applyBorder="1" applyAlignment="1" applyProtection="1">
      <alignment horizontal="center" vertical="center" wrapText="1"/>
      <protection hidden="1"/>
    </xf>
    <xf numFmtId="9" fontId="48" fillId="0" borderId="4" xfId="0" applyNumberFormat="1" applyFont="1" applyBorder="1" applyAlignment="1" applyProtection="1">
      <alignment horizontal="center" vertical="center" wrapText="1"/>
      <protection hidden="1"/>
    </xf>
    <xf numFmtId="9" fontId="48" fillId="0" borderId="8" xfId="0" applyNumberFormat="1" applyFont="1" applyBorder="1" applyAlignment="1" applyProtection="1">
      <alignment horizontal="center" vertical="center" wrapText="1"/>
      <protection hidden="1"/>
    </xf>
    <xf numFmtId="9" fontId="48" fillId="0" borderId="5" xfId="0" applyNumberFormat="1" applyFont="1" applyBorder="1" applyAlignment="1" applyProtection="1">
      <alignment horizontal="center" vertical="center" wrapText="1"/>
      <protection hidden="1"/>
    </xf>
    <xf numFmtId="9" fontId="48" fillId="0" borderId="4" xfId="0" applyNumberFormat="1" applyFont="1" applyBorder="1" applyAlignment="1" applyProtection="1">
      <alignment horizontal="center" vertical="center" wrapText="1"/>
      <protection locked="0"/>
    </xf>
    <xf numFmtId="9" fontId="48" fillId="0" borderId="8" xfId="0" applyNumberFormat="1" applyFont="1" applyBorder="1" applyAlignment="1" applyProtection="1">
      <alignment horizontal="center" vertical="center" wrapText="1"/>
      <protection locked="0"/>
    </xf>
    <xf numFmtId="0" fontId="52" fillId="0" borderId="4" xfId="0" applyFont="1" applyBorder="1" applyAlignment="1" applyProtection="1">
      <alignment horizontal="center" vertical="center"/>
      <protection hidden="1"/>
    </xf>
    <xf numFmtId="0" fontId="52" fillId="0" borderId="8" xfId="0" applyFont="1" applyBorder="1" applyAlignment="1" applyProtection="1">
      <alignment horizontal="center" vertical="center"/>
      <protection hidden="1"/>
    </xf>
    <xf numFmtId="0" fontId="52" fillId="0" borderId="5" xfId="0" applyFont="1" applyBorder="1" applyAlignment="1" applyProtection="1">
      <alignment horizontal="center" vertical="center"/>
      <protection hidden="1"/>
    </xf>
    <xf numFmtId="0" fontId="48" fillId="0" borderId="8" xfId="0" applyFont="1" applyBorder="1" applyAlignment="1">
      <alignment horizontal="center" vertical="center"/>
    </xf>
    <xf numFmtId="0" fontId="48" fillId="0" borderId="4" xfId="0" applyFont="1" applyBorder="1" applyAlignment="1">
      <alignment horizontal="center" vertical="center" wrapText="1"/>
    </xf>
    <xf numFmtId="0" fontId="48" fillId="0" borderId="8"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4" xfId="0" applyFont="1" applyBorder="1" applyAlignment="1">
      <alignment horizontal="justify" vertical="center" wrapText="1"/>
    </xf>
    <xf numFmtId="0" fontId="48" fillId="0" borderId="8" xfId="0" applyFont="1" applyBorder="1" applyAlignment="1">
      <alignment horizontal="justify" vertical="center"/>
    </xf>
    <xf numFmtId="0" fontId="48" fillId="0" borderId="4" xfId="0" applyFont="1" applyBorder="1" applyAlignment="1" applyProtection="1">
      <alignment horizontal="center" vertical="center" wrapText="1"/>
      <protection locked="0"/>
    </xf>
    <xf numFmtId="0" fontId="48" fillId="0" borderId="8" xfId="0" applyFont="1" applyBorder="1" applyAlignment="1" applyProtection="1">
      <alignment horizontal="center" vertical="center" wrapText="1"/>
      <protection locked="0"/>
    </xf>
    <xf numFmtId="0" fontId="57" fillId="0" borderId="4" xfId="0" applyFont="1" applyBorder="1" applyAlignment="1" applyProtection="1">
      <alignment horizontal="center" vertical="center"/>
      <protection hidden="1"/>
    </xf>
    <xf numFmtId="0" fontId="57" fillId="0" borderId="8" xfId="0" applyFont="1" applyBorder="1" applyAlignment="1" applyProtection="1">
      <alignment horizontal="center" vertical="center"/>
      <protection hidden="1"/>
    </xf>
    <xf numFmtId="0" fontId="57" fillId="0" borderId="5" xfId="0" applyFont="1" applyBorder="1" applyAlignment="1" applyProtection="1">
      <alignment horizontal="center" vertical="center"/>
      <protection hidden="1"/>
    </xf>
    <xf numFmtId="0" fontId="6" fillId="0" borderId="4"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57" fillId="0" borderId="4" xfId="0" applyFont="1" applyBorder="1" applyAlignment="1" applyProtection="1">
      <alignment horizontal="center" vertical="center" wrapText="1"/>
      <protection hidden="1"/>
    </xf>
    <xf numFmtId="0" fontId="57" fillId="0" borderId="8" xfId="0" applyFont="1" applyBorder="1" applyAlignment="1" applyProtection="1">
      <alignment horizontal="center" vertical="center" wrapText="1"/>
      <protection hidden="1"/>
    </xf>
    <xf numFmtId="0" fontId="57" fillId="0" borderId="5" xfId="0" applyFont="1" applyBorder="1" applyAlignment="1" applyProtection="1">
      <alignment horizontal="center" vertical="center" wrapText="1"/>
      <protection hidden="1"/>
    </xf>
    <xf numFmtId="9" fontId="6" fillId="0" borderId="4" xfId="0" applyNumberFormat="1" applyFont="1" applyBorder="1" applyAlignment="1" applyProtection="1">
      <alignment horizontal="center" vertical="center" wrapText="1"/>
      <protection hidden="1"/>
    </xf>
    <xf numFmtId="9" fontId="6" fillId="0" borderId="8" xfId="0" applyNumberFormat="1" applyFont="1" applyBorder="1" applyAlignment="1" applyProtection="1">
      <alignment horizontal="center" vertical="center" wrapText="1"/>
      <protection hidden="1"/>
    </xf>
    <xf numFmtId="9" fontId="6" fillId="0" borderId="5" xfId="0" applyNumberFormat="1" applyFont="1" applyBorder="1" applyAlignment="1" applyProtection="1">
      <alignment horizontal="center" vertical="center" wrapText="1"/>
      <protection hidden="1"/>
    </xf>
    <xf numFmtId="9" fontId="6" fillId="0" borderId="4" xfId="0" applyNumberFormat="1" applyFont="1" applyBorder="1" applyAlignment="1" applyProtection="1">
      <alignment horizontal="center" vertical="center" wrapText="1"/>
      <protection locked="0"/>
    </xf>
    <xf numFmtId="9" fontId="6" fillId="0" borderId="8" xfId="0" applyNumberFormat="1" applyFont="1" applyBorder="1" applyAlignment="1" applyProtection="1">
      <alignment horizontal="center" vertical="center" wrapText="1"/>
      <protection locked="0"/>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wrapText="1"/>
    </xf>
    <xf numFmtId="0" fontId="24" fillId="2" borderId="28" xfId="0" applyFont="1" applyFill="1" applyBorder="1" applyAlignment="1">
      <alignment horizontal="center" vertical="center" wrapText="1"/>
    </xf>
    <xf numFmtId="0" fontId="24" fillId="2" borderId="29"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30"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25" fillId="2" borderId="4" xfId="0" applyFont="1" applyFill="1" applyBorder="1" applyAlignment="1">
      <alignment horizontal="center" vertical="center" textRotation="90"/>
    </xf>
    <xf numFmtId="0" fontId="25"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6" fillId="0" borderId="8" xfId="0" applyFont="1" applyBorder="1" applyAlignment="1">
      <alignment horizontal="center" vertical="center"/>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justify" vertical="center" wrapText="1"/>
    </xf>
    <xf numFmtId="0" fontId="6" fillId="0" borderId="8" xfId="0" applyFont="1" applyBorder="1" applyAlignment="1">
      <alignment horizontal="justify" vertical="center"/>
    </xf>
    <xf numFmtId="0" fontId="6" fillId="0" borderId="5" xfId="0" applyFont="1" applyBorder="1" applyAlignment="1" applyProtection="1">
      <alignment horizontal="center" vertical="center" wrapText="1"/>
      <protection locked="0"/>
    </xf>
    <xf numFmtId="0" fontId="48" fillId="0" borderId="5" xfId="0" applyFont="1" applyBorder="1" applyAlignment="1" applyProtection="1">
      <alignment horizontal="center" vertical="center" wrapText="1"/>
      <protection locked="0"/>
    </xf>
    <xf numFmtId="0" fontId="6" fillId="0" borderId="4" xfId="0" applyFont="1" applyBorder="1" applyAlignment="1">
      <alignment horizontal="center" vertical="center"/>
    </xf>
    <xf numFmtId="0" fontId="6" fillId="0" borderId="8" xfId="0" applyFont="1" applyBorder="1" applyAlignment="1">
      <alignment horizontal="justify" vertical="center" wrapText="1"/>
    </xf>
    <xf numFmtId="0" fontId="6" fillId="0" borderId="5" xfId="0" applyFont="1" applyBorder="1" applyAlignment="1">
      <alignment horizontal="center" vertical="center"/>
    </xf>
    <xf numFmtId="0" fontId="6" fillId="0" borderId="4" xfId="0" quotePrefix="1" applyFont="1" applyBorder="1" applyAlignment="1" applyProtection="1">
      <alignment vertical="center" wrapText="1"/>
      <protection locked="0"/>
    </xf>
    <xf numFmtId="0" fontId="6" fillId="0" borderId="8" xfId="0" applyFont="1" applyBorder="1" applyAlignment="1" applyProtection="1">
      <alignment vertical="center" wrapText="1"/>
      <protection locked="0"/>
    </xf>
    <xf numFmtId="0" fontId="48" fillId="0" borderId="4" xfId="0" applyFont="1" applyBorder="1" applyAlignment="1" applyProtection="1">
      <alignment vertical="center" wrapText="1"/>
      <protection locked="0"/>
    </xf>
    <xf numFmtId="0" fontId="48" fillId="0" borderId="8" xfId="0" applyFont="1" applyBorder="1" applyAlignment="1" applyProtection="1">
      <alignment vertical="center" wrapText="1"/>
      <protection locked="0"/>
    </xf>
    <xf numFmtId="0" fontId="6" fillId="0" borderId="4" xfId="0" quotePrefix="1" applyFont="1" applyBorder="1" applyAlignment="1" applyProtection="1">
      <alignment horizontal="center" vertical="center" wrapText="1"/>
      <protection locked="0"/>
    </xf>
    <xf numFmtId="0" fontId="48" fillId="0" borderId="4" xfId="0" quotePrefix="1" applyFont="1" applyBorder="1" applyAlignment="1" applyProtection="1">
      <alignment horizontal="center" vertical="center" wrapText="1"/>
      <protection locked="0"/>
    </xf>
    <xf numFmtId="0" fontId="6" fillId="3" borderId="4"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9" fontId="6" fillId="0" borderId="5" xfId="0" applyNumberFormat="1" applyFont="1" applyBorder="1" applyAlignment="1" applyProtection="1">
      <alignment horizontal="center" vertical="center" wrapText="1"/>
      <protection locked="0"/>
    </xf>
    <xf numFmtId="0" fontId="57" fillId="3" borderId="4" xfId="0" applyFont="1" applyFill="1" applyBorder="1" applyAlignment="1" applyProtection="1">
      <alignment horizontal="center" vertical="center" wrapText="1"/>
      <protection hidden="1"/>
    </xf>
    <xf numFmtId="0" fontId="57" fillId="3" borderId="8" xfId="0" applyFont="1" applyFill="1" applyBorder="1" applyAlignment="1" applyProtection="1">
      <alignment horizontal="center" vertical="center" wrapText="1"/>
      <protection hidden="1"/>
    </xf>
    <xf numFmtId="0" fontId="57" fillId="3" borderId="5" xfId="0" applyFont="1" applyFill="1" applyBorder="1" applyAlignment="1" applyProtection="1">
      <alignment horizontal="center" vertical="center" wrapText="1"/>
      <protection hidden="1"/>
    </xf>
    <xf numFmtId="9" fontId="6" fillId="3" borderId="4" xfId="0" applyNumberFormat="1" applyFont="1" applyFill="1" applyBorder="1" applyAlignment="1" applyProtection="1">
      <alignment horizontal="center" vertical="center" wrapText="1"/>
      <protection hidden="1"/>
    </xf>
    <xf numFmtId="9" fontId="6" fillId="3" borderId="8" xfId="0" applyNumberFormat="1" applyFont="1" applyFill="1" applyBorder="1" applyAlignment="1" applyProtection="1">
      <alignment horizontal="center" vertical="center" wrapText="1"/>
      <protection hidden="1"/>
    </xf>
    <xf numFmtId="9" fontId="6" fillId="3" borderId="5" xfId="0" applyNumberFormat="1" applyFont="1" applyFill="1" applyBorder="1" applyAlignment="1" applyProtection="1">
      <alignment horizontal="center" vertical="center" wrapText="1"/>
      <protection hidden="1"/>
    </xf>
    <xf numFmtId="9" fontId="6" fillId="3" borderId="4" xfId="0" applyNumberFormat="1" applyFont="1" applyFill="1" applyBorder="1" applyAlignment="1" applyProtection="1">
      <alignment horizontal="center" vertical="center" wrapText="1"/>
      <protection locked="0"/>
    </xf>
    <xf numFmtId="9" fontId="6" fillId="3" borderId="8" xfId="0" applyNumberFormat="1" applyFont="1" applyFill="1" applyBorder="1" applyAlignment="1" applyProtection="1">
      <alignment horizontal="center" vertical="center" wrapText="1"/>
      <protection locked="0"/>
    </xf>
    <xf numFmtId="0" fontId="6" fillId="3" borderId="4" xfId="0" applyFont="1" applyFill="1" applyBorder="1" applyAlignment="1">
      <alignment horizontal="justify" vertical="center" wrapText="1"/>
    </xf>
    <xf numFmtId="0" fontId="6" fillId="3" borderId="8" xfId="0" applyFont="1" applyFill="1" applyBorder="1" applyAlignment="1">
      <alignment horizontal="justify" vertical="center" wrapText="1"/>
    </xf>
    <xf numFmtId="0" fontId="6" fillId="3" borderId="4"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8" xfId="0" applyFont="1" applyFill="1" applyBorder="1" applyAlignment="1">
      <alignment horizontal="center" vertical="center"/>
    </xf>
    <xf numFmtId="0" fontId="48" fillId="3" borderId="4" xfId="0" applyFont="1" applyFill="1" applyBorder="1" applyAlignment="1" applyProtection="1">
      <alignment horizontal="center" vertical="center" wrapText="1"/>
      <protection locked="0"/>
    </xf>
    <xf numFmtId="0" fontId="48" fillId="3" borderId="8" xfId="0" applyFont="1" applyFill="1" applyBorder="1" applyAlignment="1" applyProtection="1">
      <alignment horizontal="center" vertical="center" wrapText="1"/>
      <protection locked="0"/>
    </xf>
    <xf numFmtId="0" fontId="6" fillId="3" borderId="8" xfId="0" applyFont="1" applyFill="1" applyBorder="1" applyAlignment="1">
      <alignment horizontal="justify" vertical="center"/>
    </xf>
    <xf numFmtId="0" fontId="6" fillId="3" borderId="4" xfId="0" quotePrefix="1" applyFont="1" applyFill="1" applyBorder="1" applyAlignment="1" applyProtection="1">
      <alignment horizontal="center" vertical="center" wrapText="1"/>
      <protection locked="0"/>
    </xf>
    <xf numFmtId="0" fontId="6" fillId="3" borderId="4" xfId="0" applyFont="1" applyFill="1" applyBorder="1" applyAlignment="1">
      <alignment horizontal="justify" vertical="center"/>
    </xf>
    <xf numFmtId="0" fontId="57" fillId="3" borderId="4" xfId="0" applyFont="1" applyFill="1" applyBorder="1" applyAlignment="1" applyProtection="1">
      <alignment horizontal="center" vertical="center"/>
      <protection hidden="1"/>
    </xf>
    <xf numFmtId="0" fontId="57" fillId="3" borderId="8" xfId="0" applyFont="1" applyFill="1" applyBorder="1" applyAlignment="1" applyProtection="1">
      <alignment horizontal="center" vertical="center"/>
      <protection hidden="1"/>
    </xf>
    <xf numFmtId="0" fontId="57" fillId="3" borderId="5" xfId="0" applyFont="1" applyFill="1" applyBorder="1" applyAlignment="1" applyProtection="1">
      <alignment horizontal="center" vertical="center"/>
      <protection hidden="1"/>
    </xf>
    <xf numFmtId="0" fontId="6" fillId="3" borderId="4" xfId="0" applyFont="1" applyFill="1" applyBorder="1" applyAlignment="1">
      <alignment horizontal="center" vertical="center"/>
    </xf>
    <xf numFmtId="0" fontId="6" fillId="0" borderId="5" xfId="0" applyFont="1" applyBorder="1" applyAlignment="1">
      <alignment horizontal="justify" vertical="center" wrapText="1"/>
    </xf>
    <xf numFmtId="0" fontId="6" fillId="3" borderId="8" xfId="0" quotePrefix="1" applyFont="1" applyFill="1" applyBorder="1" applyAlignment="1" applyProtection="1">
      <alignment horizontal="center" vertical="center" wrapText="1"/>
      <protection locked="0"/>
    </xf>
    <xf numFmtId="9" fontId="48" fillId="3" borderId="4" xfId="0" applyNumberFormat="1" applyFont="1" applyFill="1" applyBorder="1" applyAlignment="1" applyProtection="1">
      <alignment horizontal="center" vertical="center" wrapText="1"/>
      <protection locked="0"/>
    </xf>
    <xf numFmtId="9" fontId="48" fillId="3" borderId="8" xfId="0" applyNumberFormat="1" applyFont="1" applyFill="1" applyBorder="1" applyAlignment="1" applyProtection="1">
      <alignment horizontal="center" vertical="center" wrapText="1"/>
      <protection locked="0"/>
    </xf>
    <xf numFmtId="9" fontId="48" fillId="3" borderId="5" xfId="0" applyNumberFormat="1" applyFont="1" applyFill="1" applyBorder="1" applyAlignment="1" applyProtection="1">
      <alignment horizontal="center" vertical="center" wrapText="1"/>
      <protection locked="0"/>
    </xf>
    <xf numFmtId="0" fontId="48" fillId="3" borderId="5" xfId="0" applyFont="1" applyFill="1" applyBorder="1" applyAlignment="1" applyProtection="1">
      <alignment horizontal="center" vertical="center" wrapText="1"/>
      <protection locked="0"/>
    </xf>
    <xf numFmtId="0" fontId="48" fillId="3" borderId="4" xfId="0" applyFont="1" applyFill="1" applyBorder="1" applyAlignment="1" applyProtection="1">
      <alignment horizontal="center" vertical="center"/>
      <protection locked="0"/>
    </xf>
    <xf numFmtId="0" fontId="48" fillId="3" borderId="8" xfId="0" applyFont="1" applyFill="1" applyBorder="1" applyAlignment="1" applyProtection="1">
      <alignment horizontal="center" vertical="center"/>
      <protection locked="0"/>
    </xf>
    <xf numFmtId="0" fontId="48" fillId="3" borderId="5" xfId="0" applyFont="1" applyFill="1" applyBorder="1" applyAlignment="1" applyProtection="1">
      <alignment horizontal="center" vertical="center"/>
      <protection locked="0"/>
    </xf>
    <xf numFmtId="0" fontId="48" fillId="3" borderId="4" xfId="0" quotePrefix="1" applyFont="1" applyFill="1" applyBorder="1" applyAlignment="1" applyProtection="1">
      <alignment horizontal="center" vertical="center" wrapText="1"/>
      <protection locked="0"/>
    </xf>
    <xf numFmtId="9" fontId="6" fillId="3" borderId="5" xfId="0" applyNumberFormat="1"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protection locked="0"/>
    </xf>
    <xf numFmtId="0" fontId="6" fillId="3" borderId="5"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52" fillId="3" borderId="4" xfId="0" applyFont="1" applyFill="1" applyBorder="1" applyAlignment="1" applyProtection="1">
      <alignment horizontal="center" vertical="center" wrapText="1"/>
      <protection hidden="1"/>
    </xf>
    <xf numFmtId="0" fontId="20" fillId="11" borderId="0" xfId="0" applyFont="1" applyFill="1" applyAlignment="1" applyProtection="1">
      <alignment horizontal="center" vertic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4" fillId="0" borderId="0" xfId="0" applyFont="1" applyAlignment="1">
      <alignment horizontal="center" vertical="center" wrapText="1"/>
    </xf>
    <xf numFmtId="0" fontId="17" fillId="0" borderId="12" xfId="0" applyFont="1" applyBorder="1" applyAlignment="1">
      <alignment horizontal="center" vertical="center" wrapText="1"/>
    </xf>
    <xf numFmtId="0" fontId="17" fillId="0" borderId="19"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17" fillId="0" borderId="17" xfId="0" applyFont="1" applyBorder="1" applyAlignment="1">
      <alignment horizontal="center" vertical="center"/>
    </xf>
    <xf numFmtId="0" fontId="20" fillId="11" borderId="73" xfId="0" applyFont="1" applyFill="1" applyBorder="1" applyAlignment="1" applyProtection="1">
      <alignment horizontal="center" vertical="center" wrapText="1" readingOrder="1"/>
      <protection hidden="1"/>
    </xf>
    <xf numFmtId="0" fontId="20" fillId="11" borderId="74" xfId="0" applyFont="1" applyFill="1" applyBorder="1" applyAlignment="1" applyProtection="1">
      <alignment horizontal="center" vertical="center" wrapText="1" readingOrder="1"/>
      <protection hidden="1"/>
    </xf>
    <xf numFmtId="0" fontId="20" fillId="11" borderId="75" xfId="0" applyFont="1" applyFill="1" applyBorder="1" applyAlignment="1" applyProtection="1">
      <alignment horizontal="center" vertic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17" fillId="0" borderId="14" xfId="0" applyFont="1" applyBorder="1" applyAlignment="1">
      <alignment horizontal="center" vertical="center" wrapText="1"/>
    </xf>
    <xf numFmtId="0" fontId="17" fillId="0" borderId="0" xfId="0" applyFont="1" applyAlignment="1">
      <alignment horizontal="center" vertical="center" wrapText="1"/>
    </xf>
    <xf numFmtId="0" fontId="20" fillId="5" borderId="13" xfId="0" applyFont="1" applyFill="1" applyBorder="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1" fillId="12" borderId="20" xfId="0" applyFont="1" applyFill="1" applyBorder="1" applyAlignment="1">
      <alignment horizontal="center" vertical="center" wrapText="1" readingOrder="1"/>
    </xf>
    <xf numFmtId="0" fontId="21" fillId="12" borderId="21" xfId="0" applyFont="1" applyFill="1" applyBorder="1" applyAlignment="1">
      <alignment horizontal="center" vertical="center" wrapText="1" readingOrder="1"/>
    </xf>
    <xf numFmtId="0" fontId="21" fillId="12" borderId="22" xfId="0" applyFont="1" applyFill="1" applyBorder="1" applyAlignment="1">
      <alignment horizontal="center" vertical="center" wrapText="1" readingOrder="1"/>
    </xf>
    <xf numFmtId="0" fontId="21" fillId="12" borderId="23" xfId="0" applyFont="1" applyFill="1" applyBorder="1" applyAlignment="1">
      <alignment horizontal="center" vertical="center" wrapText="1" readingOrder="1"/>
    </xf>
    <xf numFmtId="0" fontId="21" fillId="12" borderId="0" xfId="0" applyFont="1" applyFill="1" applyAlignment="1">
      <alignment horizontal="center" vertical="center" wrapText="1" readingOrder="1"/>
    </xf>
    <xf numFmtId="0" fontId="21" fillId="12" borderId="24" xfId="0" applyFont="1" applyFill="1" applyBorder="1" applyAlignment="1">
      <alignment horizontal="center" vertical="center" wrapText="1" readingOrder="1"/>
    </xf>
    <xf numFmtId="0" fontId="21" fillId="12" borderId="25" xfId="0" applyFont="1" applyFill="1" applyBorder="1" applyAlignment="1">
      <alignment horizontal="center" vertical="center" wrapText="1" readingOrder="1"/>
    </xf>
    <xf numFmtId="0" fontId="21" fillId="12" borderId="26" xfId="0" applyFont="1" applyFill="1" applyBorder="1" applyAlignment="1">
      <alignment horizontal="center" vertical="center" wrapText="1" readingOrder="1"/>
    </xf>
    <xf numFmtId="0" fontId="21" fillId="12" borderId="27" xfId="0" applyFont="1" applyFill="1" applyBorder="1" applyAlignment="1">
      <alignment horizontal="center" vertical="center" wrapText="1" readingOrder="1"/>
    </xf>
    <xf numFmtId="0" fontId="21" fillId="11" borderId="20" xfId="0" applyFont="1" applyFill="1" applyBorder="1" applyAlignment="1">
      <alignment horizontal="center" vertical="center" wrapText="1" readingOrder="1"/>
    </xf>
    <xf numFmtId="0" fontId="21" fillId="11" borderId="21" xfId="0" applyFont="1" applyFill="1" applyBorder="1" applyAlignment="1">
      <alignment horizontal="center" vertical="center" wrapText="1" readingOrder="1"/>
    </xf>
    <xf numFmtId="0" fontId="21" fillId="11" borderId="22" xfId="0" applyFont="1" applyFill="1" applyBorder="1" applyAlignment="1">
      <alignment horizontal="center" vertical="center" wrapText="1" readingOrder="1"/>
    </xf>
    <xf numFmtId="0" fontId="21" fillId="11" borderId="23" xfId="0" applyFont="1" applyFill="1" applyBorder="1" applyAlignment="1">
      <alignment horizontal="center" vertical="center" wrapText="1" readingOrder="1"/>
    </xf>
    <xf numFmtId="0" fontId="21" fillId="11" borderId="0" xfId="0" applyFont="1" applyFill="1" applyAlignment="1">
      <alignment horizontal="center" vertical="center" wrapText="1" readingOrder="1"/>
    </xf>
    <xf numFmtId="0" fontId="21" fillId="11" borderId="24" xfId="0" applyFont="1" applyFill="1" applyBorder="1" applyAlignment="1">
      <alignment horizontal="center" vertical="center" wrapText="1" readingOrder="1"/>
    </xf>
    <xf numFmtId="0" fontId="21" fillId="11" borderId="25" xfId="0" applyFont="1" applyFill="1" applyBorder="1" applyAlignment="1">
      <alignment horizontal="center" vertical="center" wrapText="1" readingOrder="1"/>
    </xf>
    <xf numFmtId="0" fontId="21" fillId="11" borderId="26" xfId="0" applyFont="1" applyFill="1" applyBorder="1" applyAlignment="1">
      <alignment horizontal="center" vertical="center" wrapText="1" readingOrder="1"/>
    </xf>
    <xf numFmtId="0" fontId="21" fillId="11" borderId="27" xfId="0" applyFont="1" applyFill="1" applyBorder="1" applyAlignment="1">
      <alignment horizontal="center" vertical="center" wrapText="1" readingOrder="1"/>
    </xf>
    <xf numFmtId="0" fontId="21" fillId="13" borderId="20" xfId="0" applyFont="1" applyFill="1" applyBorder="1" applyAlignment="1">
      <alignment horizontal="center" vertical="center" wrapText="1" readingOrder="1"/>
    </xf>
    <xf numFmtId="0" fontId="21" fillId="13" borderId="21" xfId="0" applyFont="1" applyFill="1" applyBorder="1" applyAlignment="1">
      <alignment horizontal="center" vertical="center" wrapText="1" readingOrder="1"/>
    </xf>
    <xf numFmtId="0" fontId="21" fillId="13" borderId="22" xfId="0" applyFont="1" applyFill="1" applyBorder="1" applyAlignment="1">
      <alignment horizontal="center" vertical="center" wrapText="1" readingOrder="1"/>
    </xf>
    <xf numFmtId="0" fontId="21" fillId="13" borderId="23" xfId="0" applyFont="1" applyFill="1" applyBorder="1" applyAlignment="1">
      <alignment horizontal="center" vertical="center" wrapText="1" readingOrder="1"/>
    </xf>
    <xf numFmtId="0" fontId="21" fillId="13" borderId="0" xfId="0" applyFont="1" applyFill="1" applyAlignment="1">
      <alignment horizontal="center" vertical="center" wrapText="1" readingOrder="1"/>
    </xf>
    <xf numFmtId="0" fontId="21" fillId="13" borderId="24" xfId="0" applyFont="1" applyFill="1" applyBorder="1" applyAlignment="1">
      <alignment horizontal="center" vertical="center" wrapText="1" readingOrder="1"/>
    </xf>
    <xf numFmtId="0" fontId="21" fillId="13" borderId="25" xfId="0" applyFont="1" applyFill="1" applyBorder="1" applyAlignment="1">
      <alignment horizontal="center" vertical="center" wrapText="1" readingOrder="1"/>
    </xf>
    <xf numFmtId="0" fontId="21" fillId="13" borderId="26" xfId="0" applyFont="1" applyFill="1" applyBorder="1" applyAlignment="1">
      <alignment horizontal="center" vertical="center" wrapText="1" readingOrder="1"/>
    </xf>
    <xf numFmtId="0" fontId="21" fillId="13" borderId="27" xfId="0" applyFont="1" applyFill="1" applyBorder="1" applyAlignment="1">
      <alignment horizontal="center" vertical="center" wrapText="1" readingOrder="1"/>
    </xf>
    <xf numFmtId="0" fontId="21" fillId="5" borderId="20" xfId="0" applyFont="1" applyFill="1" applyBorder="1" applyAlignment="1">
      <alignment horizontal="center" vertical="center" wrapText="1" readingOrder="1"/>
    </xf>
    <xf numFmtId="0" fontId="21" fillId="5" borderId="21" xfId="0" applyFont="1" applyFill="1" applyBorder="1" applyAlignment="1">
      <alignment horizontal="center" vertical="center" wrapText="1" readingOrder="1"/>
    </xf>
    <xf numFmtId="0" fontId="21" fillId="5" borderId="22" xfId="0" applyFont="1" applyFill="1" applyBorder="1" applyAlignment="1">
      <alignment horizontal="center" vertical="center" wrapText="1" readingOrder="1"/>
    </xf>
    <xf numFmtId="0" fontId="21" fillId="5" borderId="23" xfId="0" applyFont="1" applyFill="1" applyBorder="1" applyAlignment="1">
      <alignment horizontal="center" vertical="center" wrapText="1" readingOrder="1"/>
    </xf>
    <xf numFmtId="0" fontId="21" fillId="5" borderId="0" xfId="0" applyFont="1" applyFill="1" applyAlignment="1">
      <alignment horizontal="center" vertical="center" wrapText="1" readingOrder="1"/>
    </xf>
    <xf numFmtId="0" fontId="21" fillId="5" borderId="24" xfId="0" applyFont="1" applyFill="1" applyBorder="1" applyAlignment="1">
      <alignment horizontal="center" vertical="center" wrapText="1" readingOrder="1"/>
    </xf>
    <xf numFmtId="0" fontId="21" fillId="5" borderId="25" xfId="0" applyFont="1" applyFill="1" applyBorder="1" applyAlignment="1">
      <alignment horizontal="center" vertical="center" wrapText="1" readingOrder="1"/>
    </xf>
    <xf numFmtId="0" fontId="21" fillId="5" borderId="26" xfId="0" applyFont="1" applyFill="1" applyBorder="1" applyAlignment="1">
      <alignment horizontal="center" vertical="center" wrapText="1" readingOrder="1"/>
    </xf>
    <xf numFmtId="0" fontId="21" fillId="5" borderId="27" xfId="0" applyFont="1" applyFill="1" applyBorder="1" applyAlignment="1">
      <alignment horizontal="center" vertical="center" wrapText="1" readingOrder="1"/>
    </xf>
    <xf numFmtId="0" fontId="20" fillId="5" borderId="17" xfId="0" applyFont="1" applyFill="1" applyBorder="1" applyAlignment="1" applyProtection="1">
      <alignment horizontal="center" wrapText="1" readingOrder="1"/>
      <protection hidden="1"/>
    </xf>
    <xf numFmtId="0" fontId="23" fillId="0" borderId="0" xfId="0" applyFont="1" applyAlignment="1">
      <alignment horizontal="center" vertical="center"/>
    </xf>
    <xf numFmtId="0" fontId="44" fillId="0" borderId="0" xfId="0" applyFont="1" applyAlignment="1">
      <alignment horizontal="center" vertical="center"/>
    </xf>
    <xf numFmtId="0" fontId="39" fillId="15" borderId="33" xfId="0" applyFont="1" applyFill="1" applyBorder="1" applyAlignment="1">
      <alignment horizontal="center" vertical="center" wrapText="1" readingOrder="1"/>
    </xf>
    <xf numFmtId="0" fontId="39" fillId="15" borderId="34" xfId="0" applyFont="1" applyFill="1" applyBorder="1" applyAlignment="1">
      <alignment horizontal="center" vertical="center" wrapText="1" readingOrder="1"/>
    </xf>
    <xf numFmtId="0" fontId="39" fillId="15" borderId="45" xfId="0" applyFont="1" applyFill="1" applyBorder="1" applyAlignment="1">
      <alignment horizontal="center" vertical="center" wrapText="1" readingOrder="1"/>
    </xf>
    <xf numFmtId="0" fontId="34" fillId="3" borderId="0" xfId="0" applyFont="1" applyFill="1" applyAlignment="1">
      <alignment horizontal="justify" vertical="center" wrapText="1"/>
    </xf>
    <xf numFmtId="0" fontId="36" fillId="15" borderId="42" xfId="0" applyFont="1" applyFill="1" applyBorder="1" applyAlignment="1">
      <alignment horizontal="center" vertical="center" wrapText="1" readingOrder="1"/>
    </xf>
    <xf numFmtId="0" fontId="36" fillId="15" borderId="43" xfId="0" applyFont="1" applyFill="1" applyBorder="1" applyAlignment="1">
      <alignment horizontal="center" vertical="center" wrapText="1" readingOrder="1"/>
    </xf>
    <xf numFmtId="0" fontId="36" fillId="3" borderId="40" xfId="0" applyFont="1" applyFill="1" applyBorder="1" applyAlignment="1">
      <alignment horizontal="center" vertical="center" wrapText="1" readingOrder="1"/>
    </xf>
    <xf numFmtId="0" fontId="36" fillId="3" borderId="35" xfId="0" applyFont="1" applyFill="1" applyBorder="1" applyAlignment="1">
      <alignment horizontal="center" vertical="center" wrapText="1" readingOrder="1"/>
    </xf>
    <xf numFmtId="0" fontId="36" fillId="3" borderId="32" xfId="0" applyFont="1" applyFill="1" applyBorder="1" applyAlignment="1">
      <alignment horizontal="center" vertical="center" wrapText="1" readingOrder="1"/>
    </xf>
    <xf numFmtId="0" fontId="36" fillId="3" borderId="31" xfId="0" applyFont="1" applyFill="1" applyBorder="1" applyAlignment="1">
      <alignment horizontal="center" vertical="center" wrapText="1" readingOrder="1"/>
    </xf>
    <xf numFmtId="0" fontId="36" fillId="3" borderId="37" xfId="0" applyFont="1" applyFill="1" applyBorder="1" applyAlignment="1">
      <alignment horizontal="center" vertical="center" wrapText="1" readingOrder="1"/>
    </xf>
    <xf numFmtId="0" fontId="36" fillId="3" borderId="38" xfId="0" applyFont="1" applyFill="1" applyBorder="1" applyAlignment="1">
      <alignment horizontal="center" vertical="center" wrapText="1" readingOrder="1"/>
    </xf>
    <xf numFmtId="0" fontId="67" fillId="0" borderId="0" xfId="0" applyFont="1" applyAlignment="1">
      <alignment horizontal="justify" vertical="center"/>
    </xf>
    <xf numFmtId="0" fontId="6" fillId="0" borderId="2" xfId="0" applyFont="1" applyFill="1" applyBorder="1" applyAlignment="1" applyProtection="1">
      <alignment horizontal="center" vertical="center" wrapText="1"/>
      <protection locked="0"/>
    </xf>
    <xf numFmtId="14" fontId="6" fillId="0" borderId="2" xfId="0" applyNumberFormat="1" applyFont="1" applyFill="1" applyBorder="1" applyAlignment="1" applyProtection="1">
      <alignment horizontal="center" vertical="center" wrapText="1"/>
      <protection locked="0"/>
    </xf>
    <xf numFmtId="0" fontId="6" fillId="0" borderId="2" xfId="0" applyFont="1" applyFill="1" applyBorder="1" applyAlignment="1" applyProtection="1">
      <alignment horizontal="justify" vertical="center" wrapText="1"/>
      <protection locked="0"/>
    </xf>
    <xf numFmtId="0" fontId="6" fillId="0" borderId="0" xfId="0" applyFont="1" applyFill="1" applyAlignment="1">
      <alignment vertical="center" wrapText="1"/>
    </xf>
    <xf numFmtId="9" fontId="6" fillId="0" borderId="2" xfId="0" applyNumberFormat="1" applyFont="1" applyFill="1" applyBorder="1" applyAlignment="1" applyProtection="1">
      <alignment horizontal="center" vertical="center" wrapText="1"/>
      <protection locked="0"/>
    </xf>
    <xf numFmtId="0" fontId="6" fillId="0" borderId="0" xfId="0" applyFont="1" applyFill="1" applyAlignment="1">
      <alignment vertical="center"/>
    </xf>
    <xf numFmtId="0" fontId="57" fillId="0" borderId="2" xfId="0" applyFont="1" applyFill="1" applyBorder="1" applyAlignment="1" applyProtection="1">
      <alignment horizontal="center" vertical="center" wrapText="1"/>
      <protection locked="0"/>
    </xf>
    <xf numFmtId="0" fontId="59" fillId="0" borderId="2" xfId="0" applyFont="1" applyFill="1" applyBorder="1" applyAlignment="1" applyProtection="1">
      <alignment horizontal="justify" vertical="center" wrapText="1"/>
      <protection locked="0"/>
    </xf>
    <xf numFmtId="0" fontId="48" fillId="3" borderId="4" xfId="0" applyFont="1" applyFill="1" applyBorder="1" applyAlignment="1">
      <alignment horizontal="center" vertical="center" wrapText="1"/>
    </xf>
    <xf numFmtId="0" fontId="48" fillId="3" borderId="8" xfId="0" applyFont="1" applyFill="1" applyBorder="1" applyAlignment="1">
      <alignment horizontal="center" vertical="center" wrapText="1"/>
    </xf>
    <xf numFmtId="0" fontId="48" fillId="3" borderId="5"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81" xfId="0" applyFont="1" applyFill="1" applyBorder="1" applyAlignment="1">
      <alignment horizontal="justify" vertical="center" wrapText="1"/>
    </xf>
    <xf numFmtId="0" fontId="6" fillId="0" borderId="2" xfId="0" applyFont="1" applyFill="1" applyBorder="1" applyAlignment="1" applyProtection="1">
      <alignment horizontal="center" vertical="center"/>
      <protection hidden="1"/>
    </xf>
    <xf numFmtId="0" fontId="6" fillId="0" borderId="2" xfId="0" applyFont="1" applyFill="1" applyBorder="1" applyAlignment="1" applyProtection="1">
      <alignment horizontal="center" vertical="center" textRotation="90"/>
      <protection locked="0"/>
    </xf>
    <xf numFmtId="9" fontId="6" fillId="0" borderId="2" xfId="0" applyNumberFormat="1" applyFont="1" applyFill="1" applyBorder="1" applyAlignment="1" applyProtection="1">
      <alignment horizontal="center" vertical="center"/>
      <protection hidden="1"/>
    </xf>
    <xf numFmtId="0" fontId="57" fillId="0" borderId="2" xfId="0" applyFont="1" applyFill="1" applyBorder="1" applyAlignment="1" applyProtection="1">
      <alignment horizontal="center" vertical="center" textRotation="90" wrapText="1"/>
      <protection hidden="1"/>
    </xf>
    <xf numFmtId="9" fontId="6" fillId="0" borderId="4" xfId="0" applyNumberFormat="1" applyFont="1" applyFill="1" applyBorder="1" applyAlignment="1" applyProtection="1">
      <alignment horizontal="center" vertical="center"/>
      <protection hidden="1"/>
    </xf>
    <xf numFmtId="0" fontId="57" fillId="0" borderId="2" xfId="0" applyFont="1" applyFill="1" applyBorder="1" applyAlignment="1" applyProtection="1">
      <alignment horizontal="center" vertical="center" textRotation="90"/>
      <protection hidden="1"/>
    </xf>
    <xf numFmtId="0" fontId="6" fillId="0" borderId="4" xfId="0" applyFont="1" applyFill="1" applyBorder="1" applyAlignment="1" applyProtection="1">
      <alignment horizontal="center" vertical="center" textRotation="90"/>
      <protection locked="0"/>
    </xf>
    <xf numFmtId="0" fontId="6" fillId="0" borderId="81" xfId="0" applyFont="1" applyFill="1" applyBorder="1" applyAlignment="1">
      <alignment horizontal="center" vertical="center"/>
    </xf>
    <xf numFmtId="14" fontId="48" fillId="0" borderId="2" xfId="0" applyNumberFormat="1" applyFont="1" applyFill="1" applyBorder="1" applyAlignment="1" applyProtection="1">
      <alignment horizontal="center" vertical="center" wrapText="1"/>
      <protection locked="0"/>
    </xf>
    <xf numFmtId="0" fontId="6" fillId="0" borderId="2" xfId="0" quotePrefix="1" applyFont="1" applyFill="1" applyBorder="1" applyAlignment="1" applyProtection="1">
      <alignment horizontal="justify" vertical="center" wrapText="1"/>
      <protection locked="0"/>
    </xf>
    <xf numFmtId="0" fontId="6" fillId="0" borderId="2" xfId="0" applyFont="1" applyFill="1" applyBorder="1" applyAlignment="1" applyProtection="1">
      <alignment horizontal="center" vertical="center"/>
      <protection locked="0"/>
    </xf>
    <xf numFmtId="0" fontId="1" fillId="0" borderId="2" xfId="0" applyFont="1" applyFill="1" applyBorder="1" applyAlignment="1" applyProtection="1">
      <alignment horizontal="left" vertical="center" wrapText="1"/>
      <protection locked="0"/>
    </xf>
  </cellXfs>
  <cellStyles count="6">
    <cellStyle name="Hipervínculo" xfId="5" builtinId="8"/>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2597">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1" defaultTableStyle="TableStyleMedium2" defaultPivotStyle="PivotStyleLight16">
    <tableStyle name="Invisible" pivot="0" table="0" count="0" xr9:uid="{00000000-0011-0000-FFFF-FFFF00000000}"/>
  </tableStyles>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203\Owncloud\Users\jguzm\Downloads\Mapa_riesgos_ERU_2022_Atenci&#243;n%20al%20Ciudadano%2029.06.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uctivo"/>
      <sheetName val="Matriz Calor Residual"/>
      <sheetName val="Mapa final"/>
      <sheetName val="Matriz Calor Inherente"/>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directiva y accionistas y/o de proveedores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n="El riesgo afecta la imagen de la entidad internamente, de conocimiento general, nivel interno, de junta directiva y accionistas y/o de proveedores" x="6"/>
        <item x="7"/>
        <item n="El riesgo afecta la imagen de la entidad con efecto publicitario sostenido a nivel de sector administrativo, nivel departamental o municipal"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file:///\\192.168.10.203\Institucional\OGS\0%20OFICINA%20DE%20GESTION%20SOCIAL%202022\ATENCION%20AL%20CIUDADANO\SOPORTES%20CUALIFICACI&#211;N" TargetMode="External"/><Relationship Id="rId2" Type="http://schemas.openxmlformats.org/officeDocument/2006/relationships/hyperlink" Target="file:///\\192.168.10.203\Institucional\OGS\0%20OFICINA%20DE%20GESTION%20SOCIAL%202022\ATENCION%20AL%20CIUDADANO\SOPORTES%20CUALIFICACI&#211;N" TargetMode="External"/><Relationship Id="rId1" Type="http://schemas.openxmlformats.org/officeDocument/2006/relationships/hyperlink" Target="file:///\\192.168.10.203\ogs\0%20OFICINA%20DE%20GESTION%20SOCIAL%202022\MAPA%20DE%20RIESGO%20OGS\NOVIEMBRE" TargetMode="External"/><Relationship Id="rId6" Type="http://schemas.openxmlformats.org/officeDocument/2006/relationships/printerSettings" Target="../printerSettings/printerSettings3.bin"/><Relationship Id="rId5" Type="http://schemas.openxmlformats.org/officeDocument/2006/relationships/hyperlink" Target="file:///\\192.168.10.203\Institucional\OGS\0%20OFICINA%20DE%20GESTION%20SOCIAL%202022\ATENCION%20AL%20CIUDADANO\CAPACITACIONES%20FUNCIONALES" TargetMode="External"/><Relationship Id="rId4" Type="http://schemas.openxmlformats.org/officeDocument/2006/relationships/hyperlink" Target="file:///\\192.168.10.203\Institucional\OGS\0%20OFICINA%20DE%20GESTION%20SOCIAL%202022\ATENCION%20AL%20CIUDADANO\Seguimiento%20a%20la%20calidad%20de%20las%20respuesta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topLeftCell="B37" zoomScale="110" zoomScaleNormal="110" workbookViewId="0">
      <selection activeCell="B43" sqref="B43:H43"/>
    </sheetView>
  </sheetViews>
  <sheetFormatPr baseColWidth="10" defaultColWidth="11.42578125" defaultRowHeight="15" x14ac:dyDescent="0.25"/>
  <cols>
    <col min="1" max="1" width="2.85546875" style="55" customWidth="1"/>
    <col min="2" max="3" width="24.7109375" style="55" customWidth="1"/>
    <col min="4" max="4" width="16" style="55" customWidth="1"/>
    <col min="5" max="5" width="24.7109375" style="55" customWidth="1"/>
    <col min="6" max="6" width="27.7109375" style="55" customWidth="1"/>
    <col min="7" max="8" width="24.7109375" style="55" customWidth="1"/>
    <col min="9" max="16384" width="11.42578125" style="55"/>
  </cols>
  <sheetData>
    <row r="1" spans="2:8" ht="15.75" thickBot="1" x14ac:dyDescent="0.3"/>
    <row r="2" spans="2:8" ht="18" x14ac:dyDescent="0.25">
      <c r="B2" s="234" t="s">
        <v>140</v>
      </c>
      <c r="C2" s="235"/>
      <c r="D2" s="235"/>
      <c r="E2" s="235"/>
      <c r="F2" s="235"/>
      <c r="G2" s="235"/>
      <c r="H2" s="236"/>
    </row>
    <row r="3" spans="2:8" x14ac:dyDescent="0.25">
      <c r="B3" s="56"/>
      <c r="C3" s="57"/>
      <c r="D3" s="57"/>
      <c r="E3" s="57"/>
      <c r="F3" s="57"/>
      <c r="G3" s="57"/>
      <c r="H3" s="58"/>
    </row>
    <row r="4" spans="2:8" ht="63" customHeight="1" x14ac:dyDescent="0.25">
      <c r="B4" s="237" t="s">
        <v>183</v>
      </c>
      <c r="C4" s="238"/>
      <c r="D4" s="238"/>
      <c r="E4" s="238"/>
      <c r="F4" s="238"/>
      <c r="G4" s="238"/>
      <c r="H4" s="239"/>
    </row>
    <row r="5" spans="2:8" ht="63" customHeight="1" x14ac:dyDescent="0.25">
      <c r="B5" s="240"/>
      <c r="C5" s="241"/>
      <c r="D5" s="241"/>
      <c r="E5" s="241"/>
      <c r="F5" s="241"/>
      <c r="G5" s="241"/>
      <c r="H5" s="242"/>
    </row>
    <row r="6" spans="2:8" ht="16.5" x14ac:dyDescent="0.25">
      <c r="B6" s="243" t="s">
        <v>138</v>
      </c>
      <c r="C6" s="244"/>
      <c r="D6" s="244"/>
      <c r="E6" s="244"/>
      <c r="F6" s="244"/>
      <c r="G6" s="244"/>
      <c r="H6" s="245"/>
    </row>
    <row r="7" spans="2:8" ht="95.25" customHeight="1" x14ac:dyDescent="0.25">
      <c r="B7" s="253" t="s">
        <v>143</v>
      </c>
      <c r="C7" s="254"/>
      <c r="D7" s="254"/>
      <c r="E7" s="254"/>
      <c r="F7" s="254"/>
      <c r="G7" s="254"/>
      <c r="H7" s="255"/>
    </row>
    <row r="8" spans="2:8" ht="16.5" x14ac:dyDescent="0.25">
      <c r="B8" s="92"/>
      <c r="C8" s="93"/>
      <c r="D8" s="93"/>
      <c r="E8" s="93"/>
      <c r="F8" s="93"/>
      <c r="G8" s="93"/>
      <c r="H8" s="94"/>
    </row>
    <row r="9" spans="2:8" ht="16.5" customHeight="1" x14ac:dyDescent="0.25">
      <c r="B9" s="246" t="s">
        <v>176</v>
      </c>
      <c r="C9" s="247"/>
      <c r="D9" s="247"/>
      <c r="E9" s="247"/>
      <c r="F9" s="247"/>
      <c r="G9" s="247"/>
      <c r="H9" s="248"/>
    </row>
    <row r="10" spans="2:8" ht="44.25" customHeight="1" x14ac:dyDescent="0.25">
      <c r="B10" s="246"/>
      <c r="C10" s="247"/>
      <c r="D10" s="247"/>
      <c r="E10" s="247"/>
      <c r="F10" s="247"/>
      <c r="G10" s="247"/>
      <c r="H10" s="248"/>
    </row>
    <row r="11" spans="2:8" ht="15.75" thickBot="1" x14ac:dyDescent="0.3">
      <c r="B11" s="81"/>
      <c r="C11" s="84"/>
      <c r="D11" s="89"/>
      <c r="E11" s="90"/>
      <c r="F11" s="90"/>
      <c r="G11" s="91"/>
      <c r="H11" s="85"/>
    </row>
    <row r="12" spans="2:8" ht="15.75" thickTop="1" x14ac:dyDescent="0.25">
      <c r="B12" s="81"/>
      <c r="C12" s="249" t="s">
        <v>139</v>
      </c>
      <c r="D12" s="250"/>
      <c r="E12" s="251" t="s">
        <v>177</v>
      </c>
      <c r="F12" s="252"/>
      <c r="G12" s="84"/>
      <c r="H12" s="85"/>
    </row>
    <row r="13" spans="2:8" ht="35.25" customHeight="1" x14ac:dyDescent="0.25">
      <c r="B13" s="81"/>
      <c r="C13" s="256" t="s">
        <v>170</v>
      </c>
      <c r="D13" s="257"/>
      <c r="E13" s="258" t="s">
        <v>175</v>
      </c>
      <c r="F13" s="259"/>
      <c r="G13" s="84"/>
      <c r="H13" s="85"/>
    </row>
    <row r="14" spans="2:8" ht="17.25" customHeight="1" x14ac:dyDescent="0.25">
      <c r="B14" s="81"/>
      <c r="C14" s="256" t="s">
        <v>171</v>
      </c>
      <c r="D14" s="257"/>
      <c r="E14" s="258" t="s">
        <v>173</v>
      </c>
      <c r="F14" s="259"/>
      <c r="G14" s="84"/>
      <c r="H14" s="85"/>
    </row>
    <row r="15" spans="2:8" ht="19.5" customHeight="1" x14ac:dyDescent="0.25">
      <c r="B15" s="81"/>
      <c r="C15" s="256" t="s">
        <v>172</v>
      </c>
      <c r="D15" s="257"/>
      <c r="E15" s="258" t="s">
        <v>174</v>
      </c>
      <c r="F15" s="259"/>
      <c r="G15" s="84"/>
      <c r="H15" s="85"/>
    </row>
    <row r="16" spans="2:8" ht="69.75" customHeight="1" x14ac:dyDescent="0.25">
      <c r="B16" s="81"/>
      <c r="C16" s="256" t="s">
        <v>141</v>
      </c>
      <c r="D16" s="257"/>
      <c r="E16" s="258" t="s">
        <v>142</v>
      </c>
      <c r="F16" s="259"/>
      <c r="G16" s="84"/>
      <c r="H16" s="85"/>
    </row>
    <row r="17" spans="2:8" ht="34.5" customHeight="1" x14ac:dyDescent="0.25">
      <c r="B17" s="81"/>
      <c r="C17" s="260" t="s">
        <v>2</v>
      </c>
      <c r="D17" s="261"/>
      <c r="E17" s="262" t="s">
        <v>184</v>
      </c>
      <c r="F17" s="263"/>
      <c r="G17" s="84"/>
      <c r="H17" s="85"/>
    </row>
    <row r="18" spans="2:8" ht="27.75" customHeight="1" x14ac:dyDescent="0.25">
      <c r="B18" s="81"/>
      <c r="C18" s="260" t="s">
        <v>3</v>
      </c>
      <c r="D18" s="261"/>
      <c r="E18" s="262" t="s">
        <v>185</v>
      </c>
      <c r="F18" s="263"/>
      <c r="G18" s="84"/>
      <c r="H18" s="85"/>
    </row>
    <row r="19" spans="2:8" ht="28.5" customHeight="1" x14ac:dyDescent="0.25">
      <c r="B19" s="81"/>
      <c r="C19" s="260" t="s">
        <v>38</v>
      </c>
      <c r="D19" s="261"/>
      <c r="E19" s="262" t="s">
        <v>186</v>
      </c>
      <c r="F19" s="263"/>
      <c r="G19" s="84"/>
      <c r="H19" s="85"/>
    </row>
    <row r="20" spans="2:8" ht="72.75" customHeight="1" x14ac:dyDescent="0.25">
      <c r="B20" s="81"/>
      <c r="C20" s="260" t="s">
        <v>1</v>
      </c>
      <c r="D20" s="261"/>
      <c r="E20" s="262" t="s">
        <v>187</v>
      </c>
      <c r="F20" s="263"/>
      <c r="G20" s="84"/>
      <c r="H20" s="85"/>
    </row>
    <row r="21" spans="2:8" ht="64.5" customHeight="1" x14ac:dyDescent="0.25">
      <c r="B21" s="81"/>
      <c r="C21" s="260" t="s">
        <v>44</v>
      </c>
      <c r="D21" s="261"/>
      <c r="E21" s="262" t="s">
        <v>145</v>
      </c>
      <c r="F21" s="263"/>
      <c r="G21" s="84"/>
      <c r="H21" s="85"/>
    </row>
    <row r="22" spans="2:8" ht="71.25" customHeight="1" x14ac:dyDescent="0.25">
      <c r="B22" s="81"/>
      <c r="C22" s="260" t="s">
        <v>144</v>
      </c>
      <c r="D22" s="261"/>
      <c r="E22" s="262" t="s">
        <v>146</v>
      </c>
      <c r="F22" s="263"/>
      <c r="G22" s="84"/>
      <c r="H22" s="85"/>
    </row>
    <row r="23" spans="2:8" ht="55.5" customHeight="1" x14ac:dyDescent="0.25">
      <c r="B23" s="81"/>
      <c r="C23" s="267" t="s">
        <v>147</v>
      </c>
      <c r="D23" s="268"/>
      <c r="E23" s="262" t="s">
        <v>148</v>
      </c>
      <c r="F23" s="263"/>
      <c r="G23" s="84"/>
      <c r="H23" s="85"/>
    </row>
    <row r="24" spans="2:8" ht="42" customHeight="1" x14ac:dyDescent="0.25">
      <c r="B24" s="81"/>
      <c r="C24" s="267" t="s">
        <v>42</v>
      </c>
      <c r="D24" s="268"/>
      <c r="E24" s="262" t="s">
        <v>149</v>
      </c>
      <c r="F24" s="263"/>
      <c r="G24" s="84"/>
      <c r="H24" s="85"/>
    </row>
    <row r="25" spans="2:8" ht="59.25" customHeight="1" x14ac:dyDescent="0.25">
      <c r="B25" s="81"/>
      <c r="C25" s="267" t="s">
        <v>137</v>
      </c>
      <c r="D25" s="268"/>
      <c r="E25" s="262" t="s">
        <v>150</v>
      </c>
      <c r="F25" s="263"/>
      <c r="G25" s="84"/>
      <c r="H25" s="85"/>
    </row>
    <row r="26" spans="2:8" ht="23.25" customHeight="1" x14ac:dyDescent="0.25">
      <c r="B26" s="81"/>
      <c r="C26" s="267" t="s">
        <v>12</v>
      </c>
      <c r="D26" s="268"/>
      <c r="E26" s="262" t="s">
        <v>151</v>
      </c>
      <c r="F26" s="263"/>
      <c r="G26" s="84"/>
      <c r="H26" s="85"/>
    </row>
    <row r="27" spans="2:8" ht="30.75" customHeight="1" x14ac:dyDescent="0.25">
      <c r="B27" s="81"/>
      <c r="C27" s="267" t="s">
        <v>155</v>
      </c>
      <c r="D27" s="268"/>
      <c r="E27" s="262" t="s">
        <v>152</v>
      </c>
      <c r="F27" s="263"/>
      <c r="G27" s="84"/>
      <c r="H27" s="85"/>
    </row>
    <row r="28" spans="2:8" ht="35.25" customHeight="1" x14ac:dyDescent="0.25">
      <c r="B28" s="81"/>
      <c r="C28" s="267" t="s">
        <v>156</v>
      </c>
      <c r="D28" s="268"/>
      <c r="E28" s="262" t="s">
        <v>153</v>
      </c>
      <c r="F28" s="263"/>
      <c r="G28" s="84"/>
      <c r="H28" s="85"/>
    </row>
    <row r="29" spans="2:8" ht="33" customHeight="1" x14ac:dyDescent="0.25">
      <c r="B29" s="81"/>
      <c r="C29" s="267" t="s">
        <v>156</v>
      </c>
      <c r="D29" s="268"/>
      <c r="E29" s="262" t="s">
        <v>153</v>
      </c>
      <c r="F29" s="263"/>
      <c r="G29" s="84"/>
      <c r="H29" s="85"/>
    </row>
    <row r="30" spans="2:8" ht="30" customHeight="1" x14ac:dyDescent="0.25">
      <c r="B30" s="81"/>
      <c r="C30" s="267" t="s">
        <v>157</v>
      </c>
      <c r="D30" s="268"/>
      <c r="E30" s="262" t="s">
        <v>154</v>
      </c>
      <c r="F30" s="263"/>
      <c r="G30" s="84"/>
      <c r="H30" s="85"/>
    </row>
    <row r="31" spans="2:8" ht="35.25" customHeight="1" x14ac:dyDescent="0.25">
      <c r="B31" s="81"/>
      <c r="C31" s="267" t="s">
        <v>158</v>
      </c>
      <c r="D31" s="268"/>
      <c r="E31" s="262" t="s">
        <v>159</v>
      </c>
      <c r="F31" s="263"/>
      <c r="G31" s="84"/>
      <c r="H31" s="85"/>
    </row>
    <row r="32" spans="2:8" ht="31.5" customHeight="1" x14ac:dyDescent="0.25">
      <c r="B32" s="81"/>
      <c r="C32" s="267" t="s">
        <v>160</v>
      </c>
      <c r="D32" s="268"/>
      <c r="E32" s="262" t="s">
        <v>161</v>
      </c>
      <c r="F32" s="263"/>
      <c r="G32" s="84"/>
      <c r="H32" s="85"/>
    </row>
    <row r="33" spans="2:8" ht="35.25" customHeight="1" x14ac:dyDescent="0.25">
      <c r="B33" s="81"/>
      <c r="C33" s="267" t="s">
        <v>162</v>
      </c>
      <c r="D33" s="268"/>
      <c r="E33" s="262" t="s">
        <v>163</v>
      </c>
      <c r="F33" s="263"/>
      <c r="G33" s="84"/>
      <c r="H33" s="85"/>
    </row>
    <row r="34" spans="2:8" ht="59.25" customHeight="1" x14ac:dyDescent="0.25">
      <c r="B34" s="81"/>
      <c r="C34" s="267" t="s">
        <v>164</v>
      </c>
      <c r="D34" s="268"/>
      <c r="E34" s="262" t="s">
        <v>165</v>
      </c>
      <c r="F34" s="263"/>
      <c r="G34" s="84"/>
      <c r="H34" s="85"/>
    </row>
    <row r="35" spans="2:8" ht="29.25" customHeight="1" x14ac:dyDescent="0.25">
      <c r="B35" s="81"/>
      <c r="C35" s="267" t="s">
        <v>29</v>
      </c>
      <c r="D35" s="268"/>
      <c r="E35" s="262" t="s">
        <v>166</v>
      </c>
      <c r="F35" s="263"/>
      <c r="G35" s="84"/>
      <c r="H35" s="85"/>
    </row>
    <row r="36" spans="2:8" ht="82.5" customHeight="1" x14ac:dyDescent="0.25">
      <c r="B36" s="81"/>
      <c r="C36" s="267" t="s">
        <v>168</v>
      </c>
      <c r="D36" s="268"/>
      <c r="E36" s="262" t="s">
        <v>167</v>
      </c>
      <c r="F36" s="263"/>
      <c r="G36" s="84"/>
      <c r="H36" s="85"/>
    </row>
    <row r="37" spans="2:8" ht="46.5" customHeight="1" x14ac:dyDescent="0.25">
      <c r="B37" s="81"/>
      <c r="C37" s="267" t="s">
        <v>35</v>
      </c>
      <c r="D37" s="268"/>
      <c r="E37" s="262" t="s">
        <v>169</v>
      </c>
      <c r="F37" s="263"/>
      <c r="G37" s="84"/>
      <c r="H37" s="85"/>
    </row>
    <row r="38" spans="2:8" ht="6.75" customHeight="1" thickBot="1" x14ac:dyDescent="0.3">
      <c r="B38" s="81"/>
      <c r="C38" s="269"/>
      <c r="D38" s="270"/>
      <c r="E38" s="271"/>
      <c r="F38" s="272"/>
      <c r="G38" s="84"/>
      <c r="H38" s="85"/>
    </row>
    <row r="39" spans="2:8" ht="15.75" thickTop="1" x14ac:dyDescent="0.25">
      <c r="B39" s="81"/>
      <c r="C39" s="82"/>
      <c r="D39" s="82"/>
      <c r="E39" s="83"/>
      <c r="F39" s="83"/>
      <c r="G39" s="84"/>
      <c r="H39" s="85"/>
    </row>
    <row r="40" spans="2:8" ht="21" customHeight="1" x14ac:dyDescent="0.25">
      <c r="B40" s="264" t="s">
        <v>178</v>
      </c>
      <c r="C40" s="265"/>
      <c r="D40" s="265"/>
      <c r="E40" s="265"/>
      <c r="F40" s="265"/>
      <c r="G40" s="265"/>
      <c r="H40" s="266"/>
    </row>
    <row r="41" spans="2:8" ht="20.25" customHeight="1" x14ac:dyDescent="0.25">
      <c r="B41" s="264" t="s">
        <v>179</v>
      </c>
      <c r="C41" s="265"/>
      <c r="D41" s="265"/>
      <c r="E41" s="265"/>
      <c r="F41" s="265"/>
      <c r="G41" s="265"/>
      <c r="H41" s="266"/>
    </row>
    <row r="42" spans="2:8" ht="20.25" customHeight="1" x14ac:dyDescent="0.25">
      <c r="B42" s="264" t="s">
        <v>180</v>
      </c>
      <c r="C42" s="265"/>
      <c r="D42" s="265"/>
      <c r="E42" s="265"/>
      <c r="F42" s="265"/>
      <c r="G42" s="265"/>
      <c r="H42" s="266"/>
    </row>
    <row r="43" spans="2:8" ht="20.25" customHeight="1" x14ac:dyDescent="0.25">
      <c r="B43" s="264" t="s">
        <v>181</v>
      </c>
      <c r="C43" s="265"/>
      <c r="D43" s="265"/>
      <c r="E43" s="265"/>
      <c r="F43" s="265"/>
      <c r="G43" s="265"/>
      <c r="H43" s="266"/>
    </row>
    <row r="44" spans="2:8" x14ac:dyDescent="0.25">
      <c r="B44" s="264" t="s">
        <v>182</v>
      </c>
      <c r="C44" s="265"/>
      <c r="D44" s="265"/>
      <c r="E44" s="265"/>
      <c r="F44" s="265"/>
      <c r="G44" s="265"/>
      <c r="H44" s="266"/>
    </row>
    <row r="45" spans="2:8" ht="15.75" thickBot="1" x14ac:dyDescent="0.3">
      <c r="B45" s="86"/>
      <c r="C45" s="87"/>
      <c r="D45" s="87"/>
      <c r="E45" s="87"/>
      <c r="F45" s="87"/>
      <c r="G45" s="87"/>
      <c r="H45" s="88"/>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X448"/>
  <sheetViews>
    <sheetView topLeftCell="A240" zoomScale="60" zoomScaleNormal="60" workbookViewId="0">
      <selection activeCell="O273" sqref="O273"/>
    </sheetView>
  </sheetViews>
  <sheetFormatPr baseColWidth="10" defaultRowHeight="15" x14ac:dyDescent="0.25"/>
  <cols>
    <col min="2" max="9" width="5.7109375" customWidth="1"/>
    <col min="10" max="10" width="10.5703125" bestFit="1" customWidth="1"/>
    <col min="11" max="12" width="11" bestFit="1" customWidth="1"/>
    <col min="13" max="13" width="10.5703125" bestFit="1" customWidth="1"/>
    <col min="14" max="15" width="11" bestFit="1" customWidth="1"/>
    <col min="16" max="16" width="10.85546875" customWidth="1"/>
    <col min="17" max="17" width="11" bestFit="1" customWidth="1"/>
    <col min="18" max="18" width="11" customWidth="1"/>
    <col min="19" max="19" width="10.5703125" bestFit="1" customWidth="1"/>
    <col min="20" max="21" width="11" customWidth="1"/>
    <col min="22" max="22" width="10.85546875" bestFit="1" customWidth="1"/>
    <col min="23" max="24" width="9.7109375" customWidth="1"/>
    <col min="26" max="31" width="5.7109375" customWidth="1"/>
  </cols>
  <sheetData>
    <row r="1" spans="1:76" x14ac:dyDescent="0.25">
      <c r="A1" s="55"/>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row>
    <row r="2" spans="1:76" ht="18" customHeight="1" x14ac:dyDescent="0.25">
      <c r="A2" s="55"/>
      <c r="B2" s="298" t="s">
        <v>134</v>
      </c>
      <c r="C2" s="299"/>
      <c r="D2" s="299"/>
      <c r="E2" s="299"/>
      <c r="F2" s="299"/>
      <c r="G2" s="299"/>
      <c r="H2" s="299"/>
      <c r="I2" s="299"/>
      <c r="J2" s="300" t="s">
        <v>2</v>
      </c>
      <c r="K2" s="300"/>
      <c r="L2" s="300"/>
      <c r="M2" s="300"/>
      <c r="N2" s="300"/>
      <c r="O2" s="300"/>
      <c r="P2" s="300"/>
      <c r="Q2" s="300"/>
      <c r="R2" s="300"/>
      <c r="S2" s="300"/>
      <c r="T2" s="300"/>
      <c r="U2" s="300"/>
      <c r="V2" s="300"/>
      <c r="W2" s="300"/>
      <c r="X2" s="300"/>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row>
    <row r="3" spans="1:76" ht="18.75" customHeight="1" x14ac:dyDescent="0.25">
      <c r="A3" s="55"/>
      <c r="B3" s="299"/>
      <c r="C3" s="299"/>
      <c r="D3" s="299"/>
      <c r="E3" s="299"/>
      <c r="F3" s="299"/>
      <c r="G3" s="299"/>
      <c r="H3" s="299"/>
      <c r="I3" s="299"/>
      <c r="J3" s="300"/>
      <c r="K3" s="300"/>
      <c r="L3" s="300"/>
      <c r="M3" s="300"/>
      <c r="N3" s="300"/>
      <c r="O3" s="300"/>
      <c r="P3" s="300"/>
      <c r="Q3" s="300"/>
      <c r="R3" s="300"/>
      <c r="S3" s="300"/>
      <c r="T3" s="300"/>
      <c r="U3" s="300"/>
      <c r="V3" s="300"/>
      <c r="W3" s="300"/>
      <c r="X3" s="300"/>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row>
    <row r="4" spans="1:76" ht="15" customHeight="1" x14ac:dyDescent="0.25">
      <c r="A4" s="55"/>
      <c r="B4" s="299"/>
      <c r="C4" s="299"/>
      <c r="D4" s="299"/>
      <c r="E4" s="299"/>
      <c r="F4" s="299"/>
      <c r="G4" s="299"/>
      <c r="H4" s="299"/>
      <c r="I4" s="299"/>
      <c r="J4" s="300"/>
      <c r="K4" s="300"/>
      <c r="L4" s="300"/>
      <c r="M4" s="300"/>
      <c r="N4" s="300"/>
      <c r="O4" s="300"/>
      <c r="P4" s="300"/>
      <c r="Q4" s="300"/>
      <c r="R4" s="300"/>
      <c r="S4" s="300"/>
      <c r="T4" s="300"/>
      <c r="U4" s="300"/>
      <c r="V4" s="300"/>
      <c r="W4" s="300"/>
      <c r="X4" s="300"/>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row>
    <row r="5" spans="1:76" ht="15.75" thickBot="1" x14ac:dyDescent="0.3">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row>
    <row r="6" spans="1:76" ht="15" customHeight="1" x14ac:dyDescent="0.25">
      <c r="A6" s="55"/>
      <c r="B6" s="301" t="s">
        <v>4</v>
      </c>
      <c r="C6" s="301"/>
      <c r="D6" s="302"/>
      <c r="E6" s="290" t="s">
        <v>107</v>
      </c>
      <c r="F6" s="291"/>
      <c r="G6" s="291"/>
      <c r="H6" s="291"/>
      <c r="I6" s="291"/>
      <c r="J6" s="99" t="str">
        <f>IF(AND('Mapa final'!$AB$7="Muy Alta",'Mapa final'!$AD$7="Leve"),CONCATENATE("R1C",'Mapa final'!$R$7),"")</f>
        <v/>
      </c>
      <c r="K6" s="100" t="str">
        <f>IF(AND('Mapa final'!$AB$8="Muy Alta",'Mapa final'!$AD$8="Leve"),CONCATENATE("R1C",'Mapa final'!$R$8),"")</f>
        <v/>
      </c>
      <c r="L6" s="101" t="str">
        <f>IF(AND('Mapa final'!$AB$9="Muy Alta",'Mapa final'!$AD$9="Leve"),CONCATENATE("R1C",'Mapa final'!$R$9),"")</f>
        <v/>
      </c>
      <c r="M6" s="99" t="str">
        <f>IF(AND('Mapa final'!$AB$7="Muy Alta",'Mapa final'!$AD$7="Menor"),CONCATENATE("R1C",'Mapa final'!$R$7),"")</f>
        <v/>
      </c>
      <c r="N6" s="100" t="str">
        <f>IF(AND('Mapa final'!$AB$8="Muy Alta",'Mapa final'!$AD$8="Menor"),CONCATENATE("R1C",'Mapa final'!$R$8),"")</f>
        <v/>
      </c>
      <c r="O6" s="101" t="str">
        <f>IF(AND('Mapa final'!$AB$9="Muy Alta",'Mapa final'!$AD$9="Menor"),CONCATENATE("R1C",'Mapa final'!$R$9),"")</f>
        <v/>
      </c>
      <c r="P6" s="99" t="str">
        <f>IF(AND('Mapa final'!$AB$7="Muy Alta",'Mapa final'!$AD$7="Moderado"),CONCATENATE("R1C",'Mapa final'!$R$7),"")</f>
        <v/>
      </c>
      <c r="Q6" s="100" t="str">
        <f>IF(AND('Mapa final'!$AB$8="Muy Alta",'Mapa final'!$AD$8="Moderado"),CONCATENATE("R1C",'Mapa final'!$R$8),"")</f>
        <v/>
      </c>
      <c r="R6" s="101" t="str">
        <f>IF(AND('Mapa final'!$AB$9="Muy Alta",'Mapa final'!$AD$9="Moderado"),CONCATENATE("R1C",'Mapa final'!$R$9),"")</f>
        <v/>
      </c>
      <c r="S6" s="99" t="str">
        <f>IF(AND('Mapa final'!$AB$7="Muy Alta",'Mapa final'!$AD$7="Mayor"),CONCATENATE("R1C",'Mapa final'!$R$7),"")</f>
        <v/>
      </c>
      <c r="T6" s="100" t="str">
        <f>IF(AND('Mapa final'!$AB$8="Muy Alta",'Mapa final'!$AD$8="Mayor"),CONCATENATE("R1C",'Mapa final'!$R$8),"")</f>
        <v/>
      </c>
      <c r="U6" s="101" t="str">
        <f>IF(AND('Mapa final'!$AB$9="Muy Alta",'Mapa final'!$AD$9="Mayor"),CONCATENATE("R1C",'Mapa final'!$R$9),"")</f>
        <v/>
      </c>
      <c r="V6" s="39" t="str">
        <f>IF(AND('Mapa final'!$AB$7="Muy Alta",'Mapa final'!$AD$7="Catastrófico"),CONCATENATE("R1C",'Mapa final'!$R$7),"")</f>
        <v/>
      </c>
      <c r="W6" s="40" t="str">
        <f>IF(AND('Mapa final'!$AB$8="Muy Alta",'Mapa final'!$AD$8="Catastrófico"),CONCATENATE("R1C",'Mapa final'!$R$8),"")</f>
        <v/>
      </c>
      <c r="X6" s="96" t="str">
        <f>IF(AND('Mapa final'!$AB$9="Muy Alta",'Mapa final'!$AD$9="Catastrófico"),CONCATENATE("R1C",'Mapa final'!$R$9),"")</f>
        <v/>
      </c>
      <c r="Y6" s="55"/>
      <c r="Z6" s="292" t="s">
        <v>73</v>
      </c>
      <c r="AA6" s="293"/>
      <c r="AB6" s="293"/>
      <c r="AC6" s="293"/>
      <c r="AD6" s="293"/>
      <c r="AE6" s="294"/>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row>
    <row r="7" spans="1:76" ht="15" customHeight="1" x14ac:dyDescent="0.25">
      <c r="A7" s="55"/>
      <c r="B7" s="301"/>
      <c r="C7" s="301"/>
      <c r="D7" s="302"/>
      <c r="E7" s="279"/>
      <c r="F7" s="274"/>
      <c r="G7" s="274"/>
      <c r="H7" s="274"/>
      <c r="I7" s="274"/>
      <c r="J7" s="102" t="str">
        <f>IF(AND('Mapa final'!$AB$10="Muy Alta",'Mapa final'!$AD$10="Leve"),CONCATENATE("R2C",'Mapa final'!$R$10),"")</f>
        <v/>
      </c>
      <c r="K7" s="41" t="str">
        <f>IF(AND('Mapa final'!$AB$11="Muy Alta",'Mapa final'!$AD$11="Leve"),CONCATENATE("R2C",'Mapa final'!$R$11),"")</f>
        <v/>
      </c>
      <c r="L7" s="103" t="str">
        <f>IF(AND('Mapa final'!$AB$12="Muy Alta",'Mapa final'!$AD$12="Leve"),CONCATENATE("R2C",'Mapa final'!$R$12),"")</f>
        <v/>
      </c>
      <c r="M7" s="102" t="str">
        <f>IF(AND('Mapa final'!$AB$10="Muy Alta",'Mapa final'!$AD$10="Menor"),CONCATENATE("R2C",'Mapa final'!$R$10),"")</f>
        <v/>
      </c>
      <c r="N7" s="41" t="str">
        <f>IF(AND('Mapa final'!$AB$11="Muy Alta",'Mapa final'!$AD$11="Menor"),CONCATENATE("R2C",'Mapa final'!$R$11),"")</f>
        <v/>
      </c>
      <c r="O7" s="103" t="str">
        <f>IF(AND('Mapa final'!$AB$12="Muy Alta",'Mapa final'!$AD$12="Menor"),CONCATENATE("R2C",'Mapa final'!$R$12),"")</f>
        <v/>
      </c>
      <c r="P7" s="102" t="str">
        <f>IF(AND('Mapa final'!$AB$10="Muy Alta",'Mapa final'!$AD$10="Moderado"),CONCATENATE("R2C",'Mapa final'!$R$10),"")</f>
        <v/>
      </c>
      <c r="Q7" s="41" t="str">
        <f>IF(AND('Mapa final'!$AB$11="Muy Alta",'Mapa final'!$AD$11="Moderado"),CONCATENATE("R2C",'Mapa final'!$R$11),"")</f>
        <v/>
      </c>
      <c r="R7" s="103" t="str">
        <f>IF(AND('Mapa final'!$AB$12="Muy Alta",'Mapa final'!$AD$12="Moderado"),CONCATENATE("R2C",'Mapa final'!$R$12),"")</f>
        <v/>
      </c>
      <c r="S7" s="102" t="str">
        <f>IF(AND('Mapa final'!$AB$10="Muy Alta",'Mapa final'!$AD$10="Mayor"),CONCATENATE("R2C",'Mapa final'!$R$10),"")</f>
        <v/>
      </c>
      <c r="T7" s="41" t="str">
        <f>IF(AND('Mapa final'!$AB$11="Muy Alta",'Mapa final'!$AD$11="Mayor"),CONCATENATE("R2C",'Mapa final'!$R$11),"")</f>
        <v/>
      </c>
      <c r="U7" s="103" t="str">
        <f>IF(AND('Mapa final'!$AB$12="Muy Alta",'Mapa final'!$AD$12="Mayor"),CONCATENATE("R2C",'Mapa final'!$R$12),"")</f>
        <v/>
      </c>
      <c r="V7" s="42" t="str">
        <f>IF(AND('Mapa final'!$AB$10="Muy Alta",'Mapa final'!$AD$10="Catastrófico"),CONCATENATE("R2C",'Mapa final'!$R$10),"")</f>
        <v/>
      </c>
      <c r="W7" s="43" t="str">
        <f>IF(AND('Mapa final'!$AB$11="Muy Alta",'Mapa final'!$AD$11="Catastrófico"),CONCATENATE("R2C",'Mapa final'!$R$11),"")</f>
        <v/>
      </c>
      <c r="X7" s="97" t="str">
        <f>IF(AND('Mapa final'!$AB$12="Muy Alta",'Mapa final'!$AD$12="Catastrófico"),CONCATENATE("R2C",'Mapa final'!$R$12),"")</f>
        <v/>
      </c>
      <c r="Y7" s="55"/>
      <c r="Z7" s="295"/>
      <c r="AA7" s="296"/>
      <c r="AB7" s="296"/>
      <c r="AC7" s="296"/>
      <c r="AD7" s="296"/>
      <c r="AE7" s="297"/>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row>
    <row r="8" spans="1:76" ht="15" customHeight="1" x14ac:dyDescent="0.25">
      <c r="A8" s="55"/>
      <c r="B8" s="301"/>
      <c r="C8" s="301"/>
      <c r="D8" s="302"/>
      <c r="E8" s="279"/>
      <c r="F8" s="274"/>
      <c r="G8" s="274"/>
      <c r="H8" s="274"/>
      <c r="I8" s="274"/>
      <c r="J8" s="102" t="str">
        <f>IF(AND('Mapa final'!$AB$13="Muy Alta",'Mapa final'!$AD$13="Leve"),CONCATENATE("R3C",'Mapa final'!$R$13),"")</f>
        <v/>
      </c>
      <c r="K8" s="41" t="str">
        <f>IF(AND('Mapa final'!$AB$14="Muy Alta",'Mapa final'!$AD$14="Leve"),CONCATENATE("R3C",'Mapa final'!$R$14),"")</f>
        <v/>
      </c>
      <c r="L8" s="103" t="str">
        <f>IF(AND('Mapa final'!$AB$15="Muy Alta",'Mapa final'!$AD$15="Leve"),CONCATENATE("R3C",'Mapa final'!$R$15),"")</f>
        <v/>
      </c>
      <c r="M8" s="102" t="str">
        <f>IF(AND('Mapa final'!$AB$13="Muy Alta",'Mapa final'!$AD$13="Menor"),CONCATENATE("R3C",'Mapa final'!$R$13),"")</f>
        <v/>
      </c>
      <c r="N8" s="41" t="str">
        <f>IF(AND('Mapa final'!$AB$14="Muy Alta",'Mapa final'!$AD$14="Menor"),CONCATENATE("R3C",'Mapa final'!$R$14),"")</f>
        <v/>
      </c>
      <c r="O8" s="103" t="str">
        <f>IF(AND('Mapa final'!$AB$15="Muy Alta",'Mapa final'!$AD$15="Menor"),CONCATENATE("R3C",'Mapa final'!$R$15),"")</f>
        <v/>
      </c>
      <c r="P8" s="102" t="str">
        <f>IF(AND('Mapa final'!$AB$13="Muy Alta",'Mapa final'!$AD$13="Moderado"),CONCATENATE("R3C",'Mapa final'!$R$13),"")</f>
        <v/>
      </c>
      <c r="Q8" s="41" t="str">
        <f>IF(AND('Mapa final'!$AB$14="Muy Alta",'Mapa final'!$AD$14="Moderado"),CONCATENATE("R3C",'Mapa final'!$R$14),"")</f>
        <v/>
      </c>
      <c r="R8" s="103" t="str">
        <f>IF(AND('Mapa final'!$AB$15="Muy Alta",'Mapa final'!$AD$15="Moderado"),CONCATENATE("R3C",'Mapa final'!$R$15),"")</f>
        <v/>
      </c>
      <c r="S8" s="102" t="str">
        <f>IF(AND('Mapa final'!$AB$13="Muy Alta",'Mapa final'!$AD$13="Mayor"),CONCATENATE("R3C",'Mapa final'!$R$13),"")</f>
        <v/>
      </c>
      <c r="T8" s="41" t="str">
        <f>IF(AND('Mapa final'!$AB$14="Muy Alta",'Mapa final'!$AD$14="Mayor"),CONCATENATE("R3C",'Mapa final'!$R$14),"")</f>
        <v/>
      </c>
      <c r="U8" s="103" t="str">
        <f>IF(AND('Mapa final'!$AB$15="Muy Alta",'Mapa final'!$AD$15="Mayor"),CONCATENATE("R3C",'Mapa final'!$R$15),"")</f>
        <v/>
      </c>
      <c r="V8" s="42" t="str">
        <f>IF(AND('Mapa final'!$AB$13="Muy Alta",'Mapa final'!$AD$13="Catastrófico"),CONCATENATE("R3C",'Mapa final'!$R$13),"")</f>
        <v/>
      </c>
      <c r="W8" s="43" t="str">
        <f>IF(AND('Mapa final'!$AB$14="Muy Alta",'Mapa final'!$AD$14="Catastrófico"),CONCATENATE("R3C",'Mapa final'!$R$14),"")</f>
        <v/>
      </c>
      <c r="X8" s="97" t="str">
        <f>IF(AND('Mapa final'!$AB$15="Muy Alta",'Mapa final'!$AD$15="Catastrófico"),CONCATENATE("R3C",'Mapa final'!$R$15),"")</f>
        <v/>
      </c>
      <c r="Y8" s="55"/>
      <c r="Z8" s="295"/>
      <c r="AA8" s="296"/>
      <c r="AB8" s="296"/>
      <c r="AC8" s="296"/>
      <c r="AD8" s="296"/>
      <c r="AE8" s="297"/>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row>
    <row r="9" spans="1:76" ht="15" customHeight="1" x14ac:dyDescent="0.25">
      <c r="A9" s="55"/>
      <c r="B9" s="301"/>
      <c r="C9" s="301"/>
      <c r="D9" s="302"/>
      <c r="E9" s="279"/>
      <c r="F9" s="274"/>
      <c r="G9" s="274"/>
      <c r="H9" s="274"/>
      <c r="I9" s="274"/>
      <c r="J9" s="102" t="e">
        <f>IF(AND('Mapa final'!#REF!="Muy Alta",'Mapa final'!#REF!="Leve"),CONCATENATE("R4C",'Mapa final'!#REF!),"")</f>
        <v>#REF!</v>
      </c>
      <c r="K9" s="41" t="e">
        <f>IF(AND('Mapa final'!#REF!="Muy Alta",'Mapa final'!#REF!="Leve"),CONCATENATE("R4C",'Mapa final'!#REF!),"")</f>
        <v>#REF!</v>
      </c>
      <c r="L9" s="103" t="e">
        <f>IF(AND('Mapa final'!#REF!="Muy Alta",'Mapa final'!#REF!="Leve"),CONCATENATE("R4C",'Mapa final'!#REF!),"")</f>
        <v>#REF!</v>
      </c>
      <c r="M9" s="102" t="e">
        <f>IF(AND('Mapa final'!#REF!="Muy Alta",'Mapa final'!#REF!="Menor"),CONCATENATE("R4C",'Mapa final'!#REF!),"")</f>
        <v>#REF!</v>
      </c>
      <c r="N9" s="41" t="e">
        <f>IF(AND('Mapa final'!#REF!="Muy Alta",'Mapa final'!#REF!="Menor"),CONCATENATE("R4C",'Mapa final'!#REF!),"")</f>
        <v>#REF!</v>
      </c>
      <c r="O9" s="103" t="e">
        <f>IF(AND('Mapa final'!#REF!="Muy Alta",'Mapa final'!#REF!="Menor"),CONCATENATE("R4C",'Mapa final'!#REF!),"")</f>
        <v>#REF!</v>
      </c>
      <c r="P9" s="102" t="e">
        <f>IF(AND('Mapa final'!#REF!="Muy Alta",'Mapa final'!#REF!="Moderado"),CONCATENATE("R4C",'Mapa final'!#REF!),"")</f>
        <v>#REF!</v>
      </c>
      <c r="Q9" s="41" t="e">
        <f>IF(AND('Mapa final'!#REF!="Muy Alta",'Mapa final'!#REF!="Moderado"),CONCATENATE("R4C",'Mapa final'!#REF!),"")</f>
        <v>#REF!</v>
      </c>
      <c r="R9" s="103" t="e">
        <f>IF(AND('Mapa final'!#REF!="Muy Alta",'Mapa final'!#REF!="Moderado"),CONCATENATE("R4C",'Mapa final'!#REF!),"")</f>
        <v>#REF!</v>
      </c>
      <c r="S9" s="102" t="e">
        <f>IF(AND('Mapa final'!#REF!="Muy Alta",'Mapa final'!#REF!="Mayor"),CONCATENATE("R4C",'Mapa final'!#REF!),"")</f>
        <v>#REF!</v>
      </c>
      <c r="T9" s="41" t="e">
        <f>IF(AND('Mapa final'!#REF!="Muy Alta",'Mapa final'!#REF!="Mayor"),CONCATENATE("R4C",'Mapa final'!#REF!),"")</f>
        <v>#REF!</v>
      </c>
      <c r="U9" s="103" t="e">
        <f>IF(AND('Mapa final'!#REF!="Muy Alta",'Mapa final'!#REF!="Mayor"),CONCATENATE("R4C",'Mapa final'!#REF!),"")</f>
        <v>#REF!</v>
      </c>
      <c r="V9" s="42" t="e">
        <f>IF(AND('Mapa final'!#REF!="Muy Alta",'Mapa final'!#REF!="Catastrófico"),CONCATENATE("R4C",'Mapa final'!#REF!),"")</f>
        <v>#REF!</v>
      </c>
      <c r="W9" s="43" t="e">
        <f>IF(AND('Mapa final'!#REF!="Muy Alta",'Mapa final'!#REF!="Catastrófico"),CONCATENATE("R4C",'Mapa final'!#REF!),"")</f>
        <v>#REF!</v>
      </c>
      <c r="X9" s="97" t="e">
        <f>IF(AND('Mapa final'!#REF!="Muy Alta",'Mapa final'!#REF!="Catastrófico"),CONCATENATE("R4C",'Mapa final'!#REF!),"")</f>
        <v>#REF!</v>
      </c>
      <c r="Y9" s="55"/>
      <c r="Z9" s="295"/>
      <c r="AA9" s="296"/>
      <c r="AB9" s="296"/>
      <c r="AC9" s="296"/>
      <c r="AD9" s="296"/>
      <c r="AE9" s="297"/>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row>
    <row r="10" spans="1:76" ht="15" customHeight="1" x14ac:dyDescent="0.25">
      <c r="A10" s="55"/>
      <c r="B10" s="301"/>
      <c r="C10" s="301"/>
      <c r="D10" s="302"/>
      <c r="E10" s="279"/>
      <c r="F10" s="274"/>
      <c r="G10" s="274"/>
      <c r="H10" s="274"/>
      <c r="I10" s="274"/>
      <c r="J10" s="102" t="str">
        <f>IF(AND('Mapa final'!$AB$16="Muy Alta",'Mapa final'!$AD$16="Leve"),CONCATENATE("R5C",'Mapa final'!$R$16),"")</f>
        <v/>
      </c>
      <c r="K10" s="41" t="str">
        <f>IF(AND('Mapa final'!$AB$17="Muy Alta",'Mapa final'!$AD$17="Leve"),CONCATENATE("R5C",'Mapa final'!$R$17),"")</f>
        <v/>
      </c>
      <c r="L10" s="103" t="str">
        <f>IF(AND('Mapa final'!$AB$18="Muy Alta",'Mapa final'!$AD$18="Leve"),CONCATENATE("R5C",'Mapa final'!$R$18),"")</f>
        <v/>
      </c>
      <c r="M10" s="102" t="str">
        <f>IF(AND('Mapa final'!$AB$16="Muy Alta",'Mapa final'!$AD$16="Menor"),CONCATENATE("R5C",'Mapa final'!$R$16),"")</f>
        <v/>
      </c>
      <c r="N10" s="41" t="str">
        <f>IF(AND('Mapa final'!$AB$17="Muy Alta",'Mapa final'!$AD$17="Menor"),CONCATENATE("R5C",'Mapa final'!$R$17),"")</f>
        <v/>
      </c>
      <c r="O10" s="103" t="str">
        <f>IF(AND('Mapa final'!$AB$18="Muy Alta",'Mapa final'!$AD$18="Menor"),CONCATENATE("R5C",'Mapa final'!$R$18),"")</f>
        <v/>
      </c>
      <c r="P10" s="102" t="str">
        <f>IF(AND('Mapa final'!$AB$16="Muy Alta",'Mapa final'!$AD$16="Moderado"),CONCATENATE("R5C",'Mapa final'!$R$16),"")</f>
        <v/>
      </c>
      <c r="Q10" s="41" t="str">
        <f>IF(AND('Mapa final'!$AB$17="Muy Alta",'Mapa final'!$AD$17="Moderado"),CONCATENATE("R5C",'Mapa final'!$R$17),"")</f>
        <v/>
      </c>
      <c r="R10" s="103" t="str">
        <f>IF(AND('Mapa final'!$AB$18="Muy Alta",'Mapa final'!$AD$18="Moderado"),CONCATENATE("R5C",'Mapa final'!$R$18),"")</f>
        <v/>
      </c>
      <c r="S10" s="102" t="str">
        <f>IF(AND('Mapa final'!$AB$16="Muy Alta",'Mapa final'!$AD$16="Mayor"),CONCATENATE("R5C",'Mapa final'!$R$16),"")</f>
        <v/>
      </c>
      <c r="T10" s="41" t="str">
        <f>IF(AND('Mapa final'!$AB$17="Muy Alta",'Mapa final'!$AD$17="Mayor"),CONCATENATE("R5C",'Mapa final'!$R$17),"")</f>
        <v/>
      </c>
      <c r="U10" s="103" t="str">
        <f>IF(AND('Mapa final'!$AB$18="Muy Alta",'Mapa final'!$AD$18="Mayor"),CONCATENATE("R5C",'Mapa final'!$R$18),"")</f>
        <v/>
      </c>
      <c r="V10" s="42" t="str">
        <f>IF(AND('Mapa final'!$AB$16="Muy Alta",'Mapa final'!$AD$16="Catastrófico"),CONCATENATE("R5C",'Mapa final'!$R$16),"")</f>
        <v/>
      </c>
      <c r="W10" s="43" t="str">
        <f>IF(AND('Mapa final'!$AB$17="Muy Alta",'Mapa final'!$AD$17="Catastrófico"),CONCATENATE("R5C",'Mapa final'!$R$17),"")</f>
        <v/>
      </c>
      <c r="X10" s="97" t="str">
        <f>IF(AND('Mapa final'!$AB$18="Muy Alta",'Mapa final'!$AD$18="Catastrófico"),CONCATENATE("R5C",'Mapa final'!$R$18),"")</f>
        <v/>
      </c>
      <c r="Y10" s="55"/>
      <c r="Z10" s="295"/>
      <c r="AA10" s="296"/>
      <c r="AB10" s="296"/>
      <c r="AC10" s="296"/>
      <c r="AD10" s="296"/>
      <c r="AE10" s="297"/>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row>
    <row r="11" spans="1:76" ht="15" customHeight="1" x14ac:dyDescent="0.25">
      <c r="A11" s="55"/>
      <c r="B11" s="301"/>
      <c r="C11" s="301"/>
      <c r="D11" s="302"/>
      <c r="E11" s="279"/>
      <c r="F11" s="274"/>
      <c r="G11" s="274"/>
      <c r="H11" s="274"/>
      <c r="I11" s="274"/>
      <c r="J11" s="102" t="str">
        <f>IF(AND('Mapa final'!$AB$19="Muy Alta",'Mapa final'!$AD$19="Leve"),CONCATENATE("R6C",'Mapa final'!$R$19),"")</f>
        <v/>
      </c>
      <c r="K11" s="41" t="str">
        <f>IF(AND('Mapa final'!$AB$20="Muy Alta",'Mapa final'!$AD$20="Leve"),CONCATENATE("R6C",'Mapa final'!$R$20),"")</f>
        <v/>
      </c>
      <c r="L11" s="103" t="str">
        <f>IF(AND('Mapa final'!$AB$21="Muy Alta",'Mapa final'!$AD$21="Leve"),CONCATENATE("R6C",'Mapa final'!$R$21),"")</f>
        <v/>
      </c>
      <c r="M11" s="102" t="str">
        <f>IF(AND('Mapa final'!$AB$19="Muy Alta",'Mapa final'!$AD$19="Menor"),CONCATENATE("R6C",'Mapa final'!$R$19),"")</f>
        <v/>
      </c>
      <c r="N11" s="41" t="str">
        <f>IF(AND('Mapa final'!$AB$20="Muy Alta",'Mapa final'!$AD$20="Menor"),CONCATENATE("R6C",'Mapa final'!$R$20),"")</f>
        <v/>
      </c>
      <c r="O11" s="103" t="str">
        <f>IF(AND('Mapa final'!$AB$21="Muy Alta",'Mapa final'!$AD$21="Menor"),CONCATENATE("R6C",'Mapa final'!$R$21),"")</f>
        <v/>
      </c>
      <c r="P11" s="102" t="str">
        <f>IF(AND('Mapa final'!$AB$19="Muy Alta",'Mapa final'!$AD$19="Moderado"),CONCATENATE("R6C",'Mapa final'!$R$19),"")</f>
        <v/>
      </c>
      <c r="Q11" s="41" t="str">
        <f>IF(AND('Mapa final'!$AB$20="Muy Alta",'Mapa final'!$AD$20="Moderado"),CONCATENATE("R6C",'Mapa final'!$R$20),"")</f>
        <v/>
      </c>
      <c r="R11" s="103" t="str">
        <f>IF(AND('Mapa final'!$AB$21="Muy Alta",'Mapa final'!$AD$21="Moderado"),CONCATENATE("R6C",'Mapa final'!$R$21),"")</f>
        <v/>
      </c>
      <c r="S11" s="102" t="str">
        <f>IF(AND('Mapa final'!$AB$19="Muy Alta",'Mapa final'!$AD$19="Mayor"),CONCATENATE("R6C",'Mapa final'!$R$19),"")</f>
        <v/>
      </c>
      <c r="T11" s="41" t="str">
        <f>IF(AND('Mapa final'!$AB$20="Muy Alta",'Mapa final'!$AD$20="Mayor"),CONCATENATE("R6C",'Mapa final'!$R$20),"")</f>
        <v/>
      </c>
      <c r="U11" s="103" t="str">
        <f>IF(AND('Mapa final'!$AB$21="Muy Alta",'Mapa final'!$AD$21="Mayor"),CONCATENATE("R6C",'Mapa final'!$R$21),"")</f>
        <v/>
      </c>
      <c r="V11" s="42" t="str">
        <f>IF(AND('Mapa final'!$AB$19="Muy Alta",'Mapa final'!$AD$19="Catastrófico"),CONCATENATE("R6C",'Mapa final'!$R$19),"")</f>
        <v/>
      </c>
      <c r="W11" s="43" t="str">
        <f>IF(AND('Mapa final'!$AB$20="Muy Alta",'Mapa final'!$AD$20="Catastrófico"),CONCATENATE("R6C",'Mapa final'!$R$20),"")</f>
        <v/>
      </c>
      <c r="X11" s="97" t="str">
        <f>IF(AND('Mapa final'!$AB$21="Muy Alta",'Mapa final'!$AD$21="Catastrófico"),CONCATENATE("R6C",'Mapa final'!$R$21),"")</f>
        <v/>
      </c>
      <c r="Y11" s="55"/>
      <c r="Z11" s="295"/>
      <c r="AA11" s="296"/>
      <c r="AB11" s="296"/>
      <c r="AC11" s="296"/>
      <c r="AD11" s="296"/>
      <c r="AE11" s="297"/>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row>
    <row r="12" spans="1:76" ht="15" customHeight="1" x14ac:dyDescent="0.25">
      <c r="A12" s="55"/>
      <c r="B12" s="301"/>
      <c r="C12" s="301"/>
      <c r="D12" s="302"/>
      <c r="E12" s="279"/>
      <c r="F12" s="274"/>
      <c r="G12" s="274"/>
      <c r="H12" s="274"/>
      <c r="I12" s="274"/>
      <c r="J12" s="102" t="str">
        <f>IF(AND('Mapa final'!$AB$22="Muy Alta",'Mapa final'!$AD$22="Leve"),CONCATENATE("R7C",'Mapa final'!$R$22),"")</f>
        <v/>
      </c>
      <c r="K12" s="41" t="str">
        <f>IF(AND('Mapa final'!$AB$23="Muy Alta",'Mapa final'!$AD$23="Leve"),CONCATENATE("R7C",'Mapa final'!$R$23),"")</f>
        <v/>
      </c>
      <c r="L12" s="103" t="str">
        <f>IF(AND('Mapa final'!$AB$24="Muy Alta",'Mapa final'!$AD$24="Leve"),CONCATENATE("R7C",'Mapa final'!$R$24),"")</f>
        <v/>
      </c>
      <c r="M12" s="102" t="str">
        <f>IF(AND('Mapa final'!$AB$22="Muy Alta",'Mapa final'!$AD$22="Menor"),CONCATENATE("R7C",'Mapa final'!$R$22),"")</f>
        <v/>
      </c>
      <c r="N12" s="41" t="str">
        <f>IF(AND('Mapa final'!$AB$23="Muy Alta",'Mapa final'!$AD$23="Menor"),CONCATENATE("R7C",'Mapa final'!$R$23),"")</f>
        <v/>
      </c>
      <c r="O12" s="103" t="str">
        <f>IF(AND('Mapa final'!$AB$24="Muy Alta",'Mapa final'!$AD$24="Menor"),CONCATENATE("R7C",'Mapa final'!$R$24),"")</f>
        <v/>
      </c>
      <c r="P12" s="102" t="str">
        <f>IF(AND('Mapa final'!$AB$22="Muy Alta",'Mapa final'!$AD$22="Moderado"),CONCATENATE("R7C",'Mapa final'!$R$22),"")</f>
        <v/>
      </c>
      <c r="Q12" s="41" t="str">
        <f>IF(AND('Mapa final'!$AB$23="Muy Alta",'Mapa final'!$AD$23="Moderado"),CONCATENATE("R7C",'Mapa final'!$R$23),"")</f>
        <v/>
      </c>
      <c r="R12" s="103" t="str">
        <f>IF(AND('Mapa final'!$AB$24="Muy Alta",'Mapa final'!$AD$24="Moderado"),CONCATENATE("R7C",'Mapa final'!$R$24),"")</f>
        <v/>
      </c>
      <c r="S12" s="102" t="str">
        <f>IF(AND('Mapa final'!$AB$22="Muy Alta",'Mapa final'!$AD$22="Mayor"),CONCATENATE("R7C",'Mapa final'!$R$22),"")</f>
        <v/>
      </c>
      <c r="T12" s="41" t="str">
        <f>IF(AND('Mapa final'!$AB$23="Muy Alta",'Mapa final'!$AD$23="Mayor"),CONCATENATE("R7C",'Mapa final'!$R$23),"")</f>
        <v/>
      </c>
      <c r="U12" s="103" t="str">
        <f>IF(AND('Mapa final'!$AB$24="Muy Alta",'Mapa final'!$AD$24="Mayor"),CONCATENATE("R7C",'Mapa final'!$R$24),"")</f>
        <v/>
      </c>
      <c r="V12" s="42" t="str">
        <f>IF(AND('Mapa final'!$AB$22="Muy Alta",'Mapa final'!$AD$22="Catastrófico"),CONCATENATE("R7C",'Mapa final'!$R$22),"")</f>
        <v/>
      </c>
      <c r="W12" s="43" t="str">
        <f>IF(AND('Mapa final'!$AB$23="Muy Alta",'Mapa final'!$AD$23="Catastrófico"),CONCATENATE("R7C",'Mapa final'!$R$23),"")</f>
        <v/>
      </c>
      <c r="X12" s="97" t="str">
        <f>IF(AND('Mapa final'!$AB$24="Muy Alta",'Mapa final'!$AD$24="Catastrófico"),CONCATENATE("R7C",'Mapa final'!$R$24),"")</f>
        <v/>
      </c>
      <c r="Y12" s="55"/>
      <c r="Z12" s="295"/>
      <c r="AA12" s="296"/>
      <c r="AB12" s="296"/>
      <c r="AC12" s="296"/>
      <c r="AD12" s="296"/>
      <c r="AE12" s="297"/>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row>
    <row r="13" spans="1:76" ht="15" customHeight="1" x14ac:dyDescent="0.25">
      <c r="A13" s="55"/>
      <c r="B13" s="301"/>
      <c r="C13" s="301"/>
      <c r="D13" s="302"/>
      <c r="E13" s="279"/>
      <c r="F13" s="274"/>
      <c r="G13" s="274"/>
      <c r="H13" s="274"/>
      <c r="I13" s="274"/>
      <c r="J13" s="102" t="str">
        <f>IF(AND('Mapa final'!$AB$25="Muy Alta",'Mapa final'!$AD$25="Leve"),CONCATENATE("R8C",'Mapa final'!$R$25),"")</f>
        <v/>
      </c>
      <c r="K13" s="41" t="str">
        <f>IF(AND('Mapa final'!$AB$26="Muy Alta",'Mapa final'!$AD$26="Leve"),CONCATENATE("R8C",'Mapa final'!$R$26),"")</f>
        <v/>
      </c>
      <c r="L13" s="103" t="str">
        <f>IF(AND('Mapa final'!$AB$27="Muy Alta",'Mapa final'!$AD$27="Leve"),CONCATENATE("R8C",'Mapa final'!$R$27),"")</f>
        <v/>
      </c>
      <c r="M13" s="102" t="str">
        <f>IF(AND('Mapa final'!$AB$25="Muy Alta",'Mapa final'!$AD$25="Menor"),CONCATENATE("R8C",'Mapa final'!$R$25),"")</f>
        <v/>
      </c>
      <c r="N13" s="41" t="str">
        <f>IF(AND('Mapa final'!$AB$26="Muy Alta",'Mapa final'!$AD$26="Menor"),CONCATENATE("R8C",'Mapa final'!$R$26),"")</f>
        <v/>
      </c>
      <c r="O13" s="103" t="str">
        <f>IF(AND('Mapa final'!$AB$27="Muy Alta",'Mapa final'!$AD$27="Menor"),CONCATENATE("R8C",'Mapa final'!$R$27),"")</f>
        <v/>
      </c>
      <c r="P13" s="102" t="str">
        <f>IF(AND('Mapa final'!$AB$25="Muy Alta",'Mapa final'!$AD$25="Moderado"),CONCATENATE("R8C",'Mapa final'!$R$25),"")</f>
        <v/>
      </c>
      <c r="Q13" s="41" t="str">
        <f>IF(AND('Mapa final'!$AB$26="Muy Alta",'Mapa final'!$AD$26="Moderado"),CONCATENATE("R8C",'Mapa final'!$R$26),"")</f>
        <v/>
      </c>
      <c r="R13" s="103" t="str">
        <f>IF(AND('Mapa final'!$AB$27="Muy Alta",'Mapa final'!$AD$27="Moderado"),CONCATENATE("R8C",'Mapa final'!$R$27),"")</f>
        <v/>
      </c>
      <c r="S13" s="102" t="str">
        <f>IF(AND('Mapa final'!$AB$25="Muy Alta",'Mapa final'!$AD$25="Mayor"),CONCATENATE("R8C",'Mapa final'!$R$25),"")</f>
        <v/>
      </c>
      <c r="T13" s="41" t="str">
        <f>IF(AND('Mapa final'!$AB$26="Muy Alta",'Mapa final'!$AD$26="Mayor"),CONCATENATE("R8C",'Mapa final'!$R$26),"")</f>
        <v/>
      </c>
      <c r="U13" s="103" t="str">
        <f>IF(AND('Mapa final'!$AB$27="Muy Alta",'Mapa final'!$AD$27="Mayor"),CONCATENATE("R8C",'Mapa final'!$R$27),"")</f>
        <v/>
      </c>
      <c r="V13" s="42" t="str">
        <f>IF(AND('Mapa final'!$AB$25="Muy Alta",'Mapa final'!$AD$25="Catastrófico"),CONCATENATE("R8C",'Mapa final'!$R$25),"")</f>
        <v/>
      </c>
      <c r="W13" s="43" t="str">
        <f>IF(AND('Mapa final'!$AB$26="Muy Alta",'Mapa final'!$AD$26="Catastrófico"),CONCATENATE("R8C",'Mapa final'!$R$26),"")</f>
        <v/>
      </c>
      <c r="X13" s="97" t="str">
        <f>IF(AND('Mapa final'!$AB$27="Muy Alta",'Mapa final'!$AD$27="Catastrófico"),CONCATENATE("R8C",'Mapa final'!$R$27),"")</f>
        <v/>
      </c>
      <c r="Y13" s="55"/>
      <c r="Z13" s="295"/>
      <c r="AA13" s="296"/>
      <c r="AB13" s="296"/>
      <c r="AC13" s="296"/>
      <c r="AD13" s="296"/>
      <c r="AE13" s="297"/>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row>
    <row r="14" spans="1:76" ht="15" customHeight="1" x14ac:dyDescent="0.25">
      <c r="A14" s="55"/>
      <c r="B14" s="301"/>
      <c r="C14" s="301"/>
      <c r="D14" s="302"/>
      <c r="E14" s="279"/>
      <c r="F14" s="274"/>
      <c r="G14" s="274"/>
      <c r="H14" s="274"/>
      <c r="I14" s="274"/>
      <c r="J14" s="102" t="str">
        <f>IF(AND('Mapa final'!$AB$28="Muy Alta",'Mapa final'!$AD$28="Leve"),CONCATENATE("R9C",'Mapa final'!$R$28),"")</f>
        <v/>
      </c>
      <c r="K14" s="41" t="str">
        <f>IF(AND('Mapa final'!$AB$29="Muy Alta",'Mapa final'!$AD$29="Leve"),CONCATENATE("R9C",'Mapa final'!$R$29),"")</f>
        <v/>
      </c>
      <c r="L14" s="103" t="str">
        <f>IF(AND('Mapa final'!$AB$30="Muy Alta",'Mapa final'!$AD$30="Leve"),CONCATENATE("R9C",'Mapa final'!$R$30),"")</f>
        <v/>
      </c>
      <c r="M14" s="102" t="str">
        <f>IF(AND('Mapa final'!$AB$28="Muy Alta",'Mapa final'!$AD$28="Menor"),CONCATENATE("R9C",'Mapa final'!$R$28),"")</f>
        <v/>
      </c>
      <c r="N14" s="41" t="str">
        <f>IF(AND('Mapa final'!$AB$29="Muy Alta",'Mapa final'!$AD$29="Menor"),CONCATENATE("R9C",'Mapa final'!$R$29),"")</f>
        <v/>
      </c>
      <c r="O14" s="103" t="str">
        <f>IF(AND('Mapa final'!$AB$30="Muy Alta",'Mapa final'!$AD$30="Menor"),CONCATENATE("R9C",'Mapa final'!$R$30),"")</f>
        <v/>
      </c>
      <c r="P14" s="102" t="str">
        <f>IF(AND('Mapa final'!$AB$28="Muy Alta",'Mapa final'!$AD$28="Moderado"),CONCATENATE("R9C",'Mapa final'!$R$28),"")</f>
        <v/>
      </c>
      <c r="Q14" s="41" t="str">
        <f>IF(AND('Mapa final'!$AB$29="Muy Alta",'Mapa final'!$AD$29="Moderado"),CONCATENATE("R9C",'Mapa final'!$R$29),"")</f>
        <v/>
      </c>
      <c r="R14" s="103" t="str">
        <f>IF(AND('Mapa final'!$AB$30="Muy Alta",'Mapa final'!$AD$30="Moderado"),CONCATENATE("R9C",'Mapa final'!$R$30),"")</f>
        <v/>
      </c>
      <c r="S14" s="102" t="str">
        <f>IF(AND('Mapa final'!$AB$28="Muy Alta",'Mapa final'!$AD$28="Mayor"),CONCATENATE("R9C",'Mapa final'!$R$28),"")</f>
        <v/>
      </c>
      <c r="T14" s="41" t="str">
        <f>IF(AND('Mapa final'!$AB$29="Muy Alta",'Mapa final'!$AD$29="Mayor"),CONCATENATE("R9C",'Mapa final'!$R$29),"")</f>
        <v/>
      </c>
      <c r="U14" s="103" t="str">
        <f>IF(AND('Mapa final'!$AB$30="Muy Alta",'Mapa final'!$AD$30="Mayor"),CONCATENATE("R9C",'Mapa final'!$R$30),"")</f>
        <v/>
      </c>
      <c r="V14" s="42" t="str">
        <f>IF(AND('Mapa final'!$AB$28="Muy Alta",'Mapa final'!$AD$28="Catastrófico"),CONCATENATE("R9C",'Mapa final'!$R$28),"")</f>
        <v/>
      </c>
      <c r="W14" s="43" t="str">
        <f>IF(AND('Mapa final'!$AB$29="Muy Alta",'Mapa final'!$AD$29="Catastrófico"),CONCATENATE("R9C",'Mapa final'!$R$29),"")</f>
        <v/>
      </c>
      <c r="X14" s="97" t="str">
        <f>IF(AND('Mapa final'!$AB$30="Muy Alta",'Mapa final'!$AD$30="Catastrófico"),CONCATENATE("R9C",'Mapa final'!$R$30),"")</f>
        <v/>
      </c>
      <c r="Y14" s="55"/>
      <c r="Z14" s="295"/>
      <c r="AA14" s="296"/>
      <c r="AB14" s="296"/>
      <c r="AC14" s="296"/>
      <c r="AD14" s="296"/>
      <c r="AE14" s="297"/>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row>
    <row r="15" spans="1:76" ht="15" customHeight="1" x14ac:dyDescent="0.25">
      <c r="A15" s="55"/>
      <c r="B15" s="301"/>
      <c r="C15" s="301"/>
      <c r="D15" s="302"/>
      <c r="E15" s="279"/>
      <c r="F15" s="274"/>
      <c r="G15" s="274"/>
      <c r="H15" s="274"/>
      <c r="I15" s="274"/>
      <c r="J15" s="102" t="str">
        <f>IF(AND('Mapa final'!$AB$31="Muy Alta",'Mapa final'!$AD$31="Leve"),CONCATENATE("R10C",'Mapa final'!$R$31),"")</f>
        <v/>
      </c>
      <c r="K15" s="41" t="str">
        <f>IF(AND('Mapa final'!$AB$32="Muy Alta",'Mapa final'!$AD$32="Leve"),CONCATENATE("R10C",'Mapa final'!$R$32),"")</f>
        <v/>
      </c>
      <c r="L15" s="103" t="str">
        <f>IF(AND('Mapa final'!$AB$33="Muy Alta",'Mapa final'!$AD$33="Leve"),CONCATENATE("R10C",'Mapa final'!$R$33),"")</f>
        <v/>
      </c>
      <c r="M15" s="102" t="str">
        <f>IF(AND('Mapa final'!$AB$31="Muy Alta",'Mapa final'!$AD$31="Menor"),CONCATENATE("R10C",'Mapa final'!$R$31),"")</f>
        <v/>
      </c>
      <c r="N15" s="41" t="str">
        <f>IF(AND('Mapa final'!$AB$32="Muy Alta",'Mapa final'!$AD$32="Menor"),CONCATENATE("R10C",'Mapa final'!$R$32),"")</f>
        <v/>
      </c>
      <c r="O15" s="103" t="str">
        <f>IF(AND('Mapa final'!$AB$33="Muy Alta",'Mapa final'!$AD$33="Menor"),CONCATENATE("R10C",'Mapa final'!$R$33),"")</f>
        <v/>
      </c>
      <c r="P15" s="102" t="str">
        <f>IF(AND('Mapa final'!$AB$31="Muy Alta",'Mapa final'!$AD$31="Moderado"),CONCATENATE("R10C",'Mapa final'!$R$31),"")</f>
        <v/>
      </c>
      <c r="Q15" s="41" t="str">
        <f>IF(AND('Mapa final'!$AB$32="Muy Alta",'Mapa final'!$AD$32="Moderado"),CONCATENATE("R10C",'Mapa final'!$R$32),"")</f>
        <v/>
      </c>
      <c r="R15" s="103" t="str">
        <f>IF(AND('Mapa final'!$AB$33="Muy Alta",'Mapa final'!$AD$33="Moderado"),CONCATENATE("R10C",'Mapa final'!$R$33),"")</f>
        <v/>
      </c>
      <c r="S15" s="102" t="str">
        <f>IF(AND('Mapa final'!$AB$31="Muy Alta",'Mapa final'!$AD$31="Mayor"),CONCATENATE("R10C",'Mapa final'!$R$31),"")</f>
        <v/>
      </c>
      <c r="T15" s="41" t="str">
        <f>IF(AND('Mapa final'!$AB$32="Muy Alta",'Mapa final'!$AD$32="Mayor"),CONCATENATE("R10C",'Mapa final'!$R$32),"")</f>
        <v/>
      </c>
      <c r="U15" s="103" t="str">
        <f>IF(AND('Mapa final'!$AB$33="Muy Alta",'Mapa final'!$AD$33="Mayor"),CONCATENATE("R10C",'Mapa final'!$R$33),"")</f>
        <v/>
      </c>
      <c r="V15" s="42" t="str">
        <f>IF(AND('Mapa final'!$AB$31="Muy Alta",'Mapa final'!$AD$31="Catastrófico"),CONCATENATE("R10C",'Mapa final'!$R$31),"")</f>
        <v/>
      </c>
      <c r="W15" s="43" t="str">
        <f>IF(AND('Mapa final'!$AB$32="Muy Alta",'Mapa final'!$AD$32="Catastrófico"),CONCATENATE("R10C",'Mapa final'!$R$32),"")</f>
        <v/>
      </c>
      <c r="X15" s="97" t="str">
        <f>IF(AND('Mapa final'!$AB$33="Muy Alta",'Mapa final'!$AD$33="Catastrófico"),CONCATENATE("R10C",'Mapa final'!$R$33),"")</f>
        <v/>
      </c>
      <c r="Y15" s="55"/>
      <c r="Z15" s="295"/>
      <c r="AA15" s="296"/>
      <c r="AB15" s="296"/>
      <c r="AC15" s="296"/>
      <c r="AD15" s="296"/>
      <c r="AE15" s="297"/>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row>
    <row r="16" spans="1:76" ht="15" customHeight="1" x14ac:dyDescent="0.25">
      <c r="A16" s="55"/>
      <c r="B16" s="301"/>
      <c r="C16" s="301"/>
      <c r="D16" s="302"/>
      <c r="E16" s="279"/>
      <c r="F16" s="274"/>
      <c r="G16" s="274"/>
      <c r="H16" s="274"/>
      <c r="I16" s="274"/>
      <c r="J16" s="102" t="str">
        <f>IF(AND('Mapa final'!$AB$34="Muy Alta",'Mapa final'!$AD$34="Leve"),CONCATENATE("R11C",'Mapa final'!$R$34),"")</f>
        <v/>
      </c>
      <c r="K16" s="41" t="str">
        <f>IF(AND('Mapa final'!$AB$35="Muy Alta",'Mapa final'!$AD$35="Leve"),CONCATENATE("R11C",'Mapa final'!$R$35),"")</f>
        <v/>
      </c>
      <c r="L16" s="103" t="str">
        <f>IF(AND('Mapa final'!$AB$36="Muy Alta",'Mapa final'!$AD$36="Leve"),CONCATENATE("R11C",'Mapa final'!$R$36),"")</f>
        <v/>
      </c>
      <c r="M16" s="102" t="str">
        <f>IF(AND('Mapa final'!$AB$34="Muy Alta",'Mapa final'!$AD$34="Menor"),CONCATENATE("R11C",'Mapa final'!$R$34),"")</f>
        <v/>
      </c>
      <c r="N16" s="41" t="str">
        <f>IF(AND('Mapa final'!$AB$35="Muy Alta",'Mapa final'!$AD$35="Menor"),CONCATENATE("R11C",'Mapa final'!$R$35),"")</f>
        <v/>
      </c>
      <c r="O16" s="103" t="str">
        <f>IF(AND('Mapa final'!$AB$36="Muy Alta",'Mapa final'!$AD$36="Menor"),CONCATENATE("R11C",'Mapa final'!$R$36),"")</f>
        <v/>
      </c>
      <c r="P16" s="102" t="str">
        <f>IF(AND('Mapa final'!$AB$34="Muy Alta",'Mapa final'!$AD$34="Moderado"),CONCATENATE("R11C",'Mapa final'!$R$34),"")</f>
        <v/>
      </c>
      <c r="Q16" s="41" t="str">
        <f>IF(AND('Mapa final'!$AB$35="Muy Alta",'Mapa final'!$AD$35="Moderado"),CONCATENATE("R11C",'Mapa final'!$R$35),"")</f>
        <v/>
      </c>
      <c r="R16" s="103" t="str">
        <f>IF(AND('Mapa final'!$AB$36="Muy Alta",'Mapa final'!$AD$36="Moderado"),CONCATENATE("R11C",'Mapa final'!$R$36),"")</f>
        <v/>
      </c>
      <c r="S16" s="102" t="str">
        <f>IF(AND('Mapa final'!$AB$34="Muy Alta",'Mapa final'!$AD$34="Mayor"),CONCATENATE("R11C",'Mapa final'!$R$34),"")</f>
        <v/>
      </c>
      <c r="T16" s="41" t="str">
        <f>IF(AND('Mapa final'!$AB$35="Muy Alta",'Mapa final'!$AD$35="Mayor"),CONCATENATE("R11C",'Mapa final'!$R$35),"")</f>
        <v/>
      </c>
      <c r="U16" s="103" t="str">
        <f>IF(AND('Mapa final'!$AB$36="Muy Alta",'Mapa final'!$AD$36="Mayor"),CONCATENATE("R11C",'Mapa final'!$R$36),"")</f>
        <v/>
      </c>
      <c r="V16" s="42" t="str">
        <f>IF(AND('Mapa final'!$AB$34="Muy Alta",'Mapa final'!$AD$34="Catastrófico"),CONCATENATE("R11C",'Mapa final'!$R$34),"")</f>
        <v/>
      </c>
      <c r="W16" s="43" t="str">
        <f>IF(AND('Mapa final'!$AB$35="Muy Alta",'Mapa final'!$AD$35="Catastrófico"),CONCATENATE("R11C",'Mapa final'!$R$35),"")</f>
        <v/>
      </c>
      <c r="X16" s="97" t="str">
        <f>IF(AND('Mapa final'!$AB$36="Muy Alta",'Mapa final'!$AD$36="Catastrófico"),CONCATENATE("R11C",'Mapa final'!$R$36),"")</f>
        <v/>
      </c>
      <c r="Y16" s="55"/>
      <c r="Z16" s="295"/>
      <c r="AA16" s="296"/>
      <c r="AB16" s="296"/>
      <c r="AC16" s="296"/>
      <c r="AD16" s="296"/>
      <c r="AE16" s="297"/>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row>
    <row r="17" spans="1:61" ht="15" customHeight="1" x14ac:dyDescent="0.25">
      <c r="A17" s="55"/>
      <c r="B17" s="301"/>
      <c r="C17" s="301"/>
      <c r="D17" s="302"/>
      <c r="E17" s="279"/>
      <c r="F17" s="274"/>
      <c r="G17" s="274"/>
      <c r="H17" s="274"/>
      <c r="I17" s="274"/>
      <c r="J17" s="102" t="str">
        <f>IF(AND('Mapa final'!$AB$37="Muy Alta",'Mapa final'!$AD$37="Leve"),CONCATENATE("R12C",'Mapa final'!$R$37),"")</f>
        <v/>
      </c>
      <c r="K17" s="41" t="str">
        <f>IF(AND('Mapa final'!$AB$38="Muy Alta",'Mapa final'!$AD$38="Leve"),CONCATENATE("R12C",'Mapa final'!$R$38),"")</f>
        <v/>
      </c>
      <c r="L17" s="103" t="str">
        <f>IF(AND('Mapa final'!$AB$39="Muy Alta",'Mapa final'!$AD$39="Leve"),CONCATENATE("R12C",'Mapa final'!$R$39),"")</f>
        <v/>
      </c>
      <c r="M17" s="102" t="str">
        <f>IF(AND('Mapa final'!$AB$37="Muy Alta",'Mapa final'!$AD$37="Menor"),CONCATENATE("R12C",'Mapa final'!$R$37),"")</f>
        <v/>
      </c>
      <c r="N17" s="41" t="str">
        <f>IF(AND('Mapa final'!$AB$38="Muy Alta",'Mapa final'!$AD$38="Menor"),CONCATENATE("R12C",'Mapa final'!$R$38),"")</f>
        <v/>
      </c>
      <c r="O17" s="103" t="str">
        <f>IF(AND('Mapa final'!$AB$39="Muy Alta",'Mapa final'!$AD$39="Menor"),CONCATENATE("R12C",'Mapa final'!$R$39),"")</f>
        <v/>
      </c>
      <c r="P17" s="102" t="str">
        <f>IF(AND('Mapa final'!$AB$37="Muy Alta",'Mapa final'!$AD$37="Moderado"),CONCATENATE("R12C",'Mapa final'!$R$37),"")</f>
        <v/>
      </c>
      <c r="Q17" s="41" t="str">
        <f>IF(AND('Mapa final'!$AB$38="Muy Alta",'Mapa final'!$AD$38="Moderado"),CONCATENATE("R12C",'Mapa final'!$R$38),"")</f>
        <v/>
      </c>
      <c r="R17" s="103" t="str">
        <f>IF(AND('Mapa final'!$AB$39="Muy Alta",'Mapa final'!$AD$39="Moderado"),CONCATENATE("R12C",'Mapa final'!$R$39),"")</f>
        <v/>
      </c>
      <c r="S17" s="102" t="str">
        <f>IF(AND('Mapa final'!$AB$37="Muy Alta",'Mapa final'!$AD$37="Mayor"),CONCATENATE("R12C",'Mapa final'!$R$37),"")</f>
        <v/>
      </c>
      <c r="T17" s="41" t="str">
        <f>IF(AND('Mapa final'!$AB$38="Muy Alta",'Mapa final'!$AD$38="Mayor"),CONCATENATE("R12C",'Mapa final'!$R$38),"")</f>
        <v/>
      </c>
      <c r="U17" s="103" t="str">
        <f>IF(AND('Mapa final'!$AB$39="Muy Alta",'Mapa final'!$AD$39="Mayor"),CONCATENATE("R12C",'Mapa final'!$R$39),"")</f>
        <v/>
      </c>
      <c r="V17" s="42" t="str">
        <f>IF(AND('Mapa final'!$AB$37="Muy Alta",'Mapa final'!$AD$37="Catastrófico"),CONCATENATE("R12C",'Mapa final'!$R$37),"")</f>
        <v/>
      </c>
      <c r="W17" s="43" t="str">
        <f>IF(AND('Mapa final'!$AB$38="Muy Alta",'Mapa final'!$AD$38="Catastrófico"),CONCATENATE("R12C",'Mapa final'!$R$38),"")</f>
        <v/>
      </c>
      <c r="X17" s="97" t="str">
        <f>IF(AND('Mapa final'!$AB$39="Muy Alta",'Mapa final'!$AD$39="Catastrófico"),CONCATENATE("R12C",'Mapa final'!$R$39),"")</f>
        <v/>
      </c>
      <c r="Y17" s="55"/>
      <c r="Z17" s="295"/>
      <c r="AA17" s="296"/>
      <c r="AB17" s="296"/>
      <c r="AC17" s="296"/>
      <c r="AD17" s="296"/>
      <c r="AE17" s="297"/>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row>
    <row r="18" spans="1:61" ht="15" customHeight="1" x14ac:dyDescent="0.25">
      <c r="A18" s="55"/>
      <c r="B18" s="301"/>
      <c r="C18" s="301"/>
      <c r="D18" s="302"/>
      <c r="E18" s="279"/>
      <c r="F18" s="274"/>
      <c r="G18" s="274"/>
      <c r="H18" s="274"/>
      <c r="I18" s="274"/>
      <c r="J18" s="102" t="str">
        <f>IF(AND('Mapa final'!$AB$40="Muy Alta",'Mapa final'!$AD$40="Leve"),CONCATENATE("R13C",'Mapa final'!$R$40),"")</f>
        <v/>
      </c>
      <c r="K18" s="41" t="str">
        <f>IF(AND('Mapa final'!$AB$41="Muy Alta",'Mapa final'!$AD$41="Leve"),CONCATENATE("R13C",'Mapa final'!$R$41),"")</f>
        <v/>
      </c>
      <c r="L18" s="103" t="str">
        <f>IF(AND('Mapa final'!$AB$42="Muy Alta",'Mapa final'!$AD$42="Leve"),CONCATENATE("R13C",'Mapa final'!$R$42),"")</f>
        <v/>
      </c>
      <c r="M18" s="102" t="str">
        <f>IF(AND('Mapa final'!$AB$40="Muy Alta",'Mapa final'!$AD$40="Menor"),CONCATENATE("R13C",'Mapa final'!$R$40),"")</f>
        <v/>
      </c>
      <c r="N18" s="41" t="str">
        <f>IF(AND('Mapa final'!$AB$41="Muy Alta",'Mapa final'!$AD$41="Menor"),CONCATENATE("R13C",'Mapa final'!$R$41),"")</f>
        <v/>
      </c>
      <c r="O18" s="103" t="str">
        <f>IF(AND('Mapa final'!$AB$42="Muy Alta",'Mapa final'!$AD$42="Menor"),CONCATENATE("R13C",'Mapa final'!$R$42),"")</f>
        <v/>
      </c>
      <c r="P18" s="102" t="str">
        <f>IF(AND('Mapa final'!$AB$40="Muy Alta",'Mapa final'!$AD$40="Moderado"),CONCATENATE("R13C",'Mapa final'!$R$40),"")</f>
        <v/>
      </c>
      <c r="Q18" s="41" t="str">
        <f>IF(AND('Mapa final'!$AB$41="Muy Alta",'Mapa final'!$AD$41="Moderado"),CONCATENATE("R13C",'Mapa final'!$R$41),"")</f>
        <v/>
      </c>
      <c r="R18" s="103" t="str">
        <f>IF(AND('Mapa final'!$AB$42="Muy Alta",'Mapa final'!$AD$42="Moderado"),CONCATENATE("R13C",'Mapa final'!$R$42),"")</f>
        <v/>
      </c>
      <c r="S18" s="102" t="str">
        <f>IF(AND('Mapa final'!$AB$40="Muy Alta",'Mapa final'!$AD$40="Mayor"),CONCATENATE("R13C",'Mapa final'!$R$40),"")</f>
        <v/>
      </c>
      <c r="T18" s="41" t="str">
        <f>IF(AND('Mapa final'!$AB$41="Muy Alta",'Mapa final'!$AD$41="Mayor"),CONCATENATE("R13C",'Mapa final'!$R$41),"")</f>
        <v/>
      </c>
      <c r="U18" s="103" t="str">
        <f>IF(AND('Mapa final'!$AB$42="Muy Alta",'Mapa final'!$AD$42="Mayor"),CONCATENATE("R13C",'Mapa final'!$R$42),"")</f>
        <v/>
      </c>
      <c r="V18" s="42" t="str">
        <f>IF(AND('Mapa final'!$AB$40="Muy Alta",'Mapa final'!$AD$40="Catastrófico"),CONCATENATE("R13C",'Mapa final'!$R$40),"")</f>
        <v/>
      </c>
      <c r="W18" s="43" t="str">
        <f>IF(AND('Mapa final'!$AB$41="Muy Alta",'Mapa final'!$AD$41="Catastrófico"),CONCATENATE("R13C",'Mapa final'!$R$41),"")</f>
        <v/>
      </c>
      <c r="X18" s="97" t="str">
        <f>IF(AND('Mapa final'!$AB$42="Muy Alta",'Mapa final'!$AD$42="Catastrófico"),CONCATENATE("R13C",'Mapa final'!$R$42),"")</f>
        <v/>
      </c>
      <c r="Y18" s="55"/>
      <c r="Z18" s="295"/>
      <c r="AA18" s="296"/>
      <c r="AB18" s="296"/>
      <c r="AC18" s="296"/>
      <c r="AD18" s="296"/>
      <c r="AE18" s="297"/>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row>
    <row r="19" spans="1:61" ht="15" customHeight="1" x14ac:dyDescent="0.25">
      <c r="A19" s="55"/>
      <c r="B19" s="301"/>
      <c r="C19" s="301"/>
      <c r="D19" s="302"/>
      <c r="E19" s="279"/>
      <c r="F19" s="274"/>
      <c r="G19" s="274"/>
      <c r="H19" s="274"/>
      <c r="I19" s="274"/>
      <c r="J19" s="102" t="str">
        <f>IF(AND('Mapa final'!$AB$43="Muy Alta",'Mapa final'!$AD$43="Leve"),CONCATENATE("R14C",'Mapa final'!$R$43),"")</f>
        <v/>
      </c>
      <c r="K19" s="41" t="str">
        <f>IF(AND('Mapa final'!$AB$44="Muy Alta",'Mapa final'!$AD$44="Leve"),CONCATENATE("R14C",'Mapa final'!$R$44),"")</f>
        <v/>
      </c>
      <c r="L19" s="103" t="str">
        <f>IF(AND('Mapa final'!$AB$45="Muy Alta",'Mapa final'!$AD$45="Leve"),CONCATENATE("R14C",'Mapa final'!$R$45),"")</f>
        <v/>
      </c>
      <c r="M19" s="102" t="str">
        <f>IF(AND('Mapa final'!$AB$43="Muy Alta",'Mapa final'!$AD$43="Menor"),CONCATENATE("R14C",'Mapa final'!$R$43),"")</f>
        <v/>
      </c>
      <c r="N19" s="41" t="str">
        <f>IF(AND('Mapa final'!$AB$44="Muy Alta",'Mapa final'!$AD$44="Menor"),CONCATENATE("R14C",'Mapa final'!$R$44),"")</f>
        <v/>
      </c>
      <c r="O19" s="103" t="str">
        <f>IF(AND('Mapa final'!$AB$45="Muy Alta",'Mapa final'!$AD$45="Menor"),CONCATENATE("R14C",'Mapa final'!$R$45),"")</f>
        <v/>
      </c>
      <c r="P19" s="102" t="str">
        <f>IF(AND('Mapa final'!$AB$43="Muy Alta",'Mapa final'!$AD$43="Moderado"),CONCATENATE("R14C",'Mapa final'!$R$43),"")</f>
        <v/>
      </c>
      <c r="Q19" s="41" t="str">
        <f>IF(AND('Mapa final'!$AB$44="Muy Alta",'Mapa final'!$AD$44="Moderado"),CONCATENATE("R14C",'Mapa final'!$R$44),"")</f>
        <v/>
      </c>
      <c r="R19" s="103" t="str">
        <f>IF(AND('Mapa final'!$AB$45="Muy Alta",'Mapa final'!$AD$45="Moderado"),CONCATENATE("R14C",'Mapa final'!$R$45),"")</f>
        <v/>
      </c>
      <c r="S19" s="102" t="str">
        <f>IF(AND('Mapa final'!$AB$43="Muy Alta",'Mapa final'!$AD$43="Mayor"),CONCATENATE("R14C",'Mapa final'!$R$43),"")</f>
        <v/>
      </c>
      <c r="T19" s="41" t="str">
        <f>IF(AND('Mapa final'!$AB$44="Muy Alta",'Mapa final'!$AD$44="Mayor"),CONCATENATE("R14C",'Mapa final'!$R$44),"")</f>
        <v/>
      </c>
      <c r="U19" s="103" t="str">
        <f>IF(AND('Mapa final'!$AB$45="Muy Alta",'Mapa final'!$AD$45="Mayor"),CONCATENATE("R14C",'Mapa final'!$R$45),"")</f>
        <v/>
      </c>
      <c r="V19" s="42" t="str">
        <f>IF(AND('Mapa final'!$AB$43="Muy Alta",'Mapa final'!$AD$43="Catastrófico"),CONCATENATE("R14C",'Mapa final'!$R$43),"")</f>
        <v/>
      </c>
      <c r="W19" s="43" t="str">
        <f>IF(AND('Mapa final'!$AB$44="Muy Alta",'Mapa final'!$AD$44="Catastrófico"),CONCATENATE("R14C",'Mapa final'!$R$44),"")</f>
        <v/>
      </c>
      <c r="X19" s="97" t="str">
        <f>IF(AND('Mapa final'!$AB$45="Muy Alta",'Mapa final'!$AD$45="Catastrófico"),CONCATENATE("R14C",'Mapa final'!$R$45),"")</f>
        <v/>
      </c>
      <c r="Y19" s="55"/>
      <c r="Z19" s="295"/>
      <c r="AA19" s="296"/>
      <c r="AB19" s="296"/>
      <c r="AC19" s="296"/>
      <c r="AD19" s="296"/>
      <c r="AE19" s="297"/>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row>
    <row r="20" spans="1:61" ht="15" customHeight="1" x14ac:dyDescent="0.25">
      <c r="A20" s="55"/>
      <c r="B20" s="301"/>
      <c r="C20" s="301"/>
      <c r="D20" s="302"/>
      <c r="E20" s="279"/>
      <c r="F20" s="274"/>
      <c r="G20" s="274"/>
      <c r="H20" s="274"/>
      <c r="I20" s="274"/>
      <c r="J20" s="102" t="str">
        <f>IF(AND('Mapa final'!$AB$46="Muy Alta",'Mapa final'!$AD$46="Leve"),CONCATENATE("R15C",'Mapa final'!$R$46),"")</f>
        <v/>
      </c>
      <c r="K20" s="41" t="str">
        <f>IF(AND('Mapa final'!$AB$47="Muy Alta",'Mapa final'!$AD$47="Leve"),CONCATENATE("R15C",'Mapa final'!$R$47),"")</f>
        <v/>
      </c>
      <c r="L20" s="103" t="str">
        <f>IF(AND('Mapa final'!$AB$48="Muy Alta",'Mapa final'!$AD$48="Leve"),CONCATENATE("R15C",'Mapa final'!$R$48),"")</f>
        <v/>
      </c>
      <c r="M20" s="102" t="str">
        <f>IF(AND('Mapa final'!$AB$46="Muy Alta",'Mapa final'!$AD$46="Menor"),CONCATENATE("R15C",'Mapa final'!$R$46),"")</f>
        <v/>
      </c>
      <c r="N20" s="41" t="str">
        <f>IF(AND('Mapa final'!$AB$47="Muy Alta",'Mapa final'!$AD$47="Menor"),CONCATENATE("R15C",'Mapa final'!$R$47),"")</f>
        <v/>
      </c>
      <c r="O20" s="103" t="str">
        <f>IF(AND('Mapa final'!$AB$48="Muy Alta",'Mapa final'!$AD$48="Menor"),CONCATENATE("R15C",'Mapa final'!$R$48),"")</f>
        <v/>
      </c>
      <c r="P20" s="102" t="str">
        <f>IF(AND('Mapa final'!$AB$46="Muy Alta",'Mapa final'!$AD$46="Moderado"),CONCATENATE("R15C",'Mapa final'!$R$46),"")</f>
        <v/>
      </c>
      <c r="Q20" s="41" t="str">
        <f>IF(AND('Mapa final'!$AB$47="Muy Alta",'Mapa final'!$AD$47="Moderado"),CONCATENATE("R15C",'Mapa final'!$R$47),"")</f>
        <v/>
      </c>
      <c r="R20" s="103" t="str">
        <f>IF(AND('Mapa final'!$AB$48="Muy Alta",'Mapa final'!$AD$48="Moderado"),CONCATENATE("R15C",'Mapa final'!$R$48),"")</f>
        <v/>
      </c>
      <c r="S20" s="102" t="str">
        <f>IF(AND('Mapa final'!$AB$46="Muy Alta",'Mapa final'!$AD$46="Mayor"),CONCATENATE("R15C",'Mapa final'!$R$46),"")</f>
        <v/>
      </c>
      <c r="T20" s="41" t="str">
        <f>IF(AND('Mapa final'!$AB$47="Muy Alta",'Mapa final'!$AD$47="Mayor"),CONCATENATE("R15C",'Mapa final'!$R$47),"")</f>
        <v/>
      </c>
      <c r="U20" s="103" t="str">
        <f>IF(AND('Mapa final'!$AB$48="Muy Alta",'Mapa final'!$AD$48="Mayor"),CONCATENATE("R15C",'Mapa final'!$R$48),"")</f>
        <v/>
      </c>
      <c r="V20" s="42" t="str">
        <f>IF(AND('Mapa final'!$AB$46="Muy Alta",'Mapa final'!$AD$46="Catastrófico"),CONCATENATE("R15C",'Mapa final'!$R$46),"")</f>
        <v/>
      </c>
      <c r="W20" s="43" t="str">
        <f>IF(AND('Mapa final'!$AB$47="Muy Alta",'Mapa final'!$AD$47="Catastrófico"),CONCATENATE("R15C",'Mapa final'!$R$47),"")</f>
        <v/>
      </c>
      <c r="X20" s="97" t="str">
        <f>IF(AND('Mapa final'!$AB$48="Muy Alta",'Mapa final'!$AD$48="Catastrófico"),CONCATENATE("R15C",'Mapa final'!$R$48),"")</f>
        <v/>
      </c>
      <c r="Y20" s="55"/>
      <c r="Z20" s="295"/>
      <c r="AA20" s="296"/>
      <c r="AB20" s="296"/>
      <c r="AC20" s="296"/>
      <c r="AD20" s="296"/>
      <c r="AE20" s="297"/>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row>
    <row r="21" spans="1:61" ht="15" customHeight="1" x14ac:dyDescent="0.25">
      <c r="A21" s="55"/>
      <c r="B21" s="301"/>
      <c r="C21" s="301"/>
      <c r="D21" s="302"/>
      <c r="E21" s="279"/>
      <c r="F21" s="274"/>
      <c r="G21" s="274"/>
      <c r="H21" s="274"/>
      <c r="I21" s="274"/>
      <c r="J21" s="102" t="str">
        <f>IF(AND('Mapa final'!$AB$49="Muy Alta",'Mapa final'!$AD$49="Leve"),CONCATENATE("R16C",'Mapa final'!$R$49),"")</f>
        <v/>
      </c>
      <c r="K21" s="41" t="str">
        <f>IF(AND('Mapa final'!$AB$50="Muy Alta",'Mapa final'!$AD$50="Leve"),CONCATENATE("R16C",'Mapa final'!$R$50),"")</f>
        <v/>
      </c>
      <c r="L21" s="103" t="str">
        <f>IF(AND('Mapa final'!$AB$51="Muy Alta",'Mapa final'!$AD$51="Leve"),CONCATENATE("R16C",'Mapa final'!$R$51),"")</f>
        <v/>
      </c>
      <c r="M21" s="102" t="str">
        <f>IF(AND('Mapa final'!$AB$49="Muy Alta",'Mapa final'!$AD$49="Menor"),CONCATENATE("R16C",'Mapa final'!$R$49),"")</f>
        <v/>
      </c>
      <c r="N21" s="41" t="str">
        <f>IF(AND('Mapa final'!$AB$50="Muy Alta",'Mapa final'!$AD$50="Menor"),CONCATENATE("R16C",'Mapa final'!$R$50),"")</f>
        <v/>
      </c>
      <c r="O21" s="103" t="str">
        <f>IF(AND('Mapa final'!$AB$51="Muy Alta",'Mapa final'!$AD$51="Menor"),CONCATENATE("R16C",'Mapa final'!$R$51),"")</f>
        <v/>
      </c>
      <c r="P21" s="102" t="str">
        <f>IF(AND('Mapa final'!$AB$49="Muy Alta",'Mapa final'!$AD$49="Moderado"),CONCATENATE("R16C",'Mapa final'!$R$49),"")</f>
        <v/>
      </c>
      <c r="Q21" s="41" t="str">
        <f>IF(AND('Mapa final'!$AB$50="Muy Alta",'Mapa final'!$AD$50="Moderado"),CONCATENATE("R16C",'Mapa final'!$R$50),"")</f>
        <v/>
      </c>
      <c r="R21" s="103" t="str">
        <f>IF(AND('Mapa final'!$AB$51="Muy Alta",'Mapa final'!$AD$51="Moderado"),CONCATENATE("R16C",'Mapa final'!$R$51),"")</f>
        <v/>
      </c>
      <c r="S21" s="102" t="str">
        <f>IF(AND('Mapa final'!$AB$49="Muy Alta",'Mapa final'!$AD$49="Mayor"),CONCATENATE("R16C",'Mapa final'!$R$49),"")</f>
        <v/>
      </c>
      <c r="T21" s="41" t="str">
        <f>IF(AND('Mapa final'!$AB$50="Muy Alta",'Mapa final'!$AD$50="Mayor"),CONCATENATE("R16C",'Mapa final'!$R$50),"")</f>
        <v/>
      </c>
      <c r="U21" s="103" t="str">
        <f>IF(AND('Mapa final'!$AB$51="Muy Alta",'Mapa final'!$AD$51="Mayor"),CONCATENATE("R16C",'Mapa final'!$R$51),"")</f>
        <v/>
      </c>
      <c r="V21" s="42" t="str">
        <f>IF(AND('Mapa final'!$AB$49="Muy Alta",'Mapa final'!$AD$49="Catastrófico"),CONCATENATE("R16C",'Mapa final'!$R$49),"")</f>
        <v/>
      </c>
      <c r="W21" s="43" t="str">
        <f>IF(AND('Mapa final'!$AB$50="Muy Alta",'Mapa final'!$AD$50="Catastrófico"),CONCATENATE("R16C",'Mapa final'!$R$50),"")</f>
        <v/>
      </c>
      <c r="X21" s="97" t="str">
        <f>IF(AND('Mapa final'!$AB$51="Muy Alta",'Mapa final'!$AD$51="Catastrófico"),CONCATENATE("R16C",'Mapa final'!$R$51),"")</f>
        <v/>
      </c>
      <c r="Y21" s="55"/>
      <c r="Z21" s="295"/>
      <c r="AA21" s="296"/>
      <c r="AB21" s="296"/>
      <c r="AC21" s="296"/>
      <c r="AD21" s="296"/>
      <c r="AE21" s="297"/>
      <c r="AF21" s="55"/>
      <c r="AG21" s="55"/>
      <c r="AH21" s="55"/>
      <c r="AI21" s="55"/>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G21" s="55"/>
      <c r="BH21" s="55"/>
      <c r="BI21" s="55"/>
    </row>
    <row r="22" spans="1:61" ht="15" customHeight="1" x14ac:dyDescent="0.25">
      <c r="A22" s="55"/>
      <c r="B22" s="301"/>
      <c r="C22" s="301"/>
      <c r="D22" s="302"/>
      <c r="E22" s="279"/>
      <c r="F22" s="274"/>
      <c r="G22" s="274"/>
      <c r="H22" s="274"/>
      <c r="I22" s="274"/>
      <c r="J22" s="102" t="str">
        <f>IF(AND('Mapa final'!$AB$52="Muy Alta",'Mapa final'!$AD$52="Leve"),CONCATENATE("R17C",'Mapa final'!$R$52),"")</f>
        <v/>
      </c>
      <c r="K22" s="41" t="str">
        <f>IF(AND('Mapa final'!$AB$53="Muy Alta",'Mapa final'!$AD$53="Leve"),CONCATENATE("R17C",'Mapa final'!$R$53),"")</f>
        <v/>
      </c>
      <c r="L22" s="103" t="str">
        <f>IF(AND('Mapa final'!$AB$54="Muy Alta",'Mapa final'!$AD$54="Leve"),CONCATENATE("R17C",'Mapa final'!$R$54),"")</f>
        <v/>
      </c>
      <c r="M22" s="102" t="str">
        <f>IF(AND('Mapa final'!$AB$52="Muy Alta",'Mapa final'!$AD$52="Menor"),CONCATENATE("R17C",'Mapa final'!$R$52),"")</f>
        <v/>
      </c>
      <c r="N22" s="41" t="str">
        <f>IF(AND('Mapa final'!$AB$53="Muy Alta",'Mapa final'!$AD$53="Menor"),CONCATENATE("R17C",'Mapa final'!$R$53),"")</f>
        <v/>
      </c>
      <c r="O22" s="103" t="str">
        <f>IF(AND('Mapa final'!$AB$54="Muy Alta",'Mapa final'!$AD$54="Menor"),CONCATENATE("R17C",'Mapa final'!$R$54),"")</f>
        <v/>
      </c>
      <c r="P22" s="102" t="str">
        <f>IF(AND('Mapa final'!$AB$52="Muy Alta",'Mapa final'!$AD$52="Moderado"),CONCATENATE("R17C",'Mapa final'!$R$52),"")</f>
        <v/>
      </c>
      <c r="Q22" s="41" t="str">
        <f>IF(AND('Mapa final'!$AB$53="Muy Alta",'Mapa final'!$AD$53="Moderado"),CONCATENATE("R17C",'Mapa final'!$R$53),"")</f>
        <v/>
      </c>
      <c r="R22" s="103" t="str">
        <f>IF(AND('Mapa final'!$AB$54="Muy Alta",'Mapa final'!$AD$54="Moderado"),CONCATENATE("R17C",'Mapa final'!$R$54),"")</f>
        <v/>
      </c>
      <c r="S22" s="102" t="str">
        <f>IF(AND('Mapa final'!$AB$52="Muy Alta",'Mapa final'!$AD$52="Mayor"),CONCATENATE("R17C",'Mapa final'!$R$52),"")</f>
        <v/>
      </c>
      <c r="T22" s="41" t="str">
        <f>IF(AND('Mapa final'!$AB$53="Muy Alta",'Mapa final'!$AD$53="Mayor"),CONCATENATE("R17C",'Mapa final'!$R$53),"")</f>
        <v/>
      </c>
      <c r="U22" s="103" t="str">
        <f>IF(AND('Mapa final'!$AB$54="Muy Alta",'Mapa final'!$AD$54="Mayor"),CONCATENATE("R17C",'Mapa final'!$R$54),"")</f>
        <v/>
      </c>
      <c r="V22" s="42" t="str">
        <f>IF(AND('Mapa final'!$AB$52="Muy Alta",'Mapa final'!$AD$52="Catastrófico"),CONCATENATE("R17C",'Mapa final'!$R$52),"")</f>
        <v/>
      </c>
      <c r="W22" s="43" t="str">
        <f>IF(AND('Mapa final'!$AB$53="Muy Alta",'Mapa final'!$AD$53="Catastrófico"),CONCATENATE("R17C",'Mapa final'!$R$53),"")</f>
        <v/>
      </c>
      <c r="X22" s="97" t="str">
        <f>IF(AND('Mapa final'!$AB$54="Muy Alta",'Mapa final'!$AD$54="Catastrófico"),CONCATENATE("R17C",'Mapa final'!$R$54),"")</f>
        <v/>
      </c>
      <c r="Y22" s="55"/>
      <c r="Z22" s="295"/>
      <c r="AA22" s="296"/>
      <c r="AB22" s="296"/>
      <c r="AC22" s="296"/>
      <c r="AD22" s="296"/>
      <c r="AE22" s="297"/>
      <c r="AF22" s="55"/>
      <c r="AG22" s="55"/>
      <c r="AH22" s="55"/>
      <c r="AI22" s="55"/>
      <c r="AJ22" s="55"/>
      <c r="AK22" s="55"/>
      <c r="AL22" s="55"/>
      <c r="AM22" s="55"/>
      <c r="AN22" s="55"/>
      <c r="AO22" s="55"/>
      <c r="AP22" s="55"/>
      <c r="AQ22" s="55"/>
      <c r="AR22" s="55"/>
      <c r="AS22" s="55"/>
      <c r="AT22" s="55"/>
      <c r="AU22" s="55"/>
      <c r="AV22" s="55"/>
      <c r="AW22" s="55"/>
      <c r="AX22" s="55"/>
      <c r="AY22" s="55"/>
      <c r="AZ22" s="55"/>
      <c r="BA22" s="55"/>
      <c r="BB22" s="55"/>
      <c r="BC22" s="55"/>
      <c r="BD22" s="55"/>
      <c r="BE22" s="55"/>
      <c r="BF22" s="55"/>
      <c r="BG22" s="55"/>
      <c r="BH22" s="55"/>
      <c r="BI22" s="55"/>
    </row>
    <row r="23" spans="1:61" ht="15" customHeight="1" x14ac:dyDescent="0.25">
      <c r="A23" s="55"/>
      <c r="B23" s="301"/>
      <c r="C23" s="301"/>
      <c r="D23" s="302"/>
      <c r="E23" s="279"/>
      <c r="F23" s="274"/>
      <c r="G23" s="274"/>
      <c r="H23" s="274"/>
      <c r="I23" s="274"/>
      <c r="J23" s="102" t="str">
        <f>IF(AND('Mapa final'!$AB$55="Muy Alta",'Mapa final'!$AD$55="Leve"),CONCATENATE("R18C",'Mapa final'!$R$55),"")</f>
        <v/>
      </c>
      <c r="K23" s="41" t="str">
        <f>IF(AND('Mapa final'!$AB$56="Muy Alta",'Mapa final'!$AD$56="Leve"),CONCATENATE("R18C",'Mapa final'!$R$56),"")</f>
        <v/>
      </c>
      <c r="L23" s="103" t="str">
        <f>IF(AND('Mapa final'!$AB$57="Muy Alta",'Mapa final'!$AD$57="Leve"),CONCATENATE("R18C",'Mapa final'!$R$57),"")</f>
        <v/>
      </c>
      <c r="M23" s="102" t="str">
        <f>IF(AND('Mapa final'!$AB$55="Muy Alta",'Mapa final'!$AD$55="Menor"),CONCATENATE("R18C",'Mapa final'!$R$55),"")</f>
        <v/>
      </c>
      <c r="N23" s="41" t="str">
        <f>IF(AND('Mapa final'!$AB$56="Muy Alta",'Mapa final'!$AD$56="Menor"),CONCATENATE("R18C",'Mapa final'!$R$56),"")</f>
        <v/>
      </c>
      <c r="O23" s="103" t="str">
        <f>IF(AND('Mapa final'!$AB$57="Muy Alta",'Mapa final'!$AD$57="Menor"),CONCATENATE("R18C",'Mapa final'!$R$57),"")</f>
        <v/>
      </c>
      <c r="P23" s="102" t="str">
        <f>IF(AND('Mapa final'!$AB$55="Muy Alta",'Mapa final'!$AD$55="Moderado"),CONCATENATE("R18C",'Mapa final'!$R$55),"")</f>
        <v/>
      </c>
      <c r="Q23" s="41" t="str">
        <f>IF(AND('Mapa final'!$AB$56="Muy Alta",'Mapa final'!$AD$56="Moderado"),CONCATENATE("R18C",'Mapa final'!$R$56),"")</f>
        <v/>
      </c>
      <c r="R23" s="103" t="str">
        <f>IF(AND('Mapa final'!$AB$57="Muy Alta",'Mapa final'!$AD$57="Moderado"),CONCATENATE("R18C",'Mapa final'!$R$57),"")</f>
        <v/>
      </c>
      <c r="S23" s="102" t="str">
        <f>IF(AND('Mapa final'!$AB$55="Muy Alta",'Mapa final'!$AD$55="Mayor"),CONCATENATE("R18C",'Mapa final'!$R$55),"")</f>
        <v/>
      </c>
      <c r="T23" s="41" t="str">
        <f>IF(AND('Mapa final'!$AB$56="Muy Alta",'Mapa final'!$AD$56="Mayor"),CONCATENATE("R18C",'Mapa final'!$R$56),"")</f>
        <v/>
      </c>
      <c r="U23" s="103" t="str">
        <f>IF(AND('Mapa final'!$AB$57="Muy Alta",'Mapa final'!$AD$57="Mayor"),CONCATENATE("R18C",'Mapa final'!$R$57),"")</f>
        <v/>
      </c>
      <c r="V23" s="42" t="str">
        <f>IF(AND('Mapa final'!$AB$55="Muy Alta",'Mapa final'!$AD$55="Catastrófico"),CONCATENATE("R18C",'Mapa final'!$R$55),"")</f>
        <v/>
      </c>
      <c r="W23" s="43" t="str">
        <f>IF(AND('Mapa final'!$AB$56="Muy Alta",'Mapa final'!$AD$56="Catastrófico"),CONCATENATE("R18C",'Mapa final'!$R$56),"")</f>
        <v/>
      </c>
      <c r="X23" s="97" t="str">
        <f>IF(AND('Mapa final'!$AB$57="Muy Alta",'Mapa final'!$AD$57="Catastrófico"),CONCATENATE("R18C",'Mapa final'!$R$57),"")</f>
        <v/>
      </c>
      <c r="Y23" s="55"/>
      <c r="Z23" s="295"/>
      <c r="AA23" s="296"/>
      <c r="AB23" s="296"/>
      <c r="AC23" s="296"/>
      <c r="AD23" s="296"/>
      <c r="AE23" s="297"/>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row>
    <row r="24" spans="1:61" ht="15" customHeight="1" x14ac:dyDescent="0.25">
      <c r="A24" s="55"/>
      <c r="B24" s="301"/>
      <c r="C24" s="301"/>
      <c r="D24" s="302"/>
      <c r="E24" s="279"/>
      <c r="F24" s="274"/>
      <c r="G24" s="274"/>
      <c r="H24" s="274"/>
      <c r="I24" s="274"/>
      <c r="J24" s="102" t="str">
        <f>IF(AND('Mapa final'!$AB$58="Muy Alta",'Mapa final'!$AD$58="Leve"),CONCATENATE("R19C",'Mapa final'!$R$58),"")</f>
        <v/>
      </c>
      <c r="K24" s="41" t="str">
        <f>IF(AND('Mapa final'!$AB$59="Muy Alta",'Mapa final'!$AD$59="Leve"),CONCATENATE("R19C",'Mapa final'!$R$59),"")</f>
        <v/>
      </c>
      <c r="L24" s="103" t="str">
        <f>IF(AND('Mapa final'!$AB$60="Muy Alta",'Mapa final'!$AD$60="Leve"),CONCATENATE("R19C",'Mapa final'!$R$60),"")</f>
        <v/>
      </c>
      <c r="M24" s="102" t="str">
        <f>IF(AND('Mapa final'!$AB$58="Muy Alta",'Mapa final'!$AD$58="Menor"),CONCATENATE("R19C",'Mapa final'!$R$58),"")</f>
        <v/>
      </c>
      <c r="N24" s="41" t="str">
        <f>IF(AND('Mapa final'!$AB$59="Muy Alta",'Mapa final'!$AD$59="Menor"),CONCATENATE("R19C",'Mapa final'!$R$59),"")</f>
        <v/>
      </c>
      <c r="O24" s="103" t="str">
        <f>IF(AND('Mapa final'!$AB$60="Muy Alta",'Mapa final'!$AD$60="Menor"),CONCATENATE("R19C",'Mapa final'!$R$60),"")</f>
        <v/>
      </c>
      <c r="P24" s="102" t="str">
        <f>IF(AND('Mapa final'!$AB$58="Muy Alta",'Mapa final'!$AD$58="Moderado"),CONCATENATE("R19C",'Mapa final'!$R$58),"")</f>
        <v/>
      </c>
      <c r="Q24" s="41" t="str">
        <f>IF(AND('Mapa final'!$AB$59="Muy Alta",'Mapa final'!$AD$59="Moderado"),CONCATENATE("R19C",'Mapa final'!$R$59),"")</f>
        <v/>
      </c>
      <c r="R24" s="103" t="str">
        <f>IF(AND('Mapa final'!$AB$60="Muy Alta",'Mapa final'!$AD$60="Moderado"),CONCATENATE("R19C",'Mapa final'!$R$60),"")</f>
        <v/>
      </c>
      <c r="S24" s="102" t="str">
        <f>IF(AND('Mapa final'!$AB$58="Muy Alta",'Mapa final'!$AD$58="Mayor"),CONCATENATE("R19C",'Mapa final'!$R$58),"")</f>
        <v/>
      </c>
      <c r="T24" s="41" t="str">
        <f>IF(AND('Mapa final'!$AB$59="Muy Alta",'Mapa final'!$AD$59="Mayor"),CONCATENATE("R19C",'Mapa final'!$R$59),"")</f>
        <v/>
      </c>
      <c r="U24" s="103" t="str">
        <f>IF(AND('Mapa final'!$AB$60="Muy Alta",'Mapa final'!$AD$60="Mayor"),CONCATENATE("R19C",'Mapa final'!$R$60),"")</f>
        <v/>
      </c>
      <c r="V24" s="42" t="str">
        <f>IF(AND('Mapa final'!$AB$58="Muy Alta",'Mapa final'!$AD$58="Catastrófico"),CONCATENATE("R19C",'Mapa final'!$R$58),"")</f>
        <v/>
      </c>
      <c r="W24" s="43" t="str">
        <f>IF(AND('Mapa final'!$AB$59="Muy Alta",'Mapa final'!$AD$59="Catastrófico"),CONCATENATE("R19C",'Mapa final'!$R$59),"")</f>
        <v/>
      </c>
      <c r="X24" s="97" t="str">
        <f>IF(AND('Mapa final'!$AB$60="Muy Alta",'Mapa final'!$AD$60="Catastrófico"),CONCATENATE("R19C",'Mapa final'!$R$60),"")</f>
        <v/>
      </c>
      <c r="Y24" s="55"/>
      <c r="Z24" s="295"/>
      <c r="AA24" s="296"/>
      <c r="AB24" s="296"/>
      <c r="AC24" s="296"/>
      <c r="AD24" s="296"/>
      <c r="AE24" s="297"/>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55"/>
      <c r="BG24" s="55"/>
      <c r="BH24" s="55"/>
      <c r="BI24" s="55"/>
    </row>
    <row r="25" spans="1:61" ht="15" customHeight="1" x14ac:dyDescent="0.25">
      <c r="A25" s="55"/>
      <c r="B25" s="301"/>
      <c r="C25" s="301"/>
      <c r="D25" s="302"/>
      <c r="E25" s="279"/>
      <c r="F25" s="274"/>
      <c r="G25" s="274"/>
      <c r="H25" s="274"/>
      <c r="I25" s="274"/>
      <c r="J25" s="102" t="str">
        <f>IF(AND('Mapa final'!$AB$61="Muy Alta",'Mapa final'!$AD$61="Leve"),CONCATENATE("R20C",'Mapa final'!$R$61),"")</f>
        <v/>
      </c>
      <c r="K25" s="41" t="str">
        <f>IF(AND('Mapa final'!$AB$62="Muy Alta",'Mapa final'!$AD$62="Leve"),CONCATENATE("R20C",'Mapa final'!$R$62),"")</f>
        <v/>
      </c>
      <c r="L25" s="103" t="str">
        <f>IF(AND('Mapa final'!$AB$63="Muy Alta",'Mapa final'!$AD$63="Leve"),CONCATENATE("R20C",'Mapa final'!$R$63),"")</f>
        <v/>
      </c>
      <c r="M25" s="102" t="str">
        <f>IF(AND('Mapa final'!$AB$61="Muy Alta",'Mapa final'!$AD$61="Menor"),CONCATENATE("R20C",'Mapa final'!$R$61),"")</f>
        <v/>
      </c>
      <c r="N25" s="41" t="str">
        <f>IF(AND('Mapa final'!$AB$62="Muy Alta",'Mapa final'!$AD$62="Menor"),CONCATENATE("R20C",'Mapa final'!$R$62),"")</f>
        <v/>
      </c>
      <c r="O25" s="103" t="str">
        <f>IF(AND('Mapa final'!$AB$63="Muy Alta",'Mapa final'!$AD$63="Menor"),CONCATENATE("R20C",'Mapa final'!$R$63),"")</f>
        <v/>
      </c>
      <c r="P25" s="102" t="str">
        <f>IF(AND('Mapa final'!$AB$61="Muy Alta",'Mapa final'!$AD$61="Moderado"),CONCATENATE("R20C",'Mapa final'!$R$61),"")</f>
        <v/>
      </c>
      <c r="Q25" s="41" t="str">
        <f>IF(AND('Mapa final'!$AB$62="Muy Alta",'Mapa final'!$AD$62="Moderado"),CONCATENATE("R20C",'Mapa final'!$R$62),"")</f>
        <v/>
      </c>
      <c r="R25" s="103" t="str">
        <f>IF(AND('Mapa final'!$AB$63="Muy Alta",'Mapa final'!$AD$63="Moderado"),CONCATENATE("R20C",'Mapa final'!$R$63),"")</f>
        <v/>
      </c>
      <c r="S25" s="102" t="str">
        <f>IF(AND('Mapa final'!$AB$61="Muy Alta",'Mapa final'!$AD$61="Mayor"),CONCATENATE("R20C",'Mapa final'!$R$61),"")</f>
        <v/>
      </c>
      <c r="T25" s="41" t="str">
        <f>IF(AND('Mapa final'!$AB$62="Muy Alta",'Mapa final'!$AD$62="Mayor"),CONCATENATE("R20C",'Mapa final'!$R$62),"")</f>
        <v/>
      </c>
      <c r="U25" s="103" t="str">
        <f>IF(AND('Mapa final'!$AB$63="Muy Alta",'Mapa final'!$AD$63="Mayor"),CONCATENATE("R20C",'Mapa final'!$R$63),"")</f>
        <v/>
      </c>
      <c r="V25" s="42" t="str">
        <f>IF(AND('Mapa final'!$AB$61="Muy Alta",'Mapa final'!$AD$61="Catastrófico"),CONCATENATE("R20C",'Mapa final'!$R$61),"")</f>
        <v/>
      </c>
      <c r="W25" s="43" t="str">
        <f>IF(AND('Mapa final'!$AB$62="Muy Alta",'Mapa final'!$AD$62="Catastrófico"),CONCATENATE("R20C",'Mapa final'!$R$62),"")</f>
        <v/>
      </c>
      <c r="X25" s="97" t="str">
        <f>IF(AND('Mapa final'!$AB$63="Muy Alta",'Mapa final'!$AD$63="Catastrófico"),CONCATENATE("R20C",'Mapa final'!$R$63),"")</f>
        <v/>
      </c>
      <c r="Y25" s="55"/>
      <c r="Z25" s="295"/>
      <c r="AA25" s="296"/>
      <c r="AB25" s="296"/>
      <c r="AC25" s="296"/>
      <c r="AD25" s="296"/>
      <c r="AE25" s="297"/>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55"/>
      <c r="BG25" s="55"/>
      <c r="BH25" s="55"/>
      <c r="BI25" s="55"/>
    </row>
    <row r="26" spans="1:61" ht="15" customHeight="1" x14ac:dyDescent="0.25">
      <c r="A26" s="55"/>
      <c r="B26" s="301"/>
      <c r="C26" s="301"/>
      <c r="D26" s="302"/>
      <c r="E26" s="279"/>
      <c r="F26" s="274"/>
      <c r="G26" s="274"/>
      <c r="H26" s="274"/>
      <c r="I26" s="274"/>
      <c r="J26" s="102" t="str">
        <f>IF(AND('Mapa final'!$AB$64="Muy Alta",'Mapa final'!$AD$64="Leve"),CONCATENATE("R21C",'Mapa final'!$R$64),"")</f>
        <v/>
      </c>
      <c r="K26" s="41" t="str">
        <f>IF(AND('Mapa final'!$AB$65="Muy Alta",'Mapa final'!$AD$65="Leve"),CONCATENATE("R21C",'Mapa final'!$R$65),"")</f>
        <v/>
      </c>
      <c r="L26" s="103" t="str">
        <f>IF(AND('Mapa final'!$AB$66="Muy Alta",'Mapa final'!$AD$66="Leve"),CONCATENATE("R21C",'Mapa final'!$R$66),"")</f>
        <v/>
      </c>
      <c r="M26" s="102" t="str">
        <f>IF(AND('Mapa final'!$AB$64="Muy Alta",'Mapa final'!$AD$64="Menor"),CONCATENATE("R21C",'Mapa final'!$R$64),"")</f>
        <v/>
      </c>
      <c r="N26" s="41" t="str">
        <f>IF(AND('Mapa final'!$AB$65="Muy Alta",'Mapa final'!$AD$65="Menor"),CONCATENATE("R21C",'Mapa final'!$R$65),"")</f>
        <v/>
      </c>
      <c r="O26" s="103" t="str">
        <f>IF(AND('Mapa final'!$AB$66="Muy Alta",'Mapa final'!$AD$66="Menor"),CONCATENATE("R21C",'Mapa final'!$R$66),"")</f>
        <v/>
      </c>
      <c r="P26" s="102" t="str">
        <f>IF(AND('Mapa final'!$AB$64="Muy Alta",'Mapa final'!$AD$64="Moderado"),CONCATENATE("R21C",'Mapa final'!$R$64),"")</f>
        <v/>
      </c>
      <c r="Q26" s="41" t="str">
        <f>IF(AND('Mapa final'!$AB$65="Muy Alta",'Mapa final'!$AD$65="Moderado"),CONCATENATE("R21C",'Mapa final'!$R$65),"")</f>
        <v/>
      </c>
      <c r="R26" s="103" t="str">
        <f>IF(AND('Mapa final'!$AB$66="Muy Alta",'Mapa final'!$AD$66="Moderado"),CONCATENATE("R21C",'Mapa final'!$R$66),"")</f>
        <v/>
      </c>
      <c r="S26" s="102" t="str">
        <f>IF(AND('Mapa final'!$AB$64="Muy Alta",'Mapa final'!$AD$64="Mayor"),CONCATENATE("R21C",'Mapa final'!$R$64),"")</f>
        <v/>
      </c>
      <c r="T26" s="41" t="str">
        <f>IF(AND('Mapa final'!$AB$65="Muy Alta",'Mapa final'!$AD$65="Mayor"),CONCATENATE("R21C",'Mapa final'!$R$65),"")</f>
        <v/>
      </c>
      <c r="U26" s="103" t="str">
        <f>IF(AND('Mapa final'!$AB$66="Muy Alta",'Mapa final'!$AD$66="Mayor"),CONCATENATE("R21C",'Mapa final'!$R$66),"")</f>
        <v/>
      </c>
      <c r="V26" s="42" t="str">
        <f>IF(AND('Mapa final'!$AB$64="Muy Alta",'Mapa final'!$AD$64="Catastrófico"),CONCATENATE("R21C",'Mapa final'!$R$64),"")</f>
        <v/>
      </c>
      <c r="W26" s="43" t="str">
        <f>IF(AND('Mapa final'!$AB$65="Muy Alta",'Mapa final'!$AD$65="Catastrófico"),CONCATENATE("R21C",'Mapa final'!$R$65),"")</f>
        <v/>
      </c>
      <c r="X26" s="97" t="str">
        <f>IF(AND('Mapa final'!$AB$66="Muy Alta",'Mapa final'!$AD$66="Catastrófico"),CONCATENATE("R21C",'Mapa final'!$R$66),"")</f>
        <v/>
      </c>
      <c r="Y26" s="55"/>
      <c r="Z26" s="295"/>
      <c r="AA26" s="296"/>
      <c r="AB26" s="296"/>
      <c r="AC26" s="296"/>
      <c r="AD26" s="296"/>
      <c r="AE26" s="297"/>
      <c r="AF26" s="55"/>
      <c r="AG26" s="55"/>
      <c r="AH26" s="55"/>
      <c r="AI26" s="55"/>
      <c r="AJ26" s="55"/>
      <c r="AK26" s="55"/>
      <c r="AL26" s="55"/>
      <c r="AM26" s="55"/>
      <c r="AN26" s="55"/>
      <c r="AO26" s="55"/>
      <c r="AP26" s="55"/>
      <c r="AQ26" s="55"/>
      <c r="AR26" s="55"/>
      <c r="AS26" s="55"/>
      <c r="AT26" s="55"/>
      <c r="AU26" s="55"/>
      <c r="AV26" s="55"/>
      <c r="AW26" s="55"/>
      <c r="AX26" s="55"/>
      <c r="AY26" s="55"/>
      <c r="AZ26" s="55"/>
      <c r="BA26" s="55"/>
      <c r="BB26" s="55"/>
      <c r="BC26" s="55"/>
      <c r="BD26" s="55"/>
      <c r="BE26" s="55"/>
      <c r="BF26" s="55"/>
      <c r="BG26" s="55"/>
      <c r="BH26" s="55"/>
      <c r="BI26" s="55"/>
    </row>
    <row r="27" spans="1:61" ht="15" customHeight="1" x14ac:dyDescent="0.25">
      <c r="A27" s="55"/>
      <c r="B27" s="301"/>
      <c r="C27" s="301"/>
      <c r="D27" s="302"/>
      <c r="E27" s="279"/>
      <c r="F27" s="274"/>
      <c r="G27" s="274"/>
      <c r="H27" s="274"/>
      <c r="I27" s="274"/>
      <c r="J27" s="102" t="str">
        <f>IF(AND('Mapa final'!$AB$67="Muy Alta",'Mapa final'!$AD$67="Leve"),CONCATENATE("R22C",'Mapa final'!$R$67),"")</f>
        <v/>
      </c>
      <c r="K27" s="41" t="str">
        <f>IF(AND('Mapa final'!$AB$68="Muy Alta",'Mapa final'!$AD$68="Leve"),CONCATENATE("R22C",'Mapa final'!$R$68),"")</f>
        <v/>
      </c>
      <c r="L27" s="103" t="str">
        <f>IF(AND('Mapa final'!$AB$69="Muy Alta",'Mapa final'!$AD$69="Leve"),CONCATENATE("R22C",'Mapa final'!$R$69),"")</f>
        <v/>
      </c>
      <c r="M27" s="102" t="str">
        <f>IF(AND('Mapa final'!$AB$67="Muy Alta",'Mapa final'!$AD$67="Menor"),CONCATENATE("R22C",'Mapa final'!$R$67),"")</f>
        <v/>
      </c>
      <c r="N27" s="41" t="str">
        <f>IF(AND('Mapa final'!$AB$68="Muy Alta",'Mapa final'!$AD$68="Menor"),CONCATENATE("R22C",'Mapa final'!$R$68),"")</f>
        <v/>
      </c>
      <c r="O27" s="103" t="str">
        <f>IF(AND('Mapa final'!$AB$69="Muy Alta",'Mapa final'!$AD$69="Menor"),CONCATENATE("R22C",'Mapa final'!$R$69),"")</f>
        <v/>
      </c>
      <c r="P27" s="102" t="str">
        <f>IF(AND('Mapa final'!$AB$67="Muy Alta",'Mapa final'!$AD$67="Moderado"),CONCATENATE("R22C",'Mapa final'!$R$67),"")</f>
        <v/>
      </c>
      <c r="Q27" s="41" t="str">
        <f>IF(AND('Mapa final'!$AB$68="Muy Alta",'Mapa final'!$AD$68="Moderado"),CONCATENATE("R22C",'Mapa final'!$R$68),"")</f>
        <v/>
      </c>
      <c r="R27" s="103" t="str">
        <f>IF(AND('Mapa final'!$AB$69="Muy Alta",'Mapa final'!$AD$69="Moderado"),CONCATENATE("R22C",'Mapa final'!$R$69),"")</f>
        <v/>
      </c>
      <c r="S27" s="102" t="str">
        <f>IF(AND('Mapa final'!$AB$67="Muy Alta",'Mapa final'!$AD$67="Mayor"),CONCATENATE("R22C",'Mapa final'!$R$67),"")</f>
        <v/>
      </c>
      <c r="T27" s="41" t="str">
        <f>IF(AND('Mapa final'!$AB$68="Muy Alta",'Mapa final'!$AD$68="Mayor"),CONCATENATE("R22C",'Mapa final'!$R$68),"")</f>
        <v/>
      </c>
      <c r="U27" s="103" t="str">
        <f>IF(AND('Mapa final'!$AB$69="Muy Alta",'Mapa final'!$AD$69="Mayor"),CONCATENATE("R22C",'Mapa final'!$R$69),"")</f>
        <v/>
      </c>
      <c r="V27" s="42" t="str">
        <f>IF(AND('Mapa final'!$AB$67="Muy Alta",'Mapa final'!$AD$67="Catastrófico"),CONCATENATE("R22C",'Mapa final'!$R$67),"")</f>
        <v/>
      </c>
      <c r="W27" s="43" t="str">
        <f>IF(AND('Mapa final'!$AB$68="Muy Alta",'Mapa final'!$AD$68="Catastrófico"),CONCATENATE("R22C",'Mapa final'!$R$68),"")</f>
        <v/>
      </c>
      <c r="X27" s="97" t="str">
        <f>IF(AND('Mapa final'!$AB$69="Muy Alta",'Mapa final'!$AD$69="Catastrófico"),CONCATENATE("R22C",'Mapa final'!$R$69),"")</f>
        <v/>
      </c>
      <c r="Y27" s="55"/>
      <c r="Z27" s="295"/>
      <c r="AA27" s="296"/>
      <c r="AB27" s="296"/>
      <c r="AC27" s="296"/>
      <c r="AD27" s="296"/>
      <c r="AE27" s="297"/>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row>
    <row r="28" spans="1:61" ht="15" customHeight="1" x14ac:dyDescent="0.25">
      <c r="A28" s="55"/>
      <c r="B28" s="301"/>
      <c r="C28" s="301"/>
      <c r="D28" s="302"/>
      <c r="E28" s="279"/>
      <c r="F28" s="274"/>
      <c r="G28" s="274"/>
      <c r="H28" s="274"/>
      <c r="I28" s="274"/>
      <c r="J28" s="102" t="str">
        <f>IF(AND('Mapa final'!$AB$73="Muy Alta",'Mapa final'!$AD$73="Leve"),CONCATENATE("R23C",'Mapa final'!$R$73),"")</f>
        <v/>
      </c>
      <c r="K28" s="41" t="str">
        <f>IF(AND('Mapa final'!$AB$74="Muy Alta",'Mapa final'!$AD$74="Leve"),CONCATENATE("R23C",'Mapa final'!$R$74),"")</f>
        <v/>
      </c>
      <c r="L28" s="103" t="str">
        <f>IF(AND('Mapa final'!$AB$75="Muy Alta",'Mapa final'!$AD$75="Leve"),CONCATENATE("R23C",'Mapa final'!$R$75),"")</f>
        <v/>
      </c>
      <c r="M28" s="102" t="str">
        <f>IF(AND('Mapa final'!$AB$73="Muy Alta",'Mapa final'!$AD$73="Menor"),CONCATENATE("R23C",'Mapa final'!$R$73),"")</f>
        <v/>
      </c>
      <c r="N28" s="41" t="str">
        <f>IF(AND('Mapa final'!$AB$74="Muy Alta",'Mapa final'!$AD$74="Menor"),CONCATENATE("R23C",'Mapa final'!$R$74),"")</f>
        <v/>
      </c>
      <c r="O28" s="103" t="str">
        <f>IF(AND('Mapa final'!$AB$75="Muy Alta",'Mapa final'!$AD$75="Menor"),CONCATENATE("R23C",'Mapa final'!$R$75),"")</f>
        <v/>
      </c>
      <c r="P28" s="102" t="str">
        <f>IF(AND('Mapa final'!$AB$73="Muy Alta",'Mapa final'!$AD$73="Moderado"),CONCATENATE("R23C",'Mapa final'!$R$73),"")</f>
        <v/>
      </c>
      <c r="Q28" s="41" t="str">
        <f>IF(AND('Mapa final'!$AB$74="Muy Alta",'Mapa final'!$AD$74="Moderado"),CONCATENATE("R23C",'Mapa final'!$R$74),"")</f>
        <v/>
      </c>
      <c r="R28" s="103" t="str">
        <f>IF(AND('Mapa final'!$AB$75="Muy Alta",'Mapa final'!$AD$75="Moderado"),CONCATENATE("R23C",'Mapa final'!$R$75),"")</f>
        <v/>
      </c>
      <c r="S28" s="102" t="str">
        <f>IF(AND('Mapa final'!$AB$73="Muy Alta",'Mapa final'!$AD$73="Mayor"),CONCATENATE("R23C",'Mapa final'!$R$73),"")</f>
        <v/>
      </c>
      <c r="T28" s="41" t="str">
        <f>IF(AND('Mapa final'!$AB$74="Muy Alta",'Mapa final'!$AD$74="Mayor"),CONCATENATE("R23C",'Mapa final'!$R$74),"")</f>
        <v/>
      </c>
      <c r="U28" s="103" t="str">
        <f>IF(AND('Mapa final'!$AB$75="Muy Alta",'Mapa final'!$AD$75="Mayor"),CONCATENATE("R23C",'Mapa final'!$R$75),"")</f>
        <v/>
      </c>
      <c r="V28" s="42" t="str">
        <f>IF(AND('Mapa final'!$AB$73="Muy Alta",'Mapa final'!$AD$73="Catastrófico"),CONCATENATE("R23C",'Mapa final'!$R$73),"")</f>
        <v/>
      </c>
      <c r="W28" s="43" t="str">
        <f>IF(AND('Mapa final'!$AB$74="Muy Alta",'Mapa final'!$AD$74="Catastrófico"),CONCATENATE("R23C",'Mapa final'!$R$74),"")</f>
        <v/>
      </c>
      <c r="X28" s="97" t="str">
        <f>IF(AND('Mapa final'!$AB$75="Muy Alta",'Mapa final'!$AD$75="Catastrófico"),CONCATENATE("R23C",'Mapa final'!$R$75),"")</f>
        <v/>
      </c>
      <c r="Y28" s="55"/>
      <c r="Z28" s="295"/>
      <c r="AA28" s="296"/>
      <c r="AB28" s="296"/>
      <c r="AC28" s="296"/>
      <c r="AD28" s="296"/>
      <c r="AE28" s="297"/>
      <c r="AF28" s="55"/>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c r="BE28" s="55"/>
      <c r="BF28" s="55"/>
      <c r="BG28" s="55"/>
      <c r="BH28" s="55"/>
      <c r="BI28" s="55"/>
    </row>
    <row r="29" spans="1:61" ht="15" customHeight="1" x14ac:dyDescent="0.25">
      <c r="A29" s="55"/>
      <c r="B29" s="301"/>
      <c r="C29" s="301"/>
      <c r="D29" s="302"/>
      <c r="E29" s="279"/>
      <c r="F29" s="274"/>
      <c r="G29" s="274"/>
      <c r="H29" s="274"/>
      <c r="I29" s="274"/>
      <c r="J29" s="102" t="str">
        <f>IF(AND('Mapa final'!$AB$76="Muy Alta",'Mapa final'!$AD$76="Leve"),CONCATENATE("R24C",'Mapa final'!$R$76),"")</f>
        <v/>
      </c>
      <c r="K29" s="41" t="str">
        <f>IF(AND('Mapa final'!$AB$77="Muy Alta",'Mapa final'!$AD$77="Leve"),CONCATENATE("R24C",'Mapa final'!$R$77),"")</f>
        <v/>
      </c>
      <c r="L29" s="103" t="str">
        <f>IF(AND('Mapa final'!$AB$78="Muy Alta",'Mapa final'!$AD$78="Leve"),CONCATENATE("R24C",'Mapa final'!$R$78),"")</f>
        <v/>
      </c>
      <c r="M29" s="102" t="str">
        <f>IF(AND('Mapa final'!$AB$76="Muy Alta",'Mapa final'!$AD$76="Menor"),CONCATENATE("R24C",'Mapa final'!$R$76),"")</f>
        <v/>
      </c>
      <c r="N29" s="41" t="str">
        <f>IF(AND('Mapa final'!$AB$77="Muy Alta",'Mapa final'!$AD$77="Menor"),CONCATENATE("R24C",'Mapa final'!$R$77),"")</f>
        <v/>
      </c>
      <c r="O29" s="103" t="str">
        <f>IF(AND('Mapa final'!$AB$78="Muy Alta",'Mapa final'!$AD$78="Menor"),CONCATENATE("R24C",'Mapa final'!$R$78),"")</f>
        <v/>
      </c>
      <c r="P29" s="102" t="str">
        <f>IF(AND('Mapa final'!$AB$76="Muy Alta",'Mapa final'!$AD$76="Moderado"),CONCATENATE("R24C",'Mapa final'!$R$76),"")</f>
        <v/>
      </c>
      <c r="Q29" s="41" t="str">
        <f>IF(AND('Mapa final'!$AB$77="Muy Alta",'Mapa final'!$AD$77="Moderado"),CONCATENATE("R24C",'Mapa final'!$R$77),"")</f>
        <v/>
      </c>
      <c r="R29" s="103" t="str">
        <f>IF(AND('Mapa final'!$AB$78="Muy Alta",'Mapa final'!$AD$78="Moderado"),CONCATENATE("R24C",'Mapa final'!$R$78),"")</f>
        <v/>
      </c>
      <c r="S29" s="102" t="str">
        <f>IF(AND('Mapa final'!$AB$76="Muy Alta",'Mapa final'!$AD$76="Mayor"),CONCATENATE("R24C",'Mapa final'!$R$76),"")</f>
        <v/>
      </c>
      <c r="T29" s="41" t="str">
        <f>IF(AND('Mapa final'!$AB$77="Muy Alta",'Mapa final'!$AD$77="Mayor"),CONCATENATE("R24C",'Mapa final'!$R$77),"")</f>
        <v/>
      </c>
      <c r="U29" s="103" t="str">
        <f>IF(AND('Mapa final'!$AB$78="Muy Alta",'Mapa final'!$AD$78="Mayor"),CONCATENATE("R24C",'Mapa final'!$R$78),"")</f>
        <v/>
      </c>
      <c r="V29" s="42" t="str">
        <f>IF(AND('Mapa final'!$AB$76="Muy Alta",'Mapa final'!$AD$76="Catastrófico"),CONCATENATE("R24C",'Mapa final'!$R$76),"")</f>
        <v/>
      </c>
      <c r="W29" s="43" t="str">
        <f>IF(AND('Mapa final'!$AB$77="Muy Alta",'Mapa final'!$AD$77="Catastrófico"),CONCATENATE("R24C",'Mapa final'!$R$77),"")</f>
        <v/>
      </c>
      <c r="X29" s="97" t="str">
        <f>IF(AND('Mapa final'!$AB$78="Muy Alta",'Mapa final'!$AD$78="Catastrófico"),CONCATENATE("R24C",'Mapa final'!$R$78),"")</f>
        <v/>
      </c>
      <c r="Y29" s="55"/>
      <c r="Z29" s="295"/>
      <c r="AA29" s="296"/>
      <c r="AB29" s="296"/>
      <c r="AC29" s="296"/>
      <c r="AD29" s="296"/>
      <c r="AE29" s="297"/>
      <c r="AF29" s="55"/>
      <c r="AG29" s="55"/>
      <c r="AH29" s="55"/>
      <c r="AI29" s="55"/>
      <c r="AJ29" s="55"/>
      <c r="AK29" s="55"/>
      <c r="AL29" s="55"/>
      <c r="AM29" s="55"/>
      <c r="AN29" s="55"/>
      <c r="AO29" s="55"/>
      <c r="AP29" s="55"/>
      <c r="AQ29" s="55"/>
      <c r="AR29" s="55"/>
      <c r="AS29" s="55"/>
      <c r="AT29" s="55"/>
      <c r="AU29" s="55"/>
      <c r="AV29" s="55"/>
      <c r="AW29" s="55"/>
      <c r="AX29" s="55"/>
      <c r="AY29" s="55"/>
      <c r="AZ29" s="55"/>
      <c r="BA29" s="55"/>
      <c r="BB29" s="55"/>
      <c r="BC29" s="55"/>
      <c r="BD29" s="55"/>
      <c r="BE29" s="55"/>
      <c r="BF29" s="55"/>
      <c r="BG29" s="55"/>
      <c r="BH29" s="55"/>
      <c r="BI29" s="55"/>
    </row>
    <row r="30" spans="1:61" ht="15" customHeight="1" x14ac:dyDescent="0.25">
      <c r="A30" s="55"/>
      <c r="B30" s="301"/>
      <c r="C30" s="301"/>
      <c r="D30" s="302"/>
      <c r="E30" s="279"/>
      <c r="F30" s="274"/>
      <c r="G30" s="274"/>
      <c r="H30" s="274"/>
      <c r="I30" s="274"/>
      <c r="J30" s="102" t="str">
        <f>IF(AND('Mapa final'!$AB$79="Muy Alta",'Mapa final'!$AD$79="Leve"),CONCATENATE("R25C",'Mapa final'!$R$79),"")</f>
        <v/>
      </c>
      <c r="K30" s="41" t="str">
        <f>IF(AND('Mapa final'!$AB$80="Muy Alta",'Mapa final'!$AD$80="Leve"),CONCATENATE("R25C",'Mapa final'!$R$80),"")</f>
        <v/>
      </c>
      <c r="L30" s="103" t="str">
        <f>IF(AND('Mapa final'!$AB$81="Muy Alta",'Mapa final'!$AD$81="Leve"),CONCATENATE("R25C",'Mapa final'!$R$81),"")</f>
        <v/>
      </c>
      <c r="M30" s="102" t="str">
        <f>IF(AND('Mapa final'!$AB$79="Muy Alta",'Mapa final'!$AD$79="Menor"),CONCATENATE("R25C",'Mapa final'!$R$79),"")</f>
        <v/>
      </c>
      <c r="N30" s="41" t="str">
        <f>IF(AND('Mapa final'!$AB$80="Muy Alta",'Mapa final'!$AD$80="Menor"),CONCATENATE("R25C",'Mapa final'!$R$80),"")</f>
        <v/>
      </c>
      <c r="O30" s="103" t="str">
        <f>IF(AND('Mapa final'!$AB$81="Muy Alta",'Mapa final'!$AD$81="Menor"),CONCATENATE("R25C",'Mapa final'!$R$81),"")</f>
        <v/>
      </c>
      <c r="P30" s="102" t="str">
        <f>IF(AND('Mapa final'!$AB$79="Muy Alta",'Mapa final'!$AD$79="Moderado"),CONCATENATE("R25C",'Mapa final'!$R$79),"")</f>
        <v/>
      </c>
      <c r="Q30" s="41" t="str">
        <f>IF(AND('Mapa final'!$AB$80="Muy Alta",'Mapa final'!$AD$80="Moderado"),CONCATENATE("R25C",'Mapa final'!$R$80),"")</f>
        <v/>
      </c>
      <c r="R30" s="103" t="str">
        <f>IF(AND('Mapa final'!$AB$81="Muy Alta",'Mapa final'!$AD$81="Moderado"),CONCATENATE("R25C",'Mapa final'!$R$81),"")</f>
        <v/>
      </c>
      <c r="S30" s="102" t="str">
        <f>IF(AND('Mapa final'!$AB$79="Muy Alta",'Mapa final'!$AD$79="Mayor"),CONCATENATE("R25C",'Mapa final'!$R$79),"")</f>
        <v/>
      </c>
      <c r="T30" s="41" t="str">
        <f>IF(AND('Mapa final'!$AB$80="Muy Alta",'Mapa final'!$AD$80="Mayor"),CONCATENATE("R25C",'Mapa final'!$R$80),"")</f>
        <v/>
      </c>
      <c r="U30" s="103" t="str">
        <f>IF(AND('Mapa final'!$AB$81="Muy Alta",'Mapa final'!$AD$81="Mayor"),CONCATENATE("R25C",'Mapa final'!$R$81),"")</f>
        <v/>
      </c>
      <c r="V30" s="42" t="str">
        <f>IF(AND('Mapa final'!$AB$79="Muy Alta",'Mapa final'!$AD$79="Catastrófico"),CONCATENATE("R25C",'Mapa final'!$R$79),"")</f>
        <v/>
      </c>
      <c r="W30" s="43" t="str">
        <f>IF(AND('Mapa final'!$AB$80="Muy Alta",'Mapa final'!$AD$80="Catastrófico"),CONCATENATE("R25C",'Mapa final'!$R$80),"")</f>
        <v/>
      </c>
      <c r="X30" s="97" t="str">
        <f>IF(AND('Mapa final'!$AB$81="Muy Alta",'Mapa final'!$AD$81="Catastrófico"),CONCATENATE("R25C",'Mapa final'!$R$81),"")</f>
        <v/>
      </c>
      <c r="Y30" s="55"/>
      <c r="Z30" s="295"/>
      <c r="AA30" s="296"/>
      <c r="AB30" s="296"/>
      <c r="AC30" s="296"/>
      <c r="AD30" s="296"/>
      <c r="AE30" s="297"/>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row>
    <row r="31" spans="1:61" ht="15" customHeight="1" x14ac:dyDescent="0.25">
      <c r="A31" s="55"/>
      <c r="B31" s="301"/>
      <c r="C31" s="301"/>
      <c r="D31" s="302"/>
      <c r="E31" s="279"/>
      <c r="F31" s="274"/>
      <c r="G31" s="274"/>
      <c r="H31" s="274"/>
      <c r="I31" s="274"/>
      <c r="J31" s="102" t="str">
        <f>IF(AND('Mapa final'!$AB$82="Muy Alta",'Mapa final'!$AD$82="Leve"),CONCATENATE("R26C",'Mapa final'!$R$82),"")</f>
        <v/>
      </c>
      <c r="K31" s="41" t="str">
        <f>IF(AND('Mapa final'!$AB$83="Muy Alta",'Mapa final'!$AD$83="Leve"),CONCATENATE("R26C",'Mapa final'!$R$83),"")</f>
        <v/>
      </c>
      <c r="L31" s="103" t="str">
        <f>IF(AND('Mapa final'!$AB$84="Muy Alta",'Mapa final'!$AD$84="Leve"),CONCATENATE("R26C",'Mapa final'!$R$84),"")</f>
        <v/>
      </c>
      <c r="M31" s="102" t="str">
        <f>IF(AND('Mapa final'!$AB$82="Muy Alta",'Mapa final'!$AD$82="Menor"),CONCATENATE("R26C",'Mapa final'!$R$82),"")</f>
        <v/>
      </c>
      <c r="N31" s="41" t="str">
        <f>IF(AND('Mapa final'!$AB$83="Muy Alta",'Mapa final'!$AD$83="Menor"),CONCATENATE("R26C",'Mapa final'!$R$83),"")</f>
        <v/>
      </c>
      <c r="O31" s="103" t="str">
        <f>IF(AND('Mapa final'!$AB$84="Muy Alta",'Mapa final'!$AD$84="Menor"),CONCATENATE("R26C",'Mapa final'!$R$84),"")</f>
        <v/>
      </c>
      <c r="P31" s="102" t="str">
        <f>IF(AND('Mapa final'!$AB$82="Muy Alta",'Mapa final'!$AD$82="Moderado"),CONCATENATE("R26C",'Mapa final'!$R$82),"")</f>
        <v/>
      </c>
      <c r="Q31" s="41" t="str">
        <f>IF(AND('Mapa final'!$AB$83="Muy Alta",'Mapa final'!$AD$83="Moderado"),CONCATENATE("R26C",'Mapa final'!$R$83),"")</f>
        <v/>
      </c>
      <c r="R31" s="103" t="str">
        <f>IF(AND('Mapa final'!$AB$84="Muy Alta",'Mapa final'!$AD$84="Moderado"),CONCATENATE("R26C",'Mapa final'!$R$84),"")</f>
        <v/>
      </c>
      <c r="S31" s="102" t="str">
        <f>IF(AND('Mapa final'!$AB$82="Muy Alta",'Mapa final'!$AD$82="Mayor"),CONCATENATE("R26C",'Mapa final'!$R$82),"")</f>
        <v/>
      </c>
      <c r="T31" s="41" t="str">
        <f>IF(AND('Mapa final'!$AB$83="Muy Alta",'Mapa final'!$AD$83="Mayor"),CONCATENATE("R26C",'Mapa final'!$R$83),"")</f>
        <v/>
      </c>
      <c r="U31" s="103" t="str">
        <f>IF(AND('Mapa final'!$AB$84="Muy Alta",'Mapa final'!$AD$84="Mayor"),CONCATENATE("R26C",'Mapa final'!$R$84),"")</f>
        <v/>
      </c>
      <c r="V31" s="42" t="str">
        <f>IF(AND('Mapa final'!$AB$82="Muy Alta",'Mapa final'!$AD$82="Catastrófico"),CONCATENATE("R26C",'Mapa final'!$R$82),"")</f>
        <v/>
      </c>
      <c r="W31" s="43" t="str">
        <f>IF(AND('Mapa final'!$AB$83="Muy Alta",'Mapa final'!$AD$83="Catastrófico"),CONCATENATE("R26C",'Mapa final'!$R$83),"")</f>
        <v/>
      </c>
      <c r="X31" s="97" t="str">
        <f>IF(AND('Mapa final'!$AB$84="Muy Alta",'Mapa final'!$AD$84="Catastrófico"),CONCATENATE("R26C",'Mapa final'!$R$84),"")</f>
        <v/>
      </c>
      <c r="Y31" s="55"/>
      <c r="Z31" s="295"/>
      <c r="AA31" s="296"/>
      <c r="AB31" s="296"/>
      <c r="AC31" s="296"/>
      <c r="AD31" s="296"/>
      <c r="AE31" s="297"/>
      <c r="AF31" s="55"/>
      <c r="AG31" s="55"/>
      <c r="AH31" s="55"/>
      <c r="AI31" s="55"/>
      <c r="AJ31" s="55"/>
      <c r="AK31" s="55"/>
      <c r="AL31" s="55"/>
      <c r="AM31" s="55"/>
      <c r="AN31" s="55"/>
      <c r="AO31" s="55"/>
      <c r="AP31" s="55"/>
      <c r="AQ31" s="55"/>
      <c r="AR31" s="55"/>
      <c r="AS31" s="55"/>
      <c r="AT31" s="55"/>
      <c r="AU31" s="55"/>
      <c r="AV31" s="55"/>
      <c r="AW31" s="55"/>
      <c r="AX31" s="55"/>
      <c r="AY31" s="55"/>
      <c r="AZ31" s="55"/>
      <c r="BA31" s="55"/>
      <c r="BB31" s="55"/>
      <c r="BC31" s="55"/>
      <c r="BD31" s="55"/>
      <c r="BE31" s="55"/>
      <c r="BF31" s="55"/>
      <c r="BG31" s="55"/>
      <c r="BH31" s="55"/>
      <c r="BI31" s="55"/>
    </row>
    <row r="32" spans="1:61" ht="15" customHeight="1" x14ac:dyDescent="0.25">
      <c r="A32" s="55"/>
      <c r="B32" s="301"/>
      <c r="C32" s="301"/>
      <c r="D32" s="302"/>
      <c r="E32" s="279"/>
      <c r="F32" s="274"/>
      <c r="G32" s="274"/>
      <c r="H32" s="274"/>
      <c r="I32" s="274"/>
      <c r="J32" s="102" t="str">
        <f>IF(AND('Mapa final'!$AB$85="Muy Alta",'Mapa final'!$AD$85="Leve"),CONCATENATE("R27C",'Mapa final'!$R$85),"")</f>
        <v/>
      </c>
      <c r="K32" s="41" t="str">
        <f>IF(AND('Mapa final'!$AB$86="Muy Alta",'Mapa final'!$AD$86="Leve"),CONCATENATE("R27C",'Mapa final'!$R$86),"")</f>
        <v/>
      </c>
      <c r="L32" s="103" t="str">
        <f>IF(AND('Mapa final'!$AB$87="Muy Alta",'Mapa final'!$AD$87="Leve"),CONCATENATE("R27C",'Mapa final'!$R$87),"")</f>
        <v/>
      </c>
      <c r="M32" s="102" t="str">
        <f>IF(AND('Mapa final'!$AB$85="Muy Alta",'Mapa final'!$AD$85="Menor"),CONCATENATE("R27C",'Mapa final'!$R$85),"")</f>
        <v/>
      </c>
      <c r="N32" s="41" t="str">
        <f>IF(AND('Mapa final'!$AB$86="Muy Alta",'Mapa final'!$AD$86="Menor"),CONCATENATE("R27C",'Mapa final'!$R$86),"")</f>
        <v/>
      </c>
      <c r="O32" s="103" t="str">
        <f>IF(AND('Mapa final'!$AB$87="Muy Alta",'Mapa final'!$AD$87="Menor"),CONCATENATE("R27C",'Mapa final'!$R$87),"")</f>
        <v/>
      </c>
      <c r="P32" s="102" t="str">
        <f>IF(AND('Mapa final'!$AB$85="Muy Alta",'Mapa final'!$AD$85="Moderado"),CONCATENATE("R27C",'Mapa final'!$R$85),"")</f>
        <v/>
      </c>
      <c r="Q32" s="41" t="str">
        <f>IF(AND('Mapa final'!$AB$86="Muy Alta",'Mapa final'!$AD$86="Moderado"),CONCATENATE("R27C",'Mapa final'!$R$86),"")</f>
        <v/>
      </c>
      <c r="R32" s="103" t="str">
        <f>IF(AND('Mapa final'!$AB$87="Muy Alta",'Mapa final'!$AD$87="Moderado"),CONCATENATE("R27C",'Mapa final'!$R$87),"")</f>
        <v/>
      </c>
      <c r="S32" s="102" t="str">
        <f>IF(AND('Mapa final'!$AB$85="Muy Alta",'Mapa final'!$AD$85="Mayor"),CONCATENATE("R27C",'Mapa final'!$R$85),"")</f>
        <v/>
      </c>
      <c r="T32" s="41" t="str">
        <f>IF(AND('Mapa final'!$AB$86="Muy Alta",'Mapa final'!$AD$86="Mayor"),CONCATENATE("R27C",'Mapa final'!$R$86),"")</f>
        <v/>
      </c>
      <c r="U32" s="103" t="str">
        <f>IF(AND('Mapa final'!$AB$87="Muy Alta",'Mapa final'!$AD$87="Mayor"),CONCATENATE("R27C",'Mapa final'!$R$87),"")</f>
        <v/>
      </c>
      <c r="V32" s="42" t="str">
        <f>IF(AND('Mapa final'!$AB$85="Muy Alta",'Mapa final'!$AD$85="Catastrófico"),CONCATENATE("R27C",'Mapa final'!$R$85),"")</f>
        <v/>
      </c>
      <c r="W32" s="43" t="str">
        <f>IF(AND('Mapa final'!$AB$86="Muy Alta",'Mapa final'!$AD$86="Catastrófico"),CONCATENATE("R27C",'Mapa final'!$R$86),"")</f>
        <v/>
      </c>
      <c r="X32" s="97" t="str">
        <f>IF(AND('Mapa final'!$AB$87="Muy Alta",'Mapa final'!$AD$87="Catastrófico"),CONCATENATE("R27C",'Mapa final'!$R$87),"")</f>
        <v/>
      </c>
      <c r="Y32" s="55"/>
      <c r="Z32" s="295"/>
      <c r="AA32" s="296"/>
      <c r="AB32" s="296"/>
      <c r="AC32" s="296"/>
      <c r="AD32" s="296"/>
      <c r="AE32" s="297"/>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row>
    <row r="33" spans="1:61" ht="15" customHeight="1" x14ac:dyDescent="0.25">
      <c r="A33" s="55"/>
      <c r="B33" s="301"/>
      <c r="C33" s="301"/>
      <c r="D33" s="302"/>
      <c r="E33" s="279"/>
      <c r="F33" s="274"/>
      <c r="G33" s="274"/>
      <c r="H33" s="274"/>
      <c r="I33" s="274"/>
      <c r="J33" s="102" t="str">
        <f>IF(AND('Mapa final'!$AB$88="Muy Alta",'Mapa final'!$AD$88="Leve"),CONCATENATE("R28C",'Mapa final'!$R$88),"")</f>
        <v/>
      </c>
      <c r="K33" s="41" t="str">
        <f>IF(AND('Mapa final'!$AB$89="Muy Alta",'Mapa final'!$AD$89="Leve"),CONCATENATE("R28C",'Mapa final'!$R$89),"")</f>
        <v/>
      </c>
      <c r="L33" s="103" t="str">
        <f>IF(AND('Mapa final'!$AB$90="Muy Alta",'Mapa final'!$AD$90="Leve"),CONCATENATE("R28C",'Mapa final'!$R$90),"")</f>
        <v/>
      </c>
      <c r="M33" s="102" t="str">
        <f>IF(AND('Mapa final'!$AB$88="Muy Alta",'Mapa final'!$AD$88="Menor"),CONCATENATE("R28C",'Mapa final'!$R$88),"")</f>
        <v/>
      </c>
      <c r="N33" s="41" t="str">
        <f>IF(AND('Mapa final'!$AB$89="Muy Alta",'Mapa final'!$AD$89="Menor"),CONCATENATE("R28C",'Mapa final'!$R$89),"")</f>
        <v/>
      </c>
      <c r="O33" s="103" t="str">
        <f>IF(AND('Mapa final'!$AB$90="Muy Alta",'Mapa final'!$AD$90="Menor"),CONCATENATE("R28C",'Mapa final'!$R$90),"")</f>
        <v/>
      </c>
      <c r="P33" s="102" t="str">
        <f>IF(AND('Mapa final'!$AB$88="Muy Alta",'Mapa final'!$AD$88="Moderado"),CONCATENATE("R28C",'Mapa final'!$R$88),"")</f>
        <v/>
      </c>
      <c r="Q33" s="41" t="str">
        <f>IF(AND('Mapa final'!$AB$89="Muy Alta",'Mapa final'!$AD$89="Moderado"),CONCATENATE("R28C",'Mapa final'!$R$89),"")</f>
        <v/>
      </c>
      <c r="R33" s="103" t="str">
        <f>IF(AND('Mapa final'!$AB$90="Muy Alta",'Mapa final'!$AD$90="Moderado"),CONCATENATE("R28C",'Mapa final'!$R$90),"")</f>
        <v/>
      </c>
      <c r="S33" s="102" t="str">
        <f>IF(AND('Mapa final'!$AB$88="Muy Alta",'Mapa final'!$AD$88="Mayor"),CONCATENATE("R28C",'Mapa final'!$R$88),"")</f>
        <v/>
      </c>
      <c r="T33" s="41" t="str">
        <f>IF(AND('Mapa final'!$AB$89="Muy Alta",'Mapa final'!$AD$89="Mayor"),CONCATENATE("R28C",'Mapa final'!$R$89),"")</f>
        <v/>
      </c>
      <c r="U33" s="103" t="str">
        <f>IF(AND('Mapa final'!$AB$90="Muy Alta",'Mapa final'!$AD$90="Mayor"),CONCATENATE("R28C",'Mapa final'!$R$90),"")</f>
        <v/>
      </c>
      <c r="V33" s="42" t="str">
        <f>IF(AND('Mapa final'!$AB$88="Muy Alta",'Mapa final'!$AD$88="Catastrófico"),CONCATENATE("R28C",'Mapa final'!$R$88),"")</f>
        <v/>
      </c>
      <c r="W33" s="43" t="str">
        <f>IF(AND('Mapa final'!$AB$89="Muy Alta",'Mapa final'!$AD$89="Catastrófico"),CONCATENATE("R28C",'Mapa final'!$R$89),"")</f>
        <v/>
      </c>
      <c r="X33" s="97" t="str">
        <f>IF(AND('Mapa final'!$AB$90="Muy Alta",'Mapa final'!$AD$90="Catastrófico"),CONCATENATE("R28C",'Mapa final'!$R$90),"")</f>
        <v/>
      </c>
      <c r="Y33" s="55"/>
      <c r="Z33" s="295"/>
      <c r="AA33" s="296"/>
      <c r="AB33" s="296"/>
      <c r="AC33" s="296"/>
      <c r="AD33" s="296"/>
      <c r="AE33" s="297"/>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55"/>
      <c r="BG33" s="55"/>
      <c r="BH33" s="55"/>
      <c r="BI33" s="55"/>
    </row>
    <row r="34" spans="1:61" ht="15" customHeight="1" x14ac:dyDescent="0.25">
      <c r="A34" s="55"/>
      <c r="B34" s="301"/>
      <c r="C34" s="301"/>
      <c r="D34" s="302"/>
      <c r="E34" s="279"/>
      <c r="F34" s="274"/>
      <c r="G34" s="274"/>
      <c r="H34" s="274"/>
      <c r="I34" s="274"/>
      <c r="J34" s="102" t="str">
        <f>IF(AND('Mapa final'!$AB$91="Muy Alta",'Mapa final'!$AD$91="Leve"),CONCATENATE("R29C",'Mapa final'!$R$91),"")</f>
        <v/>
      </c>
      <c r="K34" s="41" t="str">
        <f>IF(AND('Mapa final'!$AB$92="Muy Alta",'Mapa final'!$AD$92="Leve"),CONCATENATE("R29C",'Mapa final'!$R$92),"")</f>
        <v/>
      </c>
      <c r="L34" s="103" t="str">
        <f>IF(AND('Mapa final'!$AB$93="Muy Alta",'Mapa final'!$AD$93="Leve"),CONCATENATE("R29C",'Mapa final'!$R$93),"")</f>
        <v/>
      </c>
      <c r="M34" s="102" t="str">
        <f>IF(AND('Mapa final'!$AB$91="Muy Alta",'Mapa final'!$AD$91="Menor"),CONCATENATE("R29C",'Mapa final'!$R$91),"")</f>
        <v/>
      </c>
      <c r="N34" s="41" t="str">
        <f>IF(AND('Mapa final'!$AB$92="Muy Alta",'Mapa final'!$AD$92="Menor"),CONCATENATE("R29C",'Mapa final'!$R$92),"")</f>
        <v/>
      </c>
      <c r="O34" s="103" t="str">
        <f>IF(AND('Mapa final'!$AB$93="Muy Alta",'Mapa final'!$AD$93="Menor"),CONCATENATE("R29C",'Mapa final'!$R$93),"")</f>
        <v/>
      </c>
      <c r="P34" s="102" t="str">
        <f>IF(AND('Mapa final'!$AB$91="Muy Alta",'Mapa final'!$AD$91="Moderado"),CONCATENATE("R29C",'Mapa final'!$R$91),"")</f>
        <v/>
      </c>
      <c r="Q34" s="41" t="str">
        <f>IF(AND('Mapa final'!$AB$92="Muy Alta",'Mapa final'!$AD$92="Moderado"),CONCATENATE("R29C",'Mapa final'!$R$92),"")</f>
        <v/>
      </c>
      <c r="R34" s="103" t="str">
        <f>IF(AND('Mapa final'!$AB$93="Muy Alta",'Mapa final'!$AD$93="Moderado"),CONCATENATE("R29C",'Mapa final'!$R$93),"")</f>
        <v/>
      </c>
      <c r="S34" s="102" t="str">
        <f>IF(AND('Mapa final'!$AB$91="Muy Alta",'Mapa final'!$AD$91="Mayor"),CONCATENATE("R29C",'Mapa final'!$R$91),"")</f>
        <v/>
      </c>
      <c r="T34" s="41" t="str">
        <f>IF(AND('Mapa final'!$AB$92="Muy Alta",'Mapa final'!$AD$92="Mayor"),CONCATENATE("R29C",'Mapa final'!$R$92),"")</f>
        <v/>
      </c>
      <c r="U34" s="103" t="str">
        <f>IF(AND('Mapa final'!$AB$93="Muy Alta",'Mapa final'!$AD$93="Mayor"),CONCATENATE("R29C",'Mapa final'!$R$93),"")</f>
        <v/>
      </c>
      <c r="V34" s="42" t="str">
        <f>IF(AND('Mapa final'!$AB$91="Muy Alta",'Mapa final'!$AD$91="Catastrófico"),CONCATENATE("R29C",'Mapa final'!$R$91),"")</f>
        <v/>
      </c>
      <c r="W34" s="43" t="str">
        <f>IF(AND('Mapa final'!$AB$92="Muy Alta",'Mapa final'!$AD$92="Catastrófico"),CONCATENATE("R29C",'Mapa final'!$R$92),"")</f>
        <v/>
      </c>
      <c r="X34" s="97" t="str">
        <f>IF(AND('Mapa final'!$AB$93="Muy Alta",'Mapa final'!$AD$93="Catastrófico"),CONCATENATE("R29C",'Mapa final'!$R$93),"")</f>
        <v/>
      </c>
      <c r="Y34" s="55"/>
      <c r="Z34" s="295"/>
      <c r="AA34" s="296"/>
      <c r="AB34" s="296"/>
      <c r="AC34" s="296"/>
      <c r="AD34" s="296"/>
      <c r="AE34" s="297"/>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row>
    <row r="35" spans="1:61" ht="15" customHeight="1" x14ac:dyDescent="0.25">
      <c r="A35" s="55"/>
      <c r="B35" s="301"/>
      <c r="C35" s="301"/>
      <c r="D35" s="302"/>
      <c r="E35" s="279"/>
      <c r="F35" s="274"/>
      <c r="G35" s="274"/>
      <c r="H35" s="274"/>
      <c r="I35" s="274"/>
      <c r="J35" s="102" t="str">
        <f>IF(AND('Mapa final'!$AB$94="Muy Alta",'Mapa final'!$AD$94="Leve"),CONCATENATE("R30C",'Mapa final'!$R$94),"")</f>
        <v/>
      </c>
      <c r="K35" s="41" t="str">
        <f>IF(AND('Mapa final'!$AB$95="Muy Alta",'Mapa final'!$AD$95="Leve"),CONCATENATE("R30C",'Mapa final'!$R$95),"")</f>
        <v/>
      </c>
      <c r="L35" s="103" t="str">
        <f>IF(AND('Mapa final'!$AB$96="Muy Alta",'Mapa final'!$AD$96="Leve"),CONCATENATE("R30C",'Mapa final'!$R$96),"")</f>
        <v/>
      </c>
      <c r="M35" s="102" t="str">
        <f>IF(AND('Mapa final'!$AB$94="Muy Alta",'Mapa final'!$AD$94="Menor"),CONCATENATE("R30C",'Mapa final'!$R$94),"")</f>
        <v/>
      </c>
      <c r="N35" s="41" t="str">
        <f>IF(AND('Mapa final'!$AB$95="Muy Alta",'Mapa final'!$AD$95="Menor"),CONCATENATE("R30C",'Mapa final'!$R$95),"")</f>
        <v/>
      </c>
      <c r="O35" s="103" t="str">
        <f>IF(AND('Mapa final'!$AB$96="Muy Alta",'Mapa final'!$AD$96="Menor"),CONCATENATE("R30C",'Mapa final'!$R$96),"")</f>
        <v/>
      </c>
      <c r="P35" s="102" t="str">
        <f>IF(AND('Mapa final'!$AB$94="Muy Alta",'Mapa final'!$AD$94="Moderado"),CONCATENATE("R30C",'Mapa final'!$R$94),"")</f>
        <v/>
      </c>
      <c r="Q35" s="41" t="str">
        <f>IF(AND('Mapa final'!$AB$95="Muy Alta",'Mapa final'!$AD$95="Moderado"),CONCATENATE("R30C",'Mapa final'!$R$95),"")</f>
        <v/>
      </c>
      <c r="R35" s="103" t="str">
        <f>IF(AND('Mapa final'!$AB$96="Muy Alta",'Mapa final'!$AD$96="Moderado"),CONCATENATE("R30C",'Mapa final'!$R$96),"")</f>
        <v/>
      </c>
      <c r="S35" s="102" t="str">
        <f>IF(AND('Mapa final'!$AB$94="Muy Alta",'Mapa final'!$AD$94="Mayor"),CONCATENATE("R30C",'Mapa final'!$R$94),"")</f>
        <v/>
      </c>
      <c r="T35" s="41" t="str">
        <f>IF(AND('Mapa final'!$AB$95="Muy Alta",'Mapa final'!$AD$95="Mayor"),CONCATENATE("R30C",'Mapa final'!$R$95),"")</f>
        <v/>
      </c>
      <c r="U35" s="103" t="str">
        <f>IF(AND('Mapa final'!$AB$96="Muy Alta",'Mapa final'!$AD$96="Mayor"),CONCATENATE("R30C",'Mapa final'!$R$96),"")</f>
        <v/>
      </c>
      <c r="V35" s="42" t="str">
        <f>IF(AND('Mapa final'!$AB$94="Muy Alta",'Mapa final'!$AD$94="Catastrófico"),CONCATENATE("R30C",'Mapa final'!$R$94),"")</f>
        <v/>
      </c>
      <c r="W35" s="43" t="str">
        <f>IF(AND('Mapa final'!$AB$95="Muy Alta",'Mapa final'!$AD$95="Catastrófico"),CONCATENATE("R30C",'Mapa final'!$R$95),"")</f>
        <v/>
      </c>
      <c r="X35" s="97" t="str">
        <f>IF(AND('Mapa final'!$AB$96="Muy Alta",'Mapa final'!$AD$96="Catastrófico"),CONCATENATE("R30C",'Mapa final'!$R$96),"")</f>
        <v/>
      </c>
      <c r="Y35" s="55"/>
      <c r="Z35" s="295"/>
      <c r="AA35" s="296"/>
      <c r="AB35" s="296"/>
      <c r="AC35" s="296"/>
      <c r="AD35" s="296"/>
      <c r="AE35" s="297"/>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row>
    <row r="36" spans="1:61" ht="15" customHeight="1" x14ac:dyDescent="0.25">
      <c r="A36" s="55"/>
      <c r="B36" s="301"/>
      <c r="C36" s="301"/>
      <c r="D36" s="302"/>
      <c r="E36" s="279"/>
      <c r="F36" s="274"/>
      <c r="G36" s="274"/>
      <c r="H36" s="274"/>
      <c r="I36" s="274"/>
      <c r="J36" s="102" t="str">
        <f>IF(AND('Mapa final'!$AB$97="Muy Alta",'Mapa final'!$AD$97="Leve"),CONCATENATE("R31C",'Mapa final'!$R$97),"")</f>
        <v/>
      </c>
      <c r="K36" s="41" t="str">
        <f>IF(AND('Mapa final'!$AB$98="Muy Alta",'Mapa final'!$AD$98="Leve"),CONCATENATE("R31C",'Mapa final'!$R$98),"")</f>
        <v/>
      </c>
      <c r="L36" s="103" t="str">
        <f>IF(AND('Mapa final'!$AB$99="Muy Alta",'Mapa final'!$AD$99="Leve"),CONCATENATE("R31C",'Mapa final'!$R$99),"")</f>
        <v/>
      </c>
      <c r="M36" s="102" t="str">
        <f>IF(AND('Mapa final'!$AB$97="Muy Alta",'Mapa final'!$AD$97="Menor"),CONCATENATE("R31C",'Mapa final'!$R$97),"")</f>
        <v/>
      </c>
      <c r="N36" s="41" t="str">
        <f>IF(AND('Mapa final'!$AB$98="Muy Alta",'Mapa final'!$AD$98="Menor"),CONCATENATE("R31C",'Mapa final'!$R$98),"")</f>
        <v/>
      </c>
      <c r="O36" s="103" t="str">
        <f>IF(AND('Mapa final'!$AB$99="Muy Alta",'Mapa final'!$AD$99="Menor"),CONCATENATE("R31C",'Mapa final'!$R$99),"")</f>
        <v/>
      </c>
      <c r="P36" s="102" t="str">
        <f>IF(AND('Mapa final'!$AB$97="Muy Alta",'Mapa final'!$AD$97="Moderado"),CONCATENATE("R31C",'Mapa final'!$R$97),"")</f>
        <v/>
      </c>
      <c r="Q36" s="41" t="str">
        <f>IF(AND('Mapa final'!$AB$98="Muy Alta",'Mapa final'!$AD$98="Moderado"),CONCATENATE("R31C",'Mapa final'!$R$98),"")</f>
        <v/>
      </c>
      <c r="R36" s="103" t="str">
        <f>IF(AND('Mapa final'!$AB$99="Muy Alta",'Mapa final'!$AD$99="Moderado"),CONCATENATE("R31C",'Mapa final'!$R$99),"")</f>
        <v/>
      </c>
      <c r="S36" s="102" t="str">
        <f>IF(AND('Mapa final'!$AB$97="Muy Alta",'Mapa final'!$AD$97="Mayor"),CONCATENATE("R31C",'Mapa final'!$R$97),"")</f>
        <v/>
      </c>
      <c r="T36" s="41" t="str">
        <f>IF(AND('Mapa final'!$AB$98="Muy Alta",'Mapa final'!$AD$98="Mayor"),CONCATENATE("R31C",'Mapa final'!$R$98),"")</f>
        <v/>
      </c>
      <c r="U36" s="103" t="str">
        <f>IF(AND('Mapa final'!$AB$99="Muy Alta",'Mapa final'!$AD$99="Mayor"),CONCATENATE("R31C",'Mapa final'!$R$99),"")</f>
        <v/>
      </c>
      <c r="V36" s="42" t="str">
        <f>IF(AND('Mapa final'!$AB$97="Muy Alta",'Mapa final'!$AD$97="Catastrófico"),CONCATENATE("R31C",'Mapa final'!$R$97),"")</f>
        <v/>
      </c>
      <c r="W36" s="43" t="str">
        <f>IF(AND('Mapa final'!$AB$98="Muy Alta",'Mapa final'!$AD$98="Catastrófico"),CONCATENATE("R31C",'Mapa final'!$R$98),"")</f>
        <v/>
      </c>
      <c r="X36" s="97" t="str">
        <f>IF(AND('Mapa final'!$AB$99="Muy Alta",'Mapa final'!$AD$99="Catastrófico"),CONCATENATE("R31C",'Mapa final'!$R$99),"")</f>
        <v/>
      </c>
      <c r="Y36" s="55"/>
      <c r="Z36" s="295"/>
      <c r="AA36" s="296"/>
      <c r="AB36" s="296"/>
      <c r="AC36" s="296"/>
      <c r="AD36" s="296"/>
      <c r="AE36" s="297"/>
      <c r="AF36" s="55"/>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55"/>
      <c r="BG36" s="55"/>
      <c r="BH36" s="55"/>
      <c r="BI36" s="55"/>
    </row>
    <row r="37" spans="1:61" ht="15" customHeight="1" x14ac:dyDescent="0.25">
      <c r="A37" s="55"/>
      <c r="B37" s="301"/>
      <c r="C37" s="301"/>
      <c r="D37" s="302"/>
      <c r="E37" s="279"/>
      <c r="F37" s="274"/>
      <c r="G37" s="274"/>
      <c r="H37" s="274"/>
      <c r="I37" s="274"/>
      <c r="J37" s="102" t="e">
        <f>IF(AND('Mapa final'!#REF!="Muy Alta",'Mapa final'!#REF!="Leve"),CONCATENATE("R32C",'Mapa final'!#REF!),"")</f>
        <v>#REF!</v>
      </c>
      <c r="K37" s="41" t="e">
        <f>IF(AND('Mapa final'!#REF!="Muy Alta",'Mapa final'!#REF!="Leve"),CONCATENATE("R32C",'Mapa final'!#REF!),"")</f>
        <v>#REF!</v>
      </c>
      <c r="L37" s="41" t="e">
        <f>IF(AND('Mapa final'!#REF!="Muy Alta",'Mapa final'!#REF!="Leve"),CONCATENATE("R32C",'Mapa final'!#REF!),"")</f>
        <v>#REF!</v>
      </c>
      <c r="M37" s="102" t="e">
        <f>IF(AND('Mapa final'!#REF!="Muy Alta",'Mapa final'!#REF!="Menor"),CONCATENATE("R32C",'Mapa final'!#REF!),"")</f>
        <v>#REF!</v>
      </c>
      <c r="N37" s="41" t="e">
        <f>IF(AND('Mapa final'!#REF!="Muy Alta",'Mapa final'!#REF!="Menor"),CONCATENATE("R32C",'Mapa final'!#REF!),"")</f>
        <v>#REF!</v>
      </c>
      <c r="O37" s="41" t="e">
        <f>IF(AND('Mapa final'!#REF!="Muy Alta",'Mapa final'!#REF!="Menor"),CONCATENATE("R32C",'Mapa final'!#REF!),"")</f>
        <v>#REF!</v>
      </c>
      <c r="P37" s="102" t="e">
        <f>IF(AND('Mapa final'!#REF!="Muy Alta",'Mapa final'!#REF!="Moderado"),CONCATENATE("R32C",'Mapa final'!#REF!),"")</f>
        <v>#REF!</v>
      </c>
      <c r="Q37" s="41" t="e">
        <f>IF(AND('Mapa final'!#REF!="Muy Alta",'Mapa final'!#REF!="Moderado"),CONCATENATE("R32C",'Mapa final'!#REF!),"")</f>
        <v>#REF!</v>
      </c>
      <c r="R37" s="41" t="e">
        <f>IF(AND('Mapa final'!#REF!="Muy Alta",'Mapa final'!#REF!="Moderado"),CONCATENATE("R32C",'Mapa final'!#REF!),"")</f>
        <v>#REF!</v>
      </c>
      <c r="S37" s="102" t="e">
        <f>IF(AND('Mapa final'!#REF!="Muy Alta",'Mapa final'!#REF!="Mayor"),CONCATENATE("R32C",'Mapa final'!#REF!),"")</f>
        <v>#REF!</v>
      </c>
      <c r="T37" s="41" t="e">
        <f>IF(AND('Mapa final'!#REF!="Muy Alta",'Mapa final'!#REF!="Mayor"),CONCATENATE("R32C",'Mapa final'!#REF!),"")</f>
        <v>#REF!</v>
      </c>
      <c r="U37" s="103" t="e">
        <f>IF(AND('Mapa final'!#REF!="Muy Alta",'Mapa final'!#REF!="Mayor"),CONCATENATE("R32C",'Mapa final'!#REF!),"")</f>
        <v>#REF!</v>
      </c>
      <c r="V37" s="42" t="e">
        <f>IF(AND('Mapa final'!#REF!="Muy Alta",'Mapa final'!#REF!="Catastrófico"),CONCATENATE("R32C",'Mapa final'!#REF!),"")</f>
        <v>#REF!</v>
      </c>
      <c r="W37" s="43" t="e">
        <f>IF(AND('Mapa final'!#REF!="Muy Alta",'Mapa final'!#REF!="Catastrófico"),CONCATENATE("R32C",'Mapa final'!#REF!),"")</f>
        <v>#REF!</v>
      </c>
      <c r="X37" s="97" t="e">
        <f>IF(AND('Mapa final'!#REF!="Muy Alta",'Mapa final'!#REF!="Catastrófico"),CONCATENATE("R32C",'Mapa final'!#REF!),"")</f>
        <v>#REF!</v>
      </c>
      <c r="Y37" s="55"/>
      <c r="Z37" s="295"/>
      <c r="AA37" s="296"/>
      <c r="AB37" s="296"/>
      <c r="AC37" s="296"/>
      <c r="AD37" s="296"/>
      <c r="AE37" s="297"/>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row>
    <row r="38" spans="1:61" ht="15" customHeight="1" x14ac:dyDescent="0.25">
      <c r="A38" s="55"/>
      <c r="B38" s="301"/>
      <c r="C38" s="301"/>
      <c r="D38" s="302"/>
      <c r="E38" s="279"/>
      <c r="F38" s="274"/>
      <c r="G38" s="274"/>
      <c r="H38" s="274"/>
      <c r="I38" s="274"/>
      <c r="J38" s="102" t="str">
        <f>IF(AND('Mapa final'!$AB$100="Muy Alta",'Mapa final'!$AD$100="Leve"),CONCATENATE("R33C",'Mapa final'!$R$100),"")</f>
        <v/>
      </c>
      <c r="K38" s="41" t="str">
        <f>IF(AND('Mapa final'!$AB$101="Muy Alta",'Mapa final'!$AD$101="Leve"),CONCATENATE("R33C",'Mapa final'!$R$101),"")</f>
        <v/>
      </c>
      <c r="L38" s="41" t="str">
        <f>IF(AND('Mapa final'!$AB$102="Muy Alta",'Mapa final'!$AD$102="Leve"),CONCATENATE("R33C",'Mapa final'!$R$102),"")</f>
        <v/>
      </c>
      <c r="M38" s="102" t="str">
        <f>IF(AND('Mapa final'!$AB$100="Muy Alta",'Mapa final'!$AD$100="Menor"),CONCATENATE("R33C",'Mapa final'!$R$100),"")</f>
        <v/>
      </c>
      <c r="N38" s="41" t="str">
        <f>IF(AND('Mapa final'!$AB$101="Muy Alta",'Mapa final'!$AD$101="Menor"),CONCATENATE("R33C",'Mapa final'!$R$101),"")</f>
        <v/>
      </c>
      <c r="O38" s="41" t="str">
        <f>IF(AND('Mapa final'!$AB$102="Muy Alta",'Mapa final'!$AD$102="Menor"),CONCATENATE("R33C",'Mapa final'!$R$102),"")</f>
        <v/>
      </c>
      <c r="P38" s="102" t="str">
        <f>IF(AND('Mapa final'!$AB$100="Muy Alta",'Mapa final'!$AD$100="Moderado"),CONCATENATE("R33C",'Mapa final'!$R$100),"")</f>
        <v/>
      </c>
      <c r="Q38" s="41" t="str">
        <f>IF(AND('Mapa final'!$AB$101="Muy Alta",'Mapa final'!$AD$101="Moderado"),CONCATENATE("R33C",'Mapa final'!$R$101),"")</f>
        <v/>
      </c>
      <c r="R38" s="41" t="str">
        <f>IF(AND('Mapa final'!$AB$102="Muy Alta",'Mapa final'!$AD$102="Moderado"),CONCATENATE("R33C",'Mapa final'!$R$102),"")</f>
        <v/>
      </c>
      <c r="S38" s="102" t="str">
        <f>IF(AND('Mapa final'!$AB$100="Muy Alta",'Mapa final'!$AD$100="Mayor"),CONCATENATE("R33C",'Mapa final'!$R$100),"")</f>
        <v/>
      </c>
      <c r="T38" s="41" t="str">
        <f>IF(AND('Mapa final'!$AB$101="Muy Alta",'Mapa final'!$AD$101="Mayor"),CONCATENATE("R33C",'Mapa final'!$R$101),"")</f>
        <v/>
      </c>
      <c r="U38" s="103" t="str">
        <f>IF(AND('Mapa final'!$AB$102="Muy Alta",'Mapa final'!$AD$102="Mayor"),CONCATENATE("R33C",'Mapa final'!$R$102),"")</f>
        <v/>
      </c>
      <c r="V38" s="42" t="str">
        <f>IF(AND('Mapa final'!$AB$100="Muy Alta",'Mapa final'!$AD$100="Catastrófico"),CONCATENATE("R33C",'Mapa final'!$R$100),"")</f>
        <v/>
      </c>
      <c r="W38" s="43" t="str">
        <f>IF(AND('Mapa final'!$AB$101="Muy Alta",'Mapa final'!$AD$101="Catastrófico"),CONCATENATE("R33C",'Mapa final'!$R$101),"")</f>
        <v/>
      </c>
      <c r="X38" s="97" t="str">
        <f>IF(AND('Mapa final'!$AB$102="Muy Alta",'Mapa final'!$AD$102="Catastrófico"),CONCATENATE("R33C",'Mapa final'!$R$102),"")</f>
        <v/>
      </c>
      <c r="Y38" s="55"/>
      <c r="Z38" s="295"/>
      <c r="AA38" s="296"/>
      <c r="AB38" s="296"/>
      <c r="AC38" s="296"/>
      <c r="AD38" s="296"/>
      <c r="AE38" s="297"/>
      <c r="AF38" s="55"/>
      <c r="AG38" s="55"/>
      <c r="AH38" s="55"/>
      <c r="AI38" s="55"/>
      <c r="AJ38" s="55"/>
      <c r="AK38" s="55"/>
      <c r="AL38" s="55"/>
      <c r="AM38" s="55"/>
      <c r="AN38" s="55"/>
      <c r="AO38" s="55"/>
      <c r="AP38" s="55"/>
      <c r="AQ38" s="55"/>
      <c r="AR38" s="55"/>
      <c r="AS38" s="55"/>
      <c r="AT38" s="55"/>
      <c r="AU38" s="55"/>
      <c r="AV38" s="55"/>
      <c r="AW38" s="55"/>
      <c r="AX38" s="55"/>
      <c r="AY38" s="55"/>
      <c r="AZ38" s="55"/>
      <c r="BA38" s="55"/>
      <c r="BB38" s="55"/>
      <c r="BC38" s="55"/>
      <c r="BD38" s="55"/>
      <c r="BE38" s="55"/>
      <c r="BF38" s="55"/>
      <c r="BG38" s="55"/>
      <c r="BH38" s="55"/>
      <c r="BI38" s="55"/>
    </row>
    <row r="39" spans="1:61" ht="15" customHeight="1" x14ac:dyDescent="0.25">
      <c r="A39" s="55"/>
      <c r="B39" s="301"/>
      <c r="C39" s="301"/>
      <c r="D39" s="302"/>
      <c r="E39" s="279"/>
      <c r="F39" s="274"/>
      <c r="G39" s="274"/>
      <c r="H39" s="274"/>
      <c r="I39" s="274"/>
      <c r="J39" s="102" t="str">
        <f>IF(AND('Mapa final'!$AB$103="Muy Alta",'Mapa final'!$AD$103="Leve"),CONCATENATE("R34C",'Mapa final'!$R$103),"")</f>
        <v/>
      </c>
      <c r="K39" s="41" t="str">
        <f>IF(AND('Mapa final'!$AB$104="Muy Alta",'Mapa final'!$AD$104="Leve"),CONCATENATE("R34C",'Mapa final'!$R$104),"")</f>
        <v/>
      </c>
      <c r="L39" s="103" t="str">
        <f>IF(AND('Mapa final'!$AB$105="Muy Alta",'Mapa final'!$AD$105="Leve"),CONCATENATE("R34C",'Mapa final'!$R$105),"")</f>
        <v/>
      </c>
      <c r="M39" s="102" t="str">
        <f>IF(AND('Mapa final'!$AB$103="Muy Alta",'Mapa final'!$AD$103="Menor"),CONCATENATE("R34C",'Mapa final'!$R$103),"")</f>
        <v/>
      </c>
      <c r="N39" s="41" t="str">
        <f>IF(AND('Mapa final'!$AB$104="Muy Alta",'Mapa final'!$AD$104="Menor"),CONCATENATE("R34C",'Mapa final'!$R$104),"")</f>
        <v/>
      </c>
      <c r="O39" s="103" t="str">
        <f>IF(AND('Mapa final'!$AB$105="Muy Alta",'Mapa final'!$AD$105="Menor"),CONCATENATE("R34C",'Mapa final'!$R$105),"")</f>
        <v/>
      </c>
      <c r="P39" s="102" t="str">
        <f>IF(AND('Mapa final'!$AB$103="Muy Alta",'Mapa final'!$AD$103="Moderado"),CONCATENATE("R34C",'Mapa final'!$R$103),"")</f>
        <v/>
      </c>
      <c r="Q39" s="41" t="str">
        <f>IF(AND('Mapa final'!$AB$104="Muy Alta",'Mapa final'!$AD$104="Moderado"),CONCATENATE("R34C",'Mapa final'!$R$104),"")</f>
        <v/>
      </c>
      <c r="R39" s="103" t="str">
        <f>IF(AND('Mapa final'!$AB$105="Muy Alta",'Mapa final'!$AD$105="Moderado"),CONCATENATE("R34C",'Mapa final'!$R$105),"")</f>
        <v/>
      </c>
      <c r="S39" s="102" t="str">
        <f>IF(AND('Mapa final'!$AB$103="Muy Alta",'Mapa final'!$AD$103="Mayor"),CONCATENATE("R34C",'Mapa final'!$R$103),"")</f>
        <v/>
      </c>
      <c r="T39" s="41" t="str">
        <f>IF(AND('Mapa final'!$AB$104="Muy Alta",'Mapa final'!$AD$104="Mayor"),CONCATENATE("R34C",'Mapa final'!$R$104),"")</f>
        <v/>
      </c>
      <c r="U39" s="103" t="str">
        <f>IF(AND('Mapa final'!$AB$105="Muy Alta",'Mapa final'!$AD$105="Mayor"),CONCATENATE("R34C",'Mapa final'!$R$105),"")</f>
        <v/>
      </c>
      <c r="V39" s="42" t="str">
        <f>IF(AND('Mapa final'!$AB$103="Muy Alta",'Mapa final'!$AD$103="Catastrófico"),CONCATENATE("R34C",'Mapa final'!$R$103),"")</f>
        <v/>
      </c>
      <c r="W39" s="43" t="str">
        <f>IF(AND('Mapa final'!$AB$104="Muy Alta",'Mapa final'!$AD$104="Catastrófico"),CONCATENATE("R34C",'Mapa final'!$R$104),"")</f>
        <v/>
      </c>
      <c r="X39" s="97" t="str">
        <f>IF(AND('Mapa final'!$AB$105="Muy Alta",'Mapa final'!$AD$105="Catastrófico"),CONCATENATE("R34C",'Mapa final'!$R$105),"")</f>
        <v/>
      </c>
      <c r="Y39" s="55"/>
      <c r="Z39" s="295"/>
      <c r="AA39" s="296"/>
      <c r="AB39" s="296"/>
      <c r="AC39" s="296"/>
      <c r="AD39" s="296"/>
      <c r="AE39" s="297"/>
      <c r="AF39" s="55"/>
      <c r="AG39" s="55"/>
      <c r="AH39" s="55"/>
      <c r="AI39" s="55"/>
      <c r="AJ39" s="55"/>
      <c r="AK39" s="55"/>
      <c r="AL39" s="55"/>
      <c r="AM39" s="55"/>
      <c r="AN39" s="55"/>
      <c r="AO39" s="55"/>
      <c r="AP39" s="55"/>
      <c r="AQ39" s="55"/>
      <c r="AR39" s="55"/>
      <c r="AS39" s="55"/>
      <c r="AT39" s="55"/>
      <c r="AU39" s="55"/>
      <c r="AV39" s="55"/>
      <c r="AW39" s="55"/>
      <c r="AX39" s="55"/>
      <c r="AY39" s="55"/>
      <c r="AZ39" s="55"/>
      <c r="BA39" s="55"/>
      <c r="BB39" s="55"/>
      <c r="BC39" s="55"/>
      <c r="BD39" s="55"/>
      <c r="BE39" s="55"/>
      <c r="BF39" s="55"/>
      <c r="BG39" s="55"/>
      <c r="BH39" s="55"/>
      <c r="BI39" s="55"/>
    </row>
    <row r="40" spans="1:61" ht="15" customHeight="1" x14ac:dyDescent="0.25">
      <c r="A40" s="55"/>
      <c r="B40" s="301"/>
      <c r="C40" s="301"/>
      <c r="D40" s="302"/>
      <c r="E40" s="279"/>
      <c r="F40" s="274"/>
      <c r="G40" s="274"/>
      <c r="H40" s="274"/>
      <c r="I40" s="274"/>
      <c r="J40" s="102" t="str">
        <f>IF(AND('Mapa final'!$AB$106="Muy Alta",'Mapa final'!$AD$106="Leve"),CONCATENATE("R35C",'Mapa final'!$R$106),"")</f>
        <v/>
      </c>
      <c r="K40" s="41" t="str">
        <f>IF(AND('Mapa final'!$AB$107="Muy Alta",'Mapa final'!$AD$107="Leve"),CONCATENATE("R35C",'Mapa final'!$R$107),"")</f>
        <v/>
      </c>
      <c r="L40" s="103" t="str">
        <f>IF(AND('Mapa final'!$AB$108="Muy Alta",'Mapa final'!$AD$108="Leve"),CONCATENATE("R35C",'Mapa final'!$R$108),"")</f>
        <v/>
      </c>
      <c r="M40" s="102" t="str">
        <f>IF(AND('Mapa final'!$AB$106="Muy Alta",'Mapa final'!$AD$106="Menor"),CONCATENATE("R35C",'Mapa final'!$R$106),"")</f>
        <v/>
      </c>
      <c r="N40" s="41" t="str">
        <f>IF(AND('Mapa final'!$AB$107="Muy Alta",'Mapa final'!$AD$107="Menor"),CONCATENATE("R35C",'Mapa final'!$R$107),"")</f>
        <v/>
      </c>
      <c r="O40" s="103" t="str">
        <f>IF(AND('Mapa final'!$AB$108="Muy Alta",'Mapa final'!$AD$108="Menor"),CONCATENATE("R35C",'Mapa final'!$R$108),"")</f>
        <v/>
      </c>
      <c r="P40" s="102" t="str">
        <f>IF(AND('Mapa final'!$AB$106="Muy Alta",'Mapa final'!$AD$106="Moderado"),CONCATENATE("R35C",'Mapa final'!$R$106),"")</f>
        <v/>
      </c>
      <c r="Q40" s="41" t="str">
        <f>IF(AND('Mapa final'!$AB$107="Muy Alta",'Mapa final'!$AD$107="Moderado"),CONCATENATE("R35C",'Mapa final'!$R$107),"")</f>
        <v/>
      </c>
      <c r="R40" s="103" t="str">
        <f>IF(AND('Mapa final'!$AB$108="Muy Alta",'Mapa final'!$AD$108="Moderado"),CONCATENATE("R35C",'Mapa final'!$R$108),"")</f>
        <v/>
      </c>
      <c r="S40" s="102" t="str">
        <f>IF(AND('Mapa final'!$AB$106="Muy Alta",'Mapa final'!$AD$106="Mayor"),CONCATENATE("R35C",'Mapa final'!$R$106),"")</f>
        <v/>
      </c>
      <c r="T40" s="41" t="str">
        <f>IF(AND('Mapa final'!$AB$107="Muy Alta",'Mapa final'!$AD$107="Mayor"),CONCATENATE("R35C",'Mapa final'!$R$107),"")</f>
        <v/>
      </c>
      <c r="U40" s="103" t="str">
        <f>IF(AND('Mapa final'!$AB$108="Muy Alta",'Mapa final'!$AD$108="Mayor"),CONCATENATE("R35C",'Mapa final'!$R$108),"")</f>
        <v/>
      </c>
      <c r="V40" s="42" t="str">
        <f>IF(AND('Mapa final'!$AB$106="Muy Alta",'Mapa final'!$AD$106="Catastrófico"),CONCATENATE("R35C",'Mapa final'!$R$106),"")</f>
        <v/>
      </c>
      <c r="W40" s="43" t="str">
        <f>IF(AND('Mapa final'!$AB$107="Muy Alta",'Mapa final'!$AD$107="Catastrófico"),CONCATENATE("R35C",'Mapa final'!$R$107),"")</f>
        <v/>
      </c>
      <c r="X40" s="97" t="str">
        <f>IF(AND('Mapa final'!$AB$108="Muy Alta",'Mapa final'!$AD$108="Catastrófico"),CONCATENATE("R35C",'Mapa final'!$R$108),"")</f>
        <v/>
      </c>
      <c r="Y40" s="55"/>
      <c r="Z40" s="295"/>
      <c r="AA40" s="296"/>
      <c r="AB40" s="296"/>
      <c r="AC40" s="296"/>
      <c r="AD40" s="296"/>
      <c r="AE40" s="297"/>
      <c r="AF40" s="55"/>
      <c r="AG40" s="55"/>
      <c r="AH40" s="55"/>
      <c r="AI40" s="55"/>
      <c r="AJ40" s="55"/>
      <c r="AK40" s="55"/>
      <c r="AL40" s="55"/>
      <c r="AM40" s="55"/>
      <c r="AN40" s="55"/>
      <c r="AO40" s="55"/>
      <c r="AP40" s="55"/>
      <c r="AQ40" s="55"/>
      <c r="AR40" s="55"/>
      <c r="AS40" s="55"/>
      <c r="AT40" s="55"/>
      <c r="AU40" s="55"/>
      <c r="AV40" s="55"/>
      <c r="AW40" s="55"/>
      <c r="AX40" s="55"/>
      <c r="AY40" s="55"/>
      <c r="AZ40" s="55"/>
      <c r="BA40" s="55"/>
      <c r="BB40" s="55"/>
      <c r="BC40" s="55"/>
      <c r="BD40" s="55"/>
      <c r="BE40" s="55"/>
      <c r="BF40" s="55"/>
      <c r="BG40" s="55"/>
      <c r="BH40" s="55"/>
      <c r="BI40" s="55"/>
    </row>
    <row r="41" spans="1:61" ht="15" customHeight="1" x14ac:dyDescent="0.25">
      <c r="A41" s="55"/>
      <c r="B41" s="301"/>
      <c r="C41" s="301"/>
      <c r="D41" s="302"/>
      <c r="E41" s="279"/>
      <c r="F41" s="274"/>
      <c r="G41" s="274"/>
      <c r="H41" s="274"/>
      <c r="I41" s="274"/>
      <c r="J41" s="102" t="str">
        <f>IF(AND('Mapa final'!$AB$109="Muy Alta",'Mapa final'!$AD$109="Leve"),CONCATENATE("R36C",'Mapa final'!$R$109),"")</f>
        <v/>
      </c>
      <c r="K41" s="41" t="str">
        <f>IF(AND('Mapa final'!$AB$110="Muy Alta",'Mapa final'!$AD$110="Leve"),CONCATENATE("R36C",'Mapa final'!$R$110),"")</f>
        <v/>
      </c>
      <c r="L41" s="103" t="str">
        <f>IF(AND('Mapa final'!$AB$111="Muy Alta",'Mapa final'!$AD$111="Leve"),CONCATENATE("R36C",'Mapa final'!$R$111),"")</f>
        <v/>
      </c>
      <c r="M41" s="102" t="str">
        <f>IF(AND('Mapa final'!$AB$109="Muy Alta",'Mapa final'!$AD$109="Menor"),CONCATENATE("R36C",'Mapa final'!$R$109),"")</f>
        <v/>
      </c>
      <c r="N41" s="41" t="str">
        <f>IF(AND('Mapa final'!$AB$110="Muy Alta",'Mapa final'!$AD$110="Menor"),CONCATENATE("R36C",'Mapa final'!$R$110),"")</f>
        <v/>
      </c>
      <c r="O41" s="103" t="str">
        <f>IF(AND('Mapa final'!$AB$111="Muy Alta",'Mapa final'!$AD$111="Menor"),CONCATENATE("R36C",'Mapa final'!$R$111),"")</f>
        <v/>
      </c>
      <c r="P41" s="102" t="str">
        <f>IF(AND('Mapa final'!$AB$109="Muy Alta",'Mapa final'!$AD$109="Moderado"),CONCATENATE("R36C",'Mapa final'!$R$109),"")</f>
        <v/>
      </c>
      <c r="Q41" s="41" t="str">
        <f>IF(AND('Mapa final'!$AB$110="Muy Alta",'Mapa final'!$AD$110="Moderado"),CONCATENATE("R36C",'Mapa final'!$R$110),"")</f>
        <v/>
      </c>
      <c r="R41" s="103" t="str">
        <f>IF(AND('Mapa final'!$AB$111="Muy Alta",'Mapa final'!$AD$111="Moderado"),CONCATENATE("R36C",'Mapa final'!$R$111),"")</f>
        <v/>
      </c>
      <c r="S41" s="102" t="str">
        <f>IF(AND('Mapa final'!$AB$109="Muy Alta",'Mapa final'!$AD$109="Mayor"),CONCATENATE("R36C",'Mapa final'!$R$109),"")</f>
        <v/>
      </c>
      <c r="T41" s="41" t="str">
        <f>IF(AND('Mapa final'!$AB$110="Muy Alta",'Mapa final'!$AD$110="Mayor"),CONCATENATE("R36C",'Mapa final'!$R$110),"")</f>
        <v/>
      </c>
      <c r="U41" s="103" t="str">
        <f>IF(AND('Mapa final'!$AB$111="Muy Alta",'Mapa final'!$AD$111="Mayor"),CONCATENATE("R36C",'Mapa final'!$R$111),"")</f>
        <v/>
      </c>
      <c r="V41" s="42" t="str">
        <f>IF(AND('Mapa final'!$AB$109="Muy Alta",'Mapa final'!$AD$109="Catastrófico"),CONCATENATE("R36C",'Mapa final'!$R$109),"")</f>
        <v/>
      </c>
      <c r="W41" s="43" t="str">
        <f>IF(AND('Mapa final'!$AB$110="Muy Alta",'Mapa final'!$AD$110="Catastrófico"),CONCATENATE("R36C",'Mapa final'!$R$110),"")</f>
        <v/>
      </c>
      <c r="X41" s="97" t="str">
        <f>IF(AND('Mapa final'!$AB$111="Muy Alta",'Mapa final'!$AD$111="Catastrófico"),CONCATENATE("R36C",'Mapa final'!$R$111),"")</f>
        <v/>
      </c>
      <c r="Y41" s="55"/>
      <c r="Z41" s="295"/>
      <c r="AA41" s="296"/>
      <c r="AB41" s="296"/>
      <c r="AC41" s="296"/>
      <c r="AD41" s="296"/>
      <c r="AE41" s="297"/>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row>
    <row r="42" spans="1:61" ht="15" customHeight="1" x14ac:dyDescent="0.25">
      <c r="A42" s="55"/>
      <c r="B42" s="301"/>
      <c r="C42" s="301"/>
      <c r="D42" s="302"/>
      <c r="E42" s="279"/>
      <c r="F42" s="274"/>
      <c r="G42" s="274"/>
      <c r="H42" s="274"/>
      <c r="I42" s="274"/>
      <c r="J42" s="102" t="str">
        <f>IF(AND('Mapa final'!$AB$112="Muy Alta",'Mapa final'!$AD$112="Leve"),CONCATENATE("R37C",'Mapa final'!$R$112),"")</f>
        <v/>
      </c>
      <c r="K42" s="41" t="str">
        <f>IF(AND('Mapa final'!$AB$113="Muy Alta",'Mapa final'!$AD$113="Leve"),CONCATENATE("R37C",'Mapa final'!$R$113),"")</f>
        <v/>
      </c>
      <c r="L42" s="103" t="str">
        <f>IF(AND('Mapa final'!$AB$114="Muy Alta",'Mapa final'!$AD$114="Leve"),CONCATENATE("R37C",'Mapa final'!$R$114),"")</f>
        <v/>
      </c>
      <c r="M42" s="102" t="str">
        <f>IF(AND('Mapa final'!$AB$112="Muy Alta",'Mapa final'!$AD$112="Menor"),CONCATENATE("R37C",'Mapa final'!$R$112),"")</f>
        <v/>
      </c>
      <c r="N42" s="41" t="str">
        <f>IF(AND('Mapa final'!$AB$113="Muy Alta",'Mapa final'!$AD$113="Menor"),CONCATENATE("R37C",'Mapa final'!$R$113),"")</f>
        <v/>
      </c>
      <c r="O42" s="103" t="str">
        <f>IF(AND('Mapa final'!$AB$114="Muy Alta",'Mapa final'!$AD$114="Menor"),CONCATENATE("R37C",'Mapa final'!$R$114),"")</f>
        <v/>
      </c>
      <c r="P42" s="102" t="str">
        <f>IF(AND('Mapa final'!$AB$112="Muy Alta",'Mapa final'!$AD$112="Moderado"),CONCATENATE("R37C",'Mapa final'!$R$112),"")</f>
        <v/>
      </c>
      <c r="Q42" s="41" t="str">
        <f>IF(AND('Mapa final'!$AB$113="Muy Alta",'Mapa final'!$AD$113="Moderado"),CONCATENATE("R37C",'Mapa final'!$R$113),"")</f>
        <v/>
      </c>
      <c r="R42" s="103" t="str">
        <f>IF(AND('Mapa final'!$AB$114="Muy Alta",'Mapa final'!$AD$114="Moderado"),CONCATENATE("R37C",'Mapa final'!$R$114),"")</f>
        <v/>
      </c>
      <c r="S42" s="102" t="str">
        <f>IF(AND('Mapa final'!$AB$112="Muy Alta",'Mapa final'!$AD$112="Mayor"),CONCATENATE("R37C",'Mapa final'!$R$112),"")</f>
        <v/>
      </c>
      <c r="T42" s="41" t="str">
        <f>IF(AND('Mapa final'!$AB$113="Muy Alta",'Mapa final'!$AD$113="Mayor"),CONCATENATE("R37C",'Mapa final'!$R$113),"")</f>
        <v/>
      </c>
      <c r="U42" s="103" t="str">
        <f>IF(AND('Mapa final'!$AB$114="Muy Alta",'Mapa final'!$AD$114="Mayor"),CONCATENATE("R37C",'Mapa final'!$R$114),"")</f>
        <v/>
      </c>
      <c r="V42" s="42" t="str">
        <f>IF(AND('Mapa final'!$AB$112="Muy Alta",'Mapa final'!$AD$112="Catastrófico"),CONCATENATE("R37C",'Mapa final'!$R$112),"")</f>
        <v/>
      </c>
      <c r="W42" s="43" t="str">
        <f>IF(AND('Mapa final'!$AB$113="Muy Alta",'Mapa final'!$AD$113="Catastrófico"),CONCATENATE("R37C",'Mapa final'!$R$113),"")</f>
        <v/>
      </c>
      <c r="X42" s="97" t="str">
        <f>IF(AND('Mapa final'!$AB$114="Muy Alta",'Mapa final'!$AD$114="Catastrófico"),CONCATENATE("R37C",'Mapa final'!$R$114),"")</f>
        <v/>
      </c>
      <c r="Y42" s="55"/>
      <c r="Z42" s="295"/>
      <c r="AA42" s="296"/>
      <c r="AB42" s="296"/>
      <c r="AC42" s="296"/>
      <c r="AD42" s="296"/>
      <c r="AE42" s="297"/>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row>
    <row r="43" spans="1:61" ht="15" customHeight="1" x14ac:dyDescent="0.25">
      <c r="A43" s="55"/>
      <c r="B43" s="301"/>
      <c r="C43" s="301"/>
      <c r="D43" s="302"/>
      <c r="E43" s="279"/>
      <c r="F43" s="274"/>
      <c r="G43" s="274"/>
      <c r="H43" s="274"/>
      <c r="I43" s="274"/>
      <c r="J43" s="102" t="str">
        <f>IF(AND('Mapa final'!$AB$115="Muy Alta",'Mapa final'!$AD$115="Leve"),CONCATENATE("R38C",'Mapa final'!$R$115),"")</f>
        <v/>
      </c>
      <c r="K43" s="41" t="str">
        <f>IF(AND('Mapa final'!$AB$116="Muy Alta",'Mapa final'!$AD$116="Leve"),CONCATENATE("R38C",'Mapa final'!$R$116),"")</f>
        <v/>
      </c>
      <c r="L43" s="103" t="str">
        <f>IF(AND('Mapa final'!$AB$117="Muy Alta",'Mapa final'!$AD$117="Leve"),CONCATENATE("R38C",'Mapa final'!$R$117),"")</f>
        <v/>
      </c>
      <c r="M43" s="102" t="str">
        <f>IF(AND('Mapa final'!$AB$115="Muy Alta",'Mapa final'!$AD$115="Menor"),CONCATENATE("R38C",'Mapa final'!$R$115),"")</f>
        <v/>
      </c>
      <c r="N43" s="41" t="str">
        <f>IF(AND('Mapa final'!$AB$116="Muy Alta",'Mapa final'!$AD$116="Menor"),CONCATENATE("R38C",'Mapa final'!$R$116),"")</f>
        <v/>
      </c>
      <c r="O43" s="103" t="str">
        <f>IF(AND('Mapa final'!$AB$117="Muy Alta",'Mapa final'!$AD$117="Menor"),CONCATENATE("R38C",'Mapa final'!$R$117),"")</f>
        <v/>
      </c>
      <c r="P43" s="102" t="str">
        <f>IF(AND('Mapa final'!$AB$115="Muy Alta",'Mapa final'!$AD$115="Moderado"),CONCATENATE("R38C",'Mapa final'!$R$115),"")</f>
        <v/>
      </c>
      <c r="Q43" s="41" t="str">
        <f>IF(AND('Mapa final'!$AB$116="Muy Alta",'Mapa final'!$AD$116="Moderado"),CONCATENATE("R38C",'Mapa final'!$R$116),"")</f>
        <v/>
      </c>
      <c r="R43" s="103" t="str">
        <f>IF(AND('Mapa final'!$AB$117="Muy Alta",'Mapa final'!$AD$117="Moderado"),CONCATENATE("R38C",'Mapa final'!$R$117),"")</f>
        <v/>
      </c>
      <c r="S43" s="102" t="str">
        <f>IF(AND('Mapa final'!$AB$115="Muy Alta",'Mapa final'!$AD$115="Mayor"),CONCATENATE("R38C",'Mapa final'!$R$115),"")</f>
        <v/>
      </c>
      <c r="T43" s="41" t="str">
        <f>IF(AND('Mapa final'!$AB$116="Muy Alta",'Mapa final'!$AD$116="Mayor"),CONCATENATE("R38C",'Mapa final'!$R$116),"")</f>
        <v/>
      </c>
      <c r="U43" s="103" t="str">
        <f>IF(AND('Mapa final'!$AB$117="Muy Alta",'Mapa final'!$AD$117="Mayor"),CONCATENATE("R38C",'Mapa final'!$R$117),"")</f>
        <v/>
      </c>
      <c r="V43" s="42" t="str">
        <f>IF(AND('Mapa final'!$AB$115="Muy Alta",'Mapa final'!$AD$115="Catastrófico"),CONCATENATE("R38C",'Mapa final'!$R$115),"")</f>
        <v/>
      </c>
      <c r="W43" s="43" t="str">
        <f>IF(AND('Mapa final'!$AB$116="Muy Alta",'Mapa final'!$AD$116="Catastrófico"),CONCATENATE("R38C",'Mapa final'!$R$116),"")</f>
        <v/>
      </c>
      <c r="X43" s="97" t="str">
        <f>IF(AND('Mapa final'!$AB$117="Muy Alta",'Mapa final'!$AD$117="Catastrófico"),CONCATENATE("R38C",'Mapa final'!$R$117),"")</f>
        <v/>
      </c>
      <c r="Y43" s="55"/>
      <c r="Z43" s="295"/>
      <c r="AA43" s="296"/>
      <c r="AB43" s="296"/>
      <c r="AC43" s="296"/>
      <c r="AD43" s="296"/>
      <c r="AE43" s="297"/>
      <c r="AF43" s="55"/>
      <c r="AG43" s="55"/>
      <c r="AH43" s="55"/>
      <c r="AI43" s="55"/>
      <c r="AJ43" s="55"/>
      <c r="AK43" s="55"/>
      <c r="AL43" s="55"/>
      <c r="AM43" s="55"/>
      <c r="AN43" s="55"/>
      <c r="AO43" s="55"/>
      <c r="AP43" s="55"/>
      <c r="AQ43" s="55"/>
      <c r="AR43" s="55"/>
      <c r="AS43" s="55"/>
      <c r="AT43" s="55"/>
      <c r="AU43" s="55"/>
      <c r="AV43" s="55"/>
      <c r="AW43" s="55"/>
      <c r="AX43" s="55"/>
      <c r="AY43" s="55"/>
      <c r="AZ43" s="55"/>
      <c r="BA43" s="55"/>
      <c r="BB43" s="55"/>
      <c r="BC43" s="55"/>
      <c r="BD43" s="55"/>
      <c r="BE43" s="55"/>
      <c r="BF43" s="55"/>
      <c r="BG43" s="55"/>
      <c r="BH43" s="55"/>
      <c r="BI43" s="55"/>
    </row>
    <row r="44" spans="1:61" ht="15" customHeight="1" x14ac:dyDescent="0.25">
      <c r="A44" s="55"/>
      <c r="B44" s="301"/>
      <c r="C44" s="301"/>
      <c r="D44" s="302"/>
      <c r="E44" s="279"/>
      <c r="F44" s="274"/>
      <c r="G44" s="274"/>
      <c r="H44" s="274"/>
      <c r="I44" s="274"/>
      <c r="J44" s="102" t="str">
        <f>IF(AND('Mapa final'!$AB$118="Muy Alta",'Mapa final'!$AD$118="Leve"),CONCATENATE("R39C",'Mapa final'!$R$118),"")</f>
        <v/>
      </c>
      <c r="K44" s="41" t="str">
        <f>IF(AND('Mapa final'!$AB$119="Muy Alta",'Mapa final'!$AD$119="Leve"),CONCATENATE("R39C",'Mapa final'!$R$119),"")</f>
        <v/>
      </c>
      <c r="L44" s="103" t="str">
        <f>IF(AND('Mapa final'!$AB$120="Muy Alta",'Mapa final'!$AD$120="Leve"),CONCATENATE("R39C",'Mapa final'!$R$120),"")</f>
        <v/>
      </c>
      <c r="M44" s="102" t="str">
        <f>IF(AND('Mapa final'!$AB$118="Muy Alta",'Mapa final'!$AD$118="Menor"),CONCATENATE("R39C",'Mapa final'!$R$118),"")</f>
        <v/>
      </c>
      <c r="N44" s="41" t="str">
        <f>IF(AND('Mapa final'!$AB$119="Muy Alta",'Mapa final'!$AD$119="Menor"),CONCATENATE("R39C",'Mapa final'!$R$119),"")</f>
        <v/>
      </c>
      <c r="O44" s="103" t="str">
        <f>IF(AND('Mapa final'!$AB$120="Muy Alta",'Mapa final'!$AD$120="Menor"),CONCATENATE("R39C",'Mapa final'!$R$120),"")</f>
        <v/>
      </c>
      <c r="P44" s="102" t="str">
        <f>IF(AND('Mapa final'!$AB$118="Muy Alta",'Mapa final'!$AD$118="Moderado"),CONCATENATE("R39C",'Mapa final'!$R$118),"")</f>
        <v/>
      </c>
      <c r="Q44" s="41" t="str">
        <f>IF(AND('Mapa final'!$AB$119="Muy Alta",'Mapa final'!$AD$119="Moderado"),CONCATENATE("R39C",'Mapa final'!$R$119),"")</f>
        <v/>
      </c>
      <c r="R44" s="103" t="str">
        <f>IF(AND('Mapa final'!$AB$120="Muy Alta",'Mapa final'!$AD$120="Moderado"),CONCATENATE("R39C",'Mapa final'!$R$120),"")</f>
        <v/>
      </c>
      <c r="S44" s="102" t="str">
        <f>IF(AND('Mapa final'!$AB$118="Muy Alta",'Mapa final'!$AD$118="Mayor"),CONCATENATE("R39C",'Mapa final'!$R$118),"")</f>
        <v/>
      </c>
      <c r="T44" s="41" t="str">
        <f>IF(AND('Mapa final'!$AB$119="Muy Alta",'Mapa final'!$AD$119="Mayor"),CONCATENATE("R39C",'Mapa final'!$R$119),"")</f>
        <v/>
      </c>
      <c r="U44" s="103" t="str">
        <f>IF(AND('Mapa final'!$AB$120="Muy Alta",'Mapa final'!$AD$120="Mayor"),CONCATENATE("R39C",'Mapa final'!$R$120),"")</f>
        <v/>
      </c>
      <c r="V44" s="42" t="str">
        <f>IF(AND('Mapa final'!$AB$118="Muy Alta",'Mapa final'!$AD$118="Catastrófico"),CONCATENATE("R39C",'Mapa final'!$R$118),"")</f>
        <v/>
      </c>
      <c r="W44" s="43" t="str">
        <f>IF(AND('Mapa final'!$AB$119="Muy Alta",'Mapa final'!$AD$119="Catastrófico"),CONCATENATE("R39C",'Mapa final'!$R$119),"")</f>
        <v/>
      </c>
      <c r="X44" s="97" t="str">
        <f>IF(AND('Mapa final'!$AB$120="Muy Alta",'Mapa final'!$AD$120="Catastrófico"),CONCATENATE("R39C",'Mapa final'!$R$120),"")</f>
        <v/>
      </c>
      <c r="Y44" s="55"/>
      <c r="Z44" s="295"/>
      <c r="AA44" s="296"/>
      <c r="AB44" s="296"/>
      <c r="AC44" s="296"/>
      <c r="AD44" s="296"/>
      <c r="AE44" s="297"/>
      <c r="AF44" s="55"/>
      <c r="AG44" s="55"/>
      <c r="AH44" s="55"/>
      <c r="AI44" s="55"/>
      <c r="AJ44" s="55"/>
      <c r="AK44" s="55"/>
      <c r="AL44" s="55"/>
      <c r="AM44" s="55"/>
      <c r="AN44" s="55"/>
      <c r="AO44" s="55"/>
      <c r="AP44" s="55"/>
      <c r="AQ44" s="55"/>
      <c r="AR44" s="55"/>
      <c r="AS44" s="55"/>
      <c r="AT44" s="55"/>
      <c r="AU44" s="55"/>
      <c r="AV44" s="55"/>
      <c r="AW44" s="55"/>
      <c r="AX44" s="55"/>
      <c r="AY44" s="55"/>
      <c r="AZ44" s="55"/>
      <c r="BA44" s="55"/>
      <c r="BB44" s="55"/>
      <c r="BC44" s="55"/>
      <c r="BD44" s="55"/>
      <c r="BE44" s="55"/>
      <c r="BF44" s="55"/>
      <c r="BG44" s="55"/>
      <c r="BH44" s="55"/>
      <c r="BI44" s="55"/>
    </row>
    <row r="45" spans="1:61" ht="15" customHeight="1" x14ac:dyDescent="0.25">
      <c r="A45" s="55"/>
      <c r="B45" s="301"/>
      <c r="C45" s="301"/>
      <c r="D45" s="302"/>
      <c r="E45" s="279"/>
      <c r="F45" s="274"/>
      <c r="G45" s="274"/>
      <c r="H45" s="274"/>
      <c r="I45" s="274"/>
      <c r="J45" s="102" t="str">
        <f>IF(AND('Mapa final'!$AB$121="Muy Alta",'Mapa final'!$AD$121="Leve"),CONCATENATE("R40C",'Mapa final'!$R$121),"")</f>
        <v/>
      </c>
      <c r="K45" s="41" t="str">
        <f>IF(AND('Mapa final'!$AB$122="Muy Alta",'Mapa final'!$AD$122="Leve"),CONCATENATE("R40C",'Mapa final'!$R$122),"")</f>
        <v/>
      </c>
      <c r="L45" s="103" t="str">
        <f>IF(AND('Mapa final'!$AB$123="Muy Alta",'Mapa final'!$AD$123="Leve"),CONCATENATE("R40C",'Mapa final'!$R$123),"")</f>
        <v/>
      </c>
      <c r="M45" s="102" t="str">
        <f>IF(AND('Mapa final'!$AB$121="Muy Alta",'Mapa final'!$AD$121="Menor"),CONCATENATE("R40C",'Mapa final'!$R$121),"")</f>
        <v/>
      </c>
      <c r="N45" s="41" t="str">
        <f>IF(AND('Mapa final'!$AB$122="Muy Alta",'Mapa final'!$AD$122="Menor"),CONCATENATE("R40C",'Mapa final'!$R$122),"")</f>
        <v/>
      </c>
      <c r="O45" s="103" t="str">
        <f>IF(AND('Mapa final'!$AB$123="Muy Alta",'Mapa final'!$AD$123="Menor"),CONCATENATE("R40C",'Mapa final'!$R$123),"")</f>
        <v/>
      </c>
      <c r="P45" s="102" t="str">
        <f>IF(AND('Mapa final'!$AB$121="Muy Alta",'Mapa final'!$AD$121="Moderado"),CONCATENATE("R40C",'Mapa final'!$R$121),"")</f>
        <v/>
      </c>
      <c r="Q45" s="41" t="str">
        <f>IF(AND('Mapa final'!$AB$122="Muy Alta",'Mapa final'!$AD$122="Moderado"),CONCATENATE("R40C",'Mapa final'!$R$122),"")</f>
        <v/>
      </c>
      <c r="R45" s="103" t="str">
        <f>IF(AND('Mapa final'!$AB$123="Muy Alta",'Mapa final'!$AD$123="Moderado"),CONCATENATE("R40C",'Mapa final'!$R$123),"")</f>
        <v/>
      </c>
      <c r="S45" s="102" t="str">
        <f>IF(AND('Mapa final'!$AB$121="Muy Alta",'Mapa final'!$AD$121="Mayor"),CONCATENATE("R40C",'Mapa final'!$R$121),"")</f>
        <v/>
      </c>
      <c r="T45" s="41" t="str">
        <f>IF(AND('Mapa final'!$AB$122="Muy Alta",'Mapa final'!$AD$122="Mayor"),CONCATENATE("R40C",'Mapa final'!$R$122),"")</f>
        <v/>
      </c>
      <c r="U45" s="103" t="str">
        <f>IF(AND('Mapa final'!$AB$123="Muy Alta",'Mapa final'!$AD$123="Mayor"),CONCATENATE("R40C",'Mapa final'!$R$123),"")</f>
        <v/>
      </c>
      <c r="V45" s="42" t="str">
        <f>IF(AND('Mapa final'!$AB$121="Muy Alta",'Mapa final'!$AD$121="Catastrófico"),CONCATENATE("R40C",'Mapa final'!$R$121),"")</f>
        <v/>
      </c>
      <c r="W45" s="43" t="str">
        <f>IF(AND('Mapa final'!$AB$122="Muy Alta",'Mapa final'!$AD$122="Catastrófico"),CONCATENATE("R40C",'Mapa final'!$R$122),"")</f>
        <v/>
      </c>
      <c r="X45" s="97" t="str">
        <f>IF(AND('Mapa final'!$AB$123="Muy Alta",'Mapa final'!$AD$123="Catastrófico"),CONCATENATE("R40C",'Mapa final'!$R$123),"")</f>
        <v/>
      </c>
      <c r="Y45" s="55"/>
      <c r="Z45" s="295"/>
      <c r="AA45" s="296"/>
      <c r="AB45" s="296"/>
      <c r="AC45" s="296"/>
      <c r="AD45" s="296"/>
      <c r="AE45" s="297"/>
      <c r="AF45" s="55"/>
      <c r="AG45" s="55"/>
      <c r="AH45" s="55"/>
      <c r="AI45" s="55"/>
      <c r="AJ45" s="55"/>
      <c r="AK45" s="55"/>
      <c r="AL45" s="55"/>
      <c r="AM45" s="55"/>
      <c r="AN45" s="55"/>
      <c r="AO45" s="55"/>
      <c r="AP45" s="55"/>
      <c r="AQ45" s="55"/>
      <c r="AR45" s="55"/>
      <c r="AS45" s="55"/>
      <c r="AT45" s="55"/>
      <c r="AU45" s="55"/>
      <c r="AV45" s="55"/>
      <c r="AW45" s="55"/>
      <c r="AX45" s="55"/>
      <c r="AY45" s="55"/>
      <c r="AZ45" s="55"/>
      <c r="BA45" s="55"/>
      <c r="BB45" s="55"/>
      <c r="BC45" s="55"/>
      <c r="BD45" s="55"/>
      <c r="BE45" s="55"/>
      <c r="BF45" s="55"/>
      <c r="BG45" s="55"/>
      <c r="BH45" s="55"/>
      <c r="BI45" s="55"/>
    </row>
    <row r="46" spans="1:61" ht="15" customHeight="1" x14ac:dyDescent="0.25">
      <c r="A46" s="55"/>
      <c r="B46" s="301"/>
      <c r="C46" s="301"/>
      <c r="D46" s="302"/>
      <c r="E46" s="279"/>
      <c r="F46" s="274"/>
      <c r="G46" s="274"/>
      <c r="H46" s="274"/>
      <c r="I46" s="274"/>
      <c r="J46" s="102" t="str">
        <f>IF(AND('Mapa final'!$AB$124="Muy Alta",'Mapa final'!$AD$124="Leve"),CONCATENATE("R41C",'Mapa final'!$R$124),"")</f>
        <v/>
      </c>
      <c r="K46" s="41" t="str">
        <f>IF(AND('Mapa final'!$AB$125="Muy Alta",'Mapa final'!$AD$125="Leve"),CONCATENATE("R41C",'Mapa final'!$R$125),"")</f>
        <v/>
      </c>
      <c r="L46" s="103" t="str">
        <f>IF(AND('Mapa final'!$AB$126="Muy Alta",'Mapa final'!$AD$126="Leve"),CONCATENATE("R41C",'Mapa final'!$R$126),"")</f>
        <v/>
      </c>
      <c r="M46" s="102" t="str">
        <f>IF(AND('Mapa final'!$AB$124="Muy Alta",'Mapa final'!$AD$124="Menor"),CONCATENATE("R41C",'Mapa final'!$R$124),"")</f>
        <v/>
      </c>
      <c r="N46" s="41" t="str">
        <f>IF(AND('Mapa final'!$AB$125="Muy Alta",'Mapa final'!$AD$125="Menor"),CONCATENATE("R41C",'Mapa final'!$R$125),"")</f>
        <v/>
      </c>
      <c r="O46" s="103" t="str">
        <f>IF(AND('Mapa final'!$AB$126="Muy Alta",'Mapa final'!$AD$126="Menor"),CONCATENATE("R41C",'Mapa final'!$R$126),"")</f>
        <v/>
      </c>
      <c r="P46" s="102" t="str">
        <f>IF(AND('Mapa final'!$AB$124="Muy Alta",'Mapa final'!$AD$124="Moderado"),CONCATENATE("R41C",'Mapa final'!$R$124),"")</f>
        <v/>
      </c>
      <c r="Q46" s="41" t="str">
        <f>IF(AND('Mapa final'!$AB$125="Muy Alta",'Mapa final'!$AD$125="Moderado"),CONCATENATE("R41C",'Mapa final'!$R$125),"")</f>
        <v/>
      </c>
      <c r="R46" s="103" t="str">
        <f>IF(AND('Mapa final'!$AB$126="Muy Alta",'Mapa final'!$AD$126="Moderado"),CONCATENATE("R41C",'Mapa final'!$R$126),"")</f>
        <v/>
      </c>
      <c r="S46" s="102" t="str">
        <f>IF(AND('Mapa final'!$AB$124="Muy Alta",'Mapa final'!$AD$124="Mayor"),CONCATENATE("R41C",'Mapa final'!$R$124),"")</f>
        <v/>
      </c>
      <c r="T46" s="41" t="str">
        <f>IF(AND('Mapa final'!$AB$125="Muy Alta",'Mapa final'!$AD$125="Mayor"),CONCATENATE("R41C",'Mapa final'!$R$125),"")</f>
        <v/>
      </c>
      <c r="U46" s="103" t="str">
        <f>IF(AND('Mapa final'!$AB$126="Muy Alta",'Mapa final'!$AD$126="Mayor"),CONCATENATE("R41C",'Mapa final'!$R$126),"")</f>
        <v/>
      </c>
      <c r="V46" s="42" t="str">
        <f>IF(AND('Mapa final'!$AB$124="Muy Alta",'Mapa final'!$AD$124="Catastrófico"),CONCATENATE("R41C",'Mapa final'!$R$124),"")</f>
        <v/>
      </c>
      <c r="W46" s="43" t="str">
        <f>IF(AND('Mapa final'!$AB$125="Muy Alta",'Mapa final'!$AD$125="Catastrófico"),CONCATENATE("R41C",'Mapa final'!$R$125),"")</f>
        <v/>
      </c>
      <c r="X46" s="97" t="str">
        <f>IF(AND('Mapa final'!$AB$126="Muy Alta",'Mapa final'!$AD$126="Catastrófico"),CONCATENATE("R41C",'Mapa final'!$R$126),"")</f>
        <v/>
      </c>
      <c r="Y46" s="55"/>
      <c r="Z46" s="295"/>
      <c r="AA46" s="296"/>
      <c r="AB46" s="296"/>
      <c r="AC46" s="296"/>
      <c r="AD46" s="296"/>
      <c r="AE46" s="297"/>
      <c r="AF46" s="55"/>
      <c r="AG46" s="55"/>
      <c r="AH46" s="55"/>
      <c r="AI46" s="55"/>
      <c r="AJ46" s="55"/>
      <c r="AK46" s="55"/>
      <c r="AL46" s="55"/>
      <c r="AM46" s="55"/>
      <c r="AN46" s="55"/>
      <c r="AO46" s="55"/>
      <c r="AP46" s="55"/>
      <c r="AQ46" s="55"/>
      <c r="AR46" s="55"/>
      <c r="AS46" s="55"/>
      <c r="AT46" s="55"/>
      <c r="AU46" s="55"/>
      <c r="AV46" s="55"/>
      <c r="AW46" s="55"/>
      <c r="AX46" s="55"/>
      <c r="AY46" s="55"/>
      <c r="AZ46" s="55"/>
      <c r="BA46" s="55"/>
      <c r="BB46" s="55"/>
      <c r="BC46" s="55"/>
      <c r="BD46" s="55"/>
      <c r="BE46" s="55"/>
      <c r="BF46" s="55"/>
      <c r="BG46" s="55"/>
      <c r="BH46" s="55"/>
      <c r="BI46" s="55"/>
    </row>
    <row r="47" spans="1:61" ht="15" customHeight="1" x14ac:dyDescent="0.25">
      <c r="A47" s="55"/>
      <c r="B47" s="301"/>
      <c r="C47" s="301"/>
      <c r="D47" s="302"/>
      <c r="E47" s="279"/>
      <c r="F47" s="274"/>
      <c r="G47" s="274"/>
      <c r="H47" s="274"/>
      <c r="I47" s="274"/>
      <c r="J47" s="102" t="str">
        <f>IF(AND('Mapa final'!$AB$127="Muy Alta",'Mapa final'!$AD$127="Leve"),CONCATENATE("R42C",'Mapa final'!$R$127),"")</f>
        <v/>
      </c>
      <c r="K47" s="41" t="str">
        <f>IF(AND('Mapa final'!$AB$128="Muy Alta",'Mapa final'!$AD$128="Leve"),CONCATENATE("R42C",'Mapa final'!$R$128),"")</f>
        <v/>
      </c>
      <c r="L47" s="103" t="str">
        <f>IF(AND('Mapa final'!$AB$129="Muy Alta",'Mapa final'!$AD$129="Leve"),CONCATENATE("R42C",'Mapa final'!$R$129),"")</f>
        <v/>
      </c>
      <c r="M47" s="102" t="str">
        <f>IF(AND('Mapa final'!$AB$127="Muy Alta",'Mapa final'!$AD$127="Menor"),CONCATENATE("R42C",'Mapa final'!$R$127),"")</f>
        <v/>
      </c>
      <c r="N47" s="41" t="str">
        <f>IF(AND('Mapa final'!$AB$128="Muy Alta",'Mapa final'!$AD$128="Menor"),CONCATENATE("R42C",'Mapa final'!$R$128),"")</f>
        <v/>
      </c>
      <c r="O47" s="103" t="str">
        <f>IF(AND('Mapa final'!$AB$129="Muy Alta",'Mapa final'!$AD$129="Menor"),CONCATENATE("R42C",'Mapa final'!$R$129),"")</f>
        <v/>
      </c>
      <c r="P47" s="102" t="str">
        <f>IF(AND('Mapa final'!$AB$127="Muy Alta",'Mapa final'!$AD$127="Moderado"),CONCATENATE("R42C",'Mapa final'!$R$127),"")</f>
        <v/>
      </c>
      <c r="Q47" s="41" t="str">
        <f>IF(AND('Mapa final'!$AB$128="Muy Alta",'Mapa final'!$AD$128="Moderado"),CONCATENATE("R42C",'Mapa final'!$R$128),"")</f>
        <v/>
      </c>
      <c r="R47" s="103" t="str">
        <f>IF(AND('Mapa final'!$AB$129="Muy Alta",'Mapa final'!$AD$129="Moderado"),CONCATENATE("R42C",'Mapa final'!$R$129),"")</f>
        <v/>
      </c>
      <c r="S47" s="102" t="str">
        <f>IF(AND('Mapa final'!$AB$127="Muy Alta",'Mapa final'!$AD$127="Mayor"),CONCATENATE("R42C",'Mapa final'!$R$127),"")</f>
        <v/>
      </c>
      <c r="T47" s="41" t="str">
        <f>IF(AND('Mapa final'!$AB$128="Muy Alta",'Mapa final'!$AD$128="Mayor"),CONCATENATE("R42C",'Mapa final'!$R$128),"")</f>
        <v/>
      </c>
      <c r="U47" s="103" t="str">
        <f>IF(AND('Mapa final'!$AB$129="Muy Alta",'Mapa final'!$AD$129="Mayor"),CONCATENATE("R42C",'Mapa final'!$R$129),"")</f>
        <v/>
      </c>
      <c r="V47" s="42" t="str">
        <f>IF(AND('Mapa final'!$AB$127="Muy Alta",'Mapa final'!$AD$127="Catastrófico"),CONCATENATE("R42C",'Mapa final'!$R$127),"")</f>
        <v/>
      </c>
      <c r="W47" s="43" t="str">
        <f>IF(AND('Mapa final'!$AB$128="Muy Alta",'Mapa final'!$AD$128="Catastrófico"),CONCATENATE("R42C",'Mapa final'!$R$128),"")</f>
        <v/>
      </c>
      <c r="X47" s="97" t="str">
        <f>IF(AND('Mapa final'!$AB$129="Muy Alta",'Mapa final'!$AD$129="Catastrófico"),CONCATENATE("R42C",'Mapa final'!$R$129),"")</f>
        <v/>
      </c>
      <c r="Y47" s="55"/>
      <c r="Z47" s="295"/>
      <c r="AA47" s="296"/>
      <c r="AB47" s="296"/>
      <c r="AC47" s="296"/>
      <c r="AD47" s="296"/>
      <c r="AE47" s="297"/>
      <c r="AF47" s="55"/>
      <c r="AG47" s="55"/>
      <c r="AH47" s="55"/>
      <c r="AI47" s="55"/>
      <c r="AJ47" s="55"/>
      <c r="AK47" s="55"/>
      <c r="AL47" s="55"/>
      <c r="AM47" s="55"/>
      <c r="AN47" s="55"/>
      <c r="AO47" s="55"/>
      <c r="AP47" s="55"/>
      <c r="AQ47" s="55"/>
      <c r="AR47" s="55"/>
      <c r="AS47" s="55"/>
      <c r="AT47" s="55"/>
      <c r="AU47" s="55"/>
      <c r="AV47" s="55"/>
      <c r="AW47" s="55"/>
      <c r="AX47" s="55"/>
      <c r="AY47" s="55"/>
      <c r="AZ47" s="55"/>
      <c r="BA47" s="55"/>
      <c r="BB47" s="55"/>
      <c r="BC47" s="55"/>
      <c r="BD47" s="55"/>
      <c r="BE47" s="55"/>
      <c r="BF47" s="55"/>
      <c r="BG47" s="55"/>
      <c r="BH47" s="55"/>
      <c r="BI47" s="55"/>
    </row>
    <row r="48" spans="1:61" ht="15" customHeight="1" x14ac:dyDescent="0.25">
      <c r="A48" s="55"/>
      <c r="B48" s="301"/>
      <c r="C48" s="301"/>
      <c r="D48" s="302"/>
      <c r="E48" s="279"/>
      <c r="F48" s="274"/>
      <c r="G48" s="274"/>
      <c r="H48" s="274"/>
      <c r="I48" s="274"/>
      <c r="J48" s="102" t="str">
        <f>IF(AND('Mapa final'!$AB$130="Muy Alta",'Mapa final'!$AD$130="Leve"),CONCATENATE("R43C",'Mapa final'!$R$130),"")</f>
        <v/>
      </c>
      <c r="K48" s="41" t="str">
        <f>IF(AND('Mapa final'!$AB$131="Muy Alta",'Mapa final'!$AD$131="Leve"),CONCATENATE("R43C",'Mapa final'!$R$131),"")</f>
        <v/>
      </c>
      <c r="L48" s="103" t="str">
        <f>IF(AND('Mapa final'!$AB$132="Muy Alta",'Mapa final'!$AD$132="Leve"),CONCATENATE("R43C",'Mapa final'!$R$132),"")</f>
        <v/>
      </c>
      <c r="M48" s="102" t="str">
        <f>IF(AND('Mapa final'!$AB$130="Muy Alta",'Mapa final'!$AD$130="Menor"),CONCATENATE("R43C",'Mapa final'!$R$130),"")</f>
        <v/>
      </c>
      <c r="N48" s="41" t="str">
        <f>IF(AND('Mapa final'!$AB$131="Muy Alta",'Mapa final'!$AD$131="Menor"),CONCATENATE("R43C",'Mapa final'!$R$131),"")</f>
        <v/>
      </c>
      <c r="O48" s="103" t="str">
        <f>IF(AND('Mapa final'!$AB$132="Muy Alta",'Mapa final'!$AD$132="Menor"),CONCATENATE("R43C",'Mapa final'!$R$132),"")</f>
        <v/>
      </c>
      <c r="P48" s="102" t="str">
        <f>IF(AND('Mapa final'!$AB$130="Muy Alta",'Mapa final'!$AD$130="Moderado"),CONCATENATE("R43C",'Mapa final'!$R$130),"")</f>
        <v/>
      </c>
      <c r="Q48" s="41" t="str">
        <f>IF(AND('Mapa final'!$AB$131="Muy Alta",'Mapa final'!$AD$131="Moderado"),CONCATENATE("R43C",'Mapa final'!$R$131),"")</f>
        <v/>
      </c>
      <c r="R48" s="103" t="str">
        <f>IF(AND('Mapa final'!$AB$132="Muy Alta",'Mapa final'!$AD$132="Moderado"),CONCATENATE("R43C",'Mapa final'!$R$132),"")</f>
        <v/>
      </c>
      <c r="S48" s="102" t="str">
        <f>IF(AND('Mapa final'!$AB$130="Muy Alta",'Mapa final'!$AD$130="Mayor"),CONCATENATE("R43C",'Mapa final'!$R$130),"")</f>
        <v/>
      </c>
      <c r="T48" s="41" t="str">
        <f>IF(AND('Mapa final'!$AB$131="Muy Alta",'Mapa final'!$AD$131="Mayor"),CONCATENATE("R43C",'Mapa final'!$R$131),"")</f>
        <v/>
      </c>
      <c r="U48" s="103" t="str">
        <f>IF(AND('Mapa final'!$AB$132="Muy Alta",'Mapa final'!$AD$132="Mayor"),CONCATENATE("R43C",'Mapa final'!$R$132),"")</f>
        <v/>
      </c>
      <c r="V48" s="42" t="str">
        <f>IF(AND('Mapa final'!$AB$130="Muy Alta",'Mapa final'!$AD$130="Catastrófico"),CONCATENATE("R43C",'Mapa final'!$R$130),"")</f>
        <v/>
      </c>
      <c r="W48" s="43" t="str">
        <f>IF(AND('Mapa final'!$AB$131="Muy Alta",'Mapa final'!$AD$131="Catastrófico"),CONCATENATE("R43C",'Mapa final'!$R$131),"")</f>
        <v/>
      </c>
      <c r="X48" s="97" t="str">
        <f>IF(AND('Mapa final'!$AB$132="Muy Alta",'Mapa final'!$AD$132="Catastrófico"),CONCATENATE("R43C",'Mapa final'!$R$132),"")</f>
        <v/>
      </c>
      <c r="Y48" s="55"/>
      <c r="Z48" s="295"/>
      <c r="AA48" s="296"/>
      <c r="AB48" s="296"/>
      <c r="AC48" s="296"/>
      <c r="AD48" s="296"/>
      <c r="AE48" s="297"/>
      <c r="AF48" s="55"/>
      <c r="AG48" s="55"/>
      <c r="AH48" s="55"/>
      <c r="AI48" s="55"/>
      <c r="AJ48" s="55"/>
      <c r="AK48" s="55"/>
      <c r="AL48" s="55"/>
      <c r="AM48" s="55"/>
      <c r="AN48" s="55"/>
      <c r="AO48" s="55"/>
      <c r="AP48" s="55"/>
      <c r="AQ48" s="55"/>
      <c r="AR48" s="55"/>
      <c r="AS48" s="55"/>
      <c r="AT48" s="55"/>
      <c r="AU48" s="55"/>
      <c r="AV48" s="55"/>
      <c r="AW48" s="55"/>
      <c r="AX48" s="55"/>
      <c r="AY48" s="55"/>
      <c r="AZ48" s="55"/>
      <c r="BA48" s="55"/>
      <c r="BB48" s="55"/>
      <c r="BC48" s="55"/>
      <c r="BD48" s="55"/>
      <c r="BE48" s="55"/>
      <c r="BF48" s="55"/>
      <c r="BG48" s="55"/>
      <c r="BH48" s="55"/>
      <c r="BI48" s="55"/>
    </row>
    <row r="49" spans="1:61" ht="15" customHeight="1" x14ac:dyDescent="0.25">
      <c r="A49" s="55"/>
      <c r="B49" s="301"/>
      <c r="C49" s="301"/>
      <c r="D49" s="302"/>
      <c r="E49" s="279"/>
      <c r="F49" s="274"/>
      <c r="G49" s="274"/>
      <c r="H49" s="274"/>
      <c r="I49" s="274"/>
      <c r="J49" s="102" t="str">
        <f>IF(AND('Mapa final'!$AB$133="Muy Alta",'Mapa final'!$AD$133="Leve"),CONCATENATE("R44C",'Mapa final'!$R$133),"")</f>
        <v/>
      </c>
      <c r="K49" s="41" t="str">
        <f>IF(AND('Mapa final'!$AB$134="Muy Alta",'Mapa final'!$AD$134="Leve"),CONCATENATE("R44C",'Mapa final'!$R$134),"")</f>
        <v/>
      </c>
      <c r="L49" s="103" t="str">
        <f>IF(AND('Mapa final'!$AB$135="Muy Alta",'Mapa final'!$AD$135="Leve"),CONCATENATE("R44C",'Mapa final'!$R$135),"")</f>
        <v/>
      </c>
      <c r="M49" s="102" t="str">
        <f>IF(AND('Mapa final'!$AB$133="Muy Alta",'Mapa final'!$AD$133="Menor"),CONCATENATE("R44C",'Mapa final'!$R$133),"")</f>
        <v/>
      </c>
      <c r="N49" s="41" t="str">
        <f>IF(AND('Mapa final'!$AB$134="Muy Alta",'Mapa final'!$AD$134="Menor"),CONCATENATE("R44C",'Mapa final'!$R$134),"")</f>
        <v/>
      </c>
      <c r="O49" s="103" t="str">
        <f>IF(AND('Mapa final'!$AB$135="Muy Alta",'Mapa final'!$AD$135="Menor"),CONCATENATE("R44C",'Mapa final'!$R$135),"")</f>
        <v/>
      </c>
      <c r="P49" s="102" t="str">
        <f>IF(AND('Mapa final'!$AB$133="Muy Alta",'Mapa final'!$AD$133="Moderado"),CONCATENATE("R44C",'Mapa final'!$R$133),"")</f>
        <v/>
      </c>
      <c r="Q49" s="41" t="str">
        <f>IF(AND('Mapa final'!$AB$134="Muy Alta",'Mapa final'!$AD$134="Moderado"),CONCATENATE("R44C",'Mapa final'!$R$134),"")</f>
        <v/>
      </c>
      <c r="R49" s="103" t="str">
        <f>IF(AND('Mapa final'!$AB$135="Muy Alta",'Mapa final'!$AD$135="Moderado"),CONCATENATE("R44C",'Mapa final'!$R$135),"")</f>
        <v/>
      </c>
      <c r="S49" s="102" t="str">
        <f>IF(AND('Mapa final'!$AB$133="Muy Alta",'Mapa final'!$AD$133="Mayor"),CONCATENATE("R44C",'Mapa final'!$R$133),"")</f>
        <v/>
      </c>
      <c r="T49" s="41" t="str">
        <f>IF(AND('Mapa final'!$AB$134="Muy Alta",'Mapa final'!$AD$134="Mayor"),CONCATENATE("R44C",'Mapa final'!$R$134),"")</f>
        <v/>
      </c>
      <c r="U49" s="103" t="str">
        <f>IF(AND('Mapa final'!$AB$135="Muy Alta",'Mapa final'!$AD$135="Mayor"),CONCATENATE("R44C",'Mapa final'!$R$135),"")</f>
        <v/>
      </c>
      <c r="V49" s="42" t="str">
        <f>IF(AND('Mapa final'!$AB$133="Muy Alta",'Mapa final'!$AD$133="Catastrófico"),CONCATENATE("R44C",'Mapa final'!$R$133),"")</f>
        <v/>
      </c>
      <c r="W49" s="43" t="str">
        <f>IF(AND('Mapa final'!$AB$134="Muy Alta",'Mapa final'!$AD$134="Catastrófico"),CONCATENATE("R44C",'Mapa final'!$R$134),"")</f>
        <v/>
      </c>
      <c r="X49" s="97" t="str">
        <f>IF(AND('Mapa final'!$AB$135="Muy Alta",'Mapa final'!$AD$135="Catastrófico"),CONCATENATE("R44C",'Mapa final'!$R$135),"")</f>
        <v/>
      </c>
      <c r="Y49" s="55"/>
      <c r="Z49" s="295"/>
      <c r="AA49" s="296"/>
      <c r="AB49" s="296"/>
      <c r="AC49" s="296"/>
      <c r="AD49" s="296"/>
      <c r="AE49" s="297"/>
      <c r="AF49" s="55"/>
      <c r="AG49" s="55"/>
      <c r="AH49" s="55"/>
      <c r="AI49" s="55"/>
      <c r="AJ49" s="55"/>
      <c r="AK49" s="55"/>
      <c r="AL49" s="55"/>
      <c r="AM49" s="55"/>
      <c r="AN49" s="55"/>
      <c r="AO49" s="55"/>
      <c r="AP49" s="55"/>
      <c r="AQ49" s="55"/>
      <c r="AR49" s="55"/>
      <c r="AS49" s="55"/>
      <c r="AT49" s="55"/>
      <c r="AU49" s="55"/>
      <c r="AV49" s="55"/>
      <c r="AW49" s="55"/>
      <c r="AX49" s="55"/>
      <c r="AY49" s="55"/>
      <c r="AZ49" s="55"/>
      <c r="BA49" s="55"/>
      <c r="BB49" s="55"/>
      <c r="BC49" s="55"/>
      <c r="BD49" s="55"/>
      <c r="BE49" s="55"/>
      <c r="BF49" s="55"/>
      <c r="BG49" s="55"/>
      <c r="BH49" s="55"/>
      <c r="BI49" s="55"/>
    </row>
    <row r="50" spans="1:61" ht="15" customHeight="1" x14ac:dyDescent="0.25">
      <c r="A50" s="55"/>
      <c r="B50" s="301"/>
      <c r="C50" s="301"/>
      <c r="D50" s="302"/>
      <c r="E50" s="279"/>
      <c r="F50" s="274"/>
      <c r="G50" s="274"/>
      <c r="H50" s="274"/>
      <c r="I50" s="274"/>
      <c r="J50" s="102" t="str">
        <f>IF(AND('Mapa final'!$AB$136="Muy Alta",'Mapa final'!$AD$136="Leve"),CONCATENATE("R45C",'Mapa final'!$R$136),"")</f>
        <v/>
      </c>
      <c r="K50" s="41" t="str">
        <f>IF(AND('Mapa final'!$AB$137="Muy Alta",'Mapa final'!$AD$137="Leve"),CONCATENATE("R45C",'Mapa final'!$R$137),"")</f>
        <v/>
      </c>
      <c r="L50" s="103" t="str">
        <f>IF(AND('Mapa final'!$AB$138="Muy Alta",'Mapa final'!$AD$138="Leve"),CONCATENATE("R45C",'Mapa final'!$R$138),"")</f>
        <v/>
      </c>
      <c r="M50" s="102" t="str">
        <f>IF(AND('Mapa final'!$AB$136="Muy Alta",'Mapa final'!$AD$136="Menor"),CONCATENATE("R45C",'Mapa final'!$R$136),"")</f>
        <v/>
      </c>
      <c r="N50" s="41" t="str">
        <f>IF(AND('Mapa final'!$AB$137="Muy Alta",'Mapa final'!$AD$137="Menor"),CONCATENATE("R45C",'Mapa final'!$R$137),"")</f>
        <v/>
      </c>
      <c r="O50" s="103" t="str">
        <f>IF(AND('Mapa final'!$AB$138="Muy Alta",'Mapa final'!$AD$138="Menor"),CONCATENATE("R45C",'Mapa final'!$R$138),"")</f>
        <v/>
      </c>
      <c r="P50" s="102" t="str">
        <f>IF(AND('Mapa final'!$AB$136="Muy Alta",'Mapa final'!$AD$136="Moderado"),CONCATENATE("R45C",'Mapa final'!$R$136),"")</f>
        <v/>
      </c>
      <c r="Q50" s="41" t="str">
        <f>IF(AND('Mapa final'!$AB$137="Muy Alta",'Mapa final'!$AD$137="Moderado"),CONCATENATE("R45C",'Mapa final'!$R$137),"")</f>
        <v/>
      </c>
      <c r="R50" s="103" t="str">
        <f>IF(AND('Mapa final'!$AB$138="Muy Alta",'Mapa final'!$AD$138="Moderado"),CONCATENATE("R45C",'Mapa final'!$R$138),"")</f>
        <v/>
      </c>
      <c r="S50" s="102" t="str">
        <f>IF(AND('Mapa final'!$AB$136="Muy Alta",'Mapa final'!$AD$136="Mayor"),CONCATENATE("R45C",'Mapa final'!$R$136),"")</f>
        <v/>
      </c>
      <c r="T50" s="41" t="str">
        <f>IF(AND('Mapa final'!$AB$137="Muy Alta",'Mapa final'!$AD$137="Mayor"),CONCATENATE("R45C",'Mapa final'!$R$137),"")</f>
        <v/>
      </c>
      <c r="U50" s="103" t="str">
        <f>IF(AND('Mapa final'!$AB$138="Muy Alta",'Mapa final'!$AD$138="Mayor"),CONCATENATE("R45C",'Mapa final'!$R$138),"")</f>
        <v/>
      </c>
      <c r="V50" s="42" t="str">
        <f>IF(AND('Mapa final'!$AB$136="Muy Alta",'Mapa final'!$AD$136="Catastrófico"),CONCATENATE("R45C",'Mapa final'!$R$136),"")</f>
        <v/>
      </c>
      <c r="W50" s="43" t="str">
        <f>IF(AND('Mapa final'!$AB$137="Muy Alta",'Mapa final'!$AD$137="Catastrófico"),CONCATENATE("R45C",'Mapa final'!$R$137),"")</f>
        <v/>
      </c>
      <c r="X50" s="97" t="str">
        <f>IF(AND('Mapa final'!$AB$138="Muy Alta",'Mapa final'!$AD$138="Catastrófico"),CONCATENATE("R45C",'Mapa final'!$R$138),"")</f>
        <v/>
      </c>
      <c r="Y50" s="55"/>
      <c r="Z50" s="295"/>
      <c r="AA50" s="296"/>
      <c r="AB50" s="296"/>
      <c r="AC50" s="296"/>
      <c r="AD50" s="296"/>
      <c r="AE50" s="297"/>
      <c r="AF50" s="55"/>
      <c r="AG50" s="55"/>
      <c r="AH50" s="55"/>
      <c r="AI50" s="55"/>
      <c r="AJ50" s="55"/>
      <c r="AK50" s="55"/>
      <c r="AL50" s="55"/>
      <c r="AM50" s="55"/>
      <c r="AN50" s="55"/>
      <c r="AO50" s="55"/>
      <c r="AP50" s="55"/>
      <c r="AQ50" s="55"/>
      <c r="AR50" s="55"/>
      <c r="AS50" s="55"/>
      <c r="AT50" s="55"/>
      <c r="AU50" s="55"/>
      <c r="AV50" s="55"/>
      <c r="AW50" s="55"/>
      <c r="AX50" s="55"/>
      <c r="AY50" s="55"/>
      <c r="AZ50" s="55"/>
      <c r="BA50" s="55"/>
      <c r="BB50" s="55"/>
      <c r="BC50" s="55"/>
      <c r="BD50" s="55"/>
      <c r="BE50" s="55"/>
      <c r="BF50" s="55"/>
      <c r="BG50" s="55"/>
      <c r="BH50" s="55"/>
      <c r="BI50" s="55"/>
    </row>
    <row r="51" spans="1:61" ht="15" customHeight="1" x14ac:dyDescent="0.25">
      <c r="A51" s="55"/>
      <c r="B51" s="301"/>
      <c r="C51" s="301"/>
      <c r="D51" s="302"/>
      <c r="E51" s="279"/>
      <c r="F51" s="274"/>
      <c r="G51" s="274"/>
      <c r="H51" s="274"/>
      <c r="I51" s="274"/>
      <c r="J51" s="102" t="str">
        <f>IF(AND('Mapa final'!$AB$139="Muy Alta",'Mapa final'!$AD$139="Leve"),CONCATENATE("R46C",'Mapa final'!$R$139),"")</f>
        <v/>
      </c>
      <c r="K51" s="41" t="str">
        <f>IF(AND('Mapa final'!$AB$140="Muy Alta",'Mapa final'!$AD$140="Leve"),CONCATENATE("R46C",'Mapa final'!$R$140),"")</f>
        <v/>
      </c>
      <c r="L51" s="103" t="str">
        <f>IF(AND('Mapa final'!$AB$141="Muy Alta",'Mapa final'!$AD$141="Leve"),CONCATENATE("R46C",'Mapa final'!$R$141),"")</f>
        <v/>
      </c>
      <c r="M51" s="102" t="str">
        <f>IF(AND('Mapa final'!$AB$139="Muy Alta",'Mapa final'!$AD$139="Menor"),CONCATENATE("R46C",'Mapa final'!$R$139),"")</f>
        <v/>
      </c>
      <c r="N51" s="41" t="str">
        <f>IF(AND('Mapa final'!$AB$140="Muy Alta",'Mapa final'!$AD$140="Menor"),CONCATENATE("R46C",'Mapa final'!$R$140),"")</f>
        <v/>
      </c>
      <c r="O51" s="103" t="str">
        <f>IF(AND('Mapa final'!$AB$141="Muy Alta",'Mapa final'!$AD$141="Menor"),CONCATENATE("R46C",'Mapa final'!$R$141),"")</f>
        <v/>
      </c>
      <c r="P51" s="102" t="str">
        <f>IF(AND('Mapa final'!$AB$139="Muy Alta",'Mapa final'!$AD$139="Moderado"),CONCATENATE("R46C",'Mapa final'!$R$139),"")</f>
        <v/>
      </c>
      <c r="Q51" s="41" t="str">
        <f>IF(AND('Mapa final'!$AB$140="Muy Alta",'Mapa final'!$AD$140="Moderado"),CONCATENATE("R46C",'Mapa final'!$R$140),"")</f>
        <v/>
      </c>
      <c r="R51" s="103" t="str">
        <f>IF(AND('Mapa final'!$AB$141="Muy Alta",'Mapa final'!$AD$141="Moderado"),CONCATENATE("R46C",'Mapa final'!$R$141),"")</f>
        <v/>
      </c>
      <c r="S51" s="102" t="str">
        <f>IF(AND('Mapa final'!$AB$139="Muy Alta",'Mapa final'!$AD$139="Mayor"),CONCATENATE("R46C",'Mapa final'!$R$139),"")</f>
        <v/>
      </c>
      <c r="T51" s="41" t="str">
        <f>IF(AND('Mapa final'!$AB$140="Muy Alta",'Mapa final'!$AD$140="Mayor"),CONCATENATE("R46C",'Mapa final'!$R$140),"")</f>
        <v/>
      </c>
      <c r="U51" s="103" t="str">
        <f>IF(AND('Mapa final'!$AB$141="Muy Alta",'Mapa final'!$AD$141="Mayor"),CONCATENATE("R46C",'Mapa final'!$R$141),"")</f>
        <v/>
      </c>
      <c r="V51" s="42" t="str">
        <f>IF(AND('Mapa final'!$AB$139="Muy Alta",'Mapa final'!$AD$139="Catastrófico"),CONCATENATE("R46C",'Mapa final'!$R$139),"")</f>
        <v/>
      </c>
      <c r="W51" s="43" t="str">
        <f>IF(AND('Mapa final'!$AB$140="Muy Alta",'Mapa final'!$AD$140="Catastrófico"),CONCATENATE("R46C",'Mapa final'!$R$140),"")</f>
        <v/>
      </c>
      <c r="X51" s="97" t="str">
        <f>IF(AND('Mapa final'!$AB$141="Muy Alta",'Mapa final'!$AD$141="Catastrófico"),CONCATENATE("R46C",'Mapa final'!$R$141),"")</f>
        <v/>
      </c>
      <c r="Y51" s="55"/>
      <c r="Z51" s="295"/>
      <c r="AA51" s="296"/>
      <c r="AB51" s="296"/>
      <c r="AC51" s="296"/>
      <c r="AD51" s="296"/>
      <c r="AE51" s="297"/>
      <c r="AF51" s="55"/>
      <c r="AG51" s="55"/>
      <c r="AH51" s="55"/>
      <c r="AI51" s="55"/>
      <c r="AJ51" s="55"/>
      <c r="AK51" s="55"/>
      <c r="AL51" s="55"/>
      <c r="AM51" s="55"/>
      <c r="AN51" s="55"/>
      <c r="AO51" s="55"/>
      <c r="AP51" s="55"/>
      <c r="AQ51" s="55"/>
      <c r="AR51" s="55"/>
      <c r="AS51" s="55"/>
      <c r="AT51" s="55"/>
      <c r="AU51" s="55"/>
      <c r="AV51" s="55"/>
      <c r="AW51" s="55"/>
      <c r="AX51" s="55"/>
      <c r="AY51" s="55"/>
      <c r="AZ51" s="55"/>
      <c r="BA51" s="55"/>
      <c r="BB51" s="55"/>
      <c r="BC51" s="55"/>
      <c r="BD51" s="55"/>
      <c r="BE51" s="55"/>
      <c r="BF51" s="55"/>
      <c r="BG51" s="55"/>
      <c r="BH51" s="55"/>
      <c r="BI51" s="55"/>
    </row>
    <row r="52" spans="1:61" ht="15" customHeight="1" x14ac:dyDescent="0.25">
      <c r="A52" s="55"/>
      <c r="B52" s="301"/>
      <c r="C52" s="301"/>
      <c r="D52" s="302"/>
      <c r="E52" s="279"/>
      <c r="F52" s="274"/>
      <c r="G52" s="274"/>
      <c r="H52" s="274"/>
      <c r="I52" s="274"/>
      <c r="J52" s="102" t="str">
        <f>IF(AND('Mapa final'!$AB$142="Muy Alta",'Mapa final'!$AD$142="Leve"),CONCATENATE("R47C",'Mapa final'!$R$142),"")</f>
        <v/>
      </c>
      <c r="K52" s="41" t="str">
        <f>IF(AND('Mapa final'!$AB$143="Muy Alta",'Mapa final'!$AD$143="Leve"),CONCATENATE("R47C",'Mapa final'!$R$143),"")</f>
        <v/>
      </c>
      <c r="L52" s="103" t="str">
        <f>IF(AND('Mapa final'!$AB$144="Muy Alta",'Mapa final'!$AD$144="Leve"),CONCATENATE("R47C",'Mapa final'!$R$144),"")</f>
        <v/>
      </c>
      <c r="M52" s="102" t="str">
        <f>IF(AND('Mapa final'!$AB$142="Muy Alta",'Mapa final'!$AD$142="Menor"),CONCATENATE("R47C",'Mapa final'!$R$142),"")</f>
        <v/>
      </c>
      <c r="N52" s="41" t="str">
        <f>IF(AND('Mapa final'!$AB$143="Muy Alta",'Mapa final'!$AD$143="Menor"),CONCATENATE("R47C",'Mapa final'!$R$143),"")</f>
        <v/>
      </c>
      <c r="O52" s="103" t="str">
        <f>IF(AND('Mapa final'!$AB$144="Muy Alta",'Mapa final'!$AD$144="Menor"),CONCATENATE("R47C",'Mapa final'!$R$144),"")</f>
        <v/>
      </c>
      <c r="P52" s="102" t="str">
        <f>IF(AND('Mapa final'!$AB$142="Muy Alta",'Mapa final'!$AD$142="Moderado"),CONCATENATE("R47C",'Mapa final'!$R$142),"")</f>
        <v/>
      </c>
      <c r="Q52" s="41" t="str">
        <f>IF(AND('Mapa final'!$AB$143="Muy Alta",'Mapa final'!$AD$143="Moderado"),CONCATENATE("R47C",'Mapa final'!$R$143),"")</f>
        <v/>
      </c>
      <c r="R52" s="103" t="str">
        <f>IF(AND('Mapa final'!$AB$144="Muy Alta",'Mapa final'!$AD$144="Moderado"),CONCATENATE("R47C",'Mapa final'!$R$144),"")</f>
        <v/>
      </c>
      <c r="S52" s="102" t="str">
        <f>IF(AND('Mapa final'!$AB$142="Muy Alta",'Mapa final'!$AD$142="Mayor"),CONCATENATE("R47C",'Mapa final'!$R$142),"")</f>
        <v/>
      </c>
      <c r="T52" s="41" t="str">
        <f>IF(AND('Mapa final'!$AB$143="Muy Alta",'Mapa final'!$AD$143="Mayor"),CONCATENATE("R47C",'Mapa final'!$R$143),"")</f>
        <v/>
      </c>
      <c r="U52" s="103" t="str">
        <f>IF(AND('Mapa final'!$AB$144="Muy Alta",'Mapa final'!$AD$144="Mayor"),CONCATENATE("R47C",'Mapa final'!$R$144),"")</f>
        <v/>
      </c>
      <c r="V52" s="42" t="str">
        <f>IF(AND('Mapa final'!$AB$142="Muy Alta",'Mapa final'!$AD$142="Catastrófico"),CONCATENATE("R47C",'Mapa final'!$R$142),"")</f>
        <v/>
      </c>
      <c r="W52" s="43" t="str">
        <f>IF(AND('Mapa final'!$AB$143="Muy Alta",'Mapa final'!$AD$143="Catastrófico"),CONCATENATE("R47C",'Mapa final'!$R$143),"")</f>
        <v/>
      </c>
      <c r="X52" s="97" t="str">
        <f>IF(AND('Mapa final'!$AB$144="Muy Alta",'Mapa final'!$AD$144="Catastrófico"),CONCATENATE("R47C",'Mapa final'!$R$144),"")</f>
        <v/>
      </c>
      <c r="Y52" s="55"/>
      <c r="Z52" s="295"/>
      <c r="AA52" s="296"/>
      <c r="AB52" s="296"/>
      <c r="AC52" s="296"/>
      <c r="AD52" s="296"/>
      <c r="AE52" s="297"/>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5"/>
    </row>
    <row r="53" spans="1:61" ht="15" customHeight="1" x14ac:dyDescent="0.25">
      <c r="A53" s="55"/>
      <c r="B53" s="301"/>
      <c r="C53" s="301"/>
      <c r="D53" s="302"/>
      <c r="E53" s="279"/>
      <c r="F53" s="274"/>
      <c r="G53" s="274"/>
      <c r="H53" s="274"/>
      <c r="I53" s="274"/>
      <c r="J53" s="102" t="str">
        <f>IF(AND('Mapa final'!$AB$145="Muy Alta",'Mapa final'!$AD$145="Leve"),CONCATENATE("R48C",'Mapa final'!$R$145),"")</f>
        <v/>
      </c>
      <c r="K53" s="41" t="str">
        <f>IF(AND('Mapa final'!$AB$146="Muy Alta",'Mapa final'!$AD$146="Leve"),CONCATENATE("R48C",'Mapa final'!$R$146),"")</f>
        <v/>
      </c>
      <c r="L53" s="103" t="str">
        <f>IF(AND('Mapa final'!$AB$147="Muy Alta",'Mapa final'!$AD$147="Leve"),CONCATENATE("R48C",'Mapa final'!$R$147),"")</f>
        <v/>
      </c>
      <c r="M53" s="102" t="str">
        <f>IF(AND('Mapa final'!$AB$145="Muy Alta",'Mapa final'!$AD$145="Menor"),CONCATENATE("R48C",'Mapa final'!$R$145),"")</f>
        <v/>
      </c>
      <c r="N53" s="41" t="str">
        <f>IF(AND('Mapa final'!$AB$146="Muy Alta",'Mapa final'!$AD$146="Menor"),CONCATENATE("R48C",'Mapa final'!$R$146),"")</f>
        <v/>
      </c>
      <c r="O53" s="103" t="str">
        <f>IF(AND('Mapa final'!$AB$147="Muy Alta",'Mapa final'!$AD$147="Menor"),CONCATENATE("R48C",'Mapa final'!$R$147),"")</f>
        <v/>
      </c>
      <c r="P53" s="102" t="str">
        <f>IF(AND('Mapa final'!$AB$145="Muy Alta",'Mapa final'!$AD$145="Moderado"),CONCATENATE("R48C",'Mapa final'!$R$145),"")</f>
        <v/>
      </c>
      <c r="Q53" s="41" t="str">
        <f>IF(AND('Mapa final'!$AB$146="Muy Alta",'Mapa final'!$AD$146="Moderado"),CONCATENATE("R48C",'Mapa final'!$R$146),"")</f>
        <v/>
      </c>
      <c r="R53" s="103" t="str">
        <f>IF(AND('Mapa final'!$AB$147="Muy Alta",'Mapa final'!$AD$147="Moderado"),CONCATENATE("R48C",'Mapa final'!$R$147),"")</f>
        <v/>
      </c>
      <c r="S53" s="102" t="str">
        <f>IF(AND('Mapa final'!$AB$145="Muy Alta",'Mapa final'!$AD$145="Mayor"),CONCATENATE("R48C",'Mapa final'!$R$145),"")</f>
        <v/>
      </c>
      <c r="T53" s="41" t="str">
        <f>IF(AND('Mapa final'!$AB$146="Muy Alta",'Mapa final'!$AD$146="Mayor"),CONCATENATE("R48C",'Mapa final'!$R$146),"")</f>
        <v/>
      </c>
      <c r="U53" s="103" t="str">
        <f>IF(AND('Mapa final'!$AB$147="Muy Alta",'Mapa final'!$AD$147="Mayor"),CONCATENATE("R48C",'Mapa final'!$R$147),"")</f>
        <v/>
      </c>
      <c r="V53" s="42" t="str">
        <f>IF(AND('Mapa final'!$AB$145="Muy Alta",'Mapa final'!$AD$145="Catastrófico"),CONCATENATE("R48C",'Mapa final'!$R$145),"")</f>
        <v/>
      </c>
      <c r="W53" s="43" t="str">
        <f>IF(AND('Mapa final'!$AB$146="Muy Alta",'Mapa final'!$AD$146="Catastrófico"),CONCATENATE("R48C",'Mapa final'!$R$146),"")</f>
        <v/>
      </c>
      <c r="X53" s="97" t="str">
        <f>IF(AND('Mapa final'!$AB$147="Muy Alta",'Mapa final'!$AD$147="Catastrófico"),CONCATENATE("R48C",'Mapa final'!$R$147),"")</f>
        <v/>
      </c>
      <c r="Y53" s="55"/>
      <c r="Z53" s="295"/>
      <c r="AA53" s="296"/>
      <c r="AB53" s="296"/>
      <c r="AC53" s="296"/>
      <c r="AD53" s="296"/>
      <c r="AE53" s="297"/>
      <c r="AF53" s="55"/>
      <c r="AG53" s="55"/>
      <c r="AH53" s="55"/>
      <c r="AI53" s="55"/>
      <c r="AJ53" s="55"/>
      <c r="AK53" s="55"/>
      <c r="AL53" s="55"/>
      <c r="AM53" s="55"/>
      <c r="AN53" s="55"/>
      <c r="AO53" s="55"/>
      <c r="AP53" s="55"/>
      <c r="AQ53" s="55"/>
      <c r="AR53" s="55"/>
      <c r="AS53" s="55"/>
      <c r="AT53" s="55"/>
      <c r="AU53" s="55"/>
      <c r="AV53" s="55"/>
      <c r="AW53" s="55"/>
      <c r="AX53" s="55"/>
      <c r="AY53" s="55"/>
      <c r="AZ53" s="55"/>
      <c r="BA53" s="55"/>
      <c r="BB53" s="55"/>
      <c r="BC53" s="55"/>
      <c r="BD53" s="55"/>
      <c r="BE53" s="55"/>
      <c r="BF53" s="55"/>
      <c r="BG53" s="55"/>
      <c r="BH53" s="55"/>
      <c r="BI53" s="55"/>
    </row>
    <row r="54" spans="1:61" ht="15" customHeight="1" x14ac:dyDescent="0.25">
      <c r="A54" s="55"/>
      <c r="B54" s="301"/>
      <c r="C54" s="301"/>
      <c r="D54" s="302"/>
      <c r="E54" s="279"/>
      <c r="F54" s="274"/>
      <c r="G54" s="274"/>
      <c r="H54" s="274"/>
      <c r="I54" s="274"/>
      <c r="J54" s="102" t="str">
        <f>IF(AND('Mapa final'!$AB$148="Muy Alta",'Mapa final'!$AD$148="Leve"),CONCATENATE("R49C",'Mapa final'!$R$148),"")</f>
        <v/>
      </c>
      <c r="K54" s="41" t="str">
        <f>IF(AND('Mapa final'!$AB$149="Muy Alta",'Mapa final'!$AD$149="Leve"),CONCATENATE("R49C",'Mapa final'!$R$149),"")</f>
        <v/>
      </c>
      <c r="L54" s="103" t="str">
        <f>IF(AND('Mapa final'!$AB$150="Muy Alta",'Mapa final'!$AD$150="Leve"),CONCATENATE("R49C",'Mapa final'!$R$150),"")</f>
        <v/>
      </c>
      <c r="M54" s="102" t="str">
        <f>IF(AND('Mapa final'!$AB$148="Muy Alta",'Mapa final'!$AD$148="Menor"),CONCATENATE("R49C",'Mapa final'!$R$148),"")</f>
        <v/>
      </c>
      <c r="N54" s="41" t="str">
        <f>IF(AND('Mapa final'!$AB$149="Muy Alta",'Mapa final'!$AD$149="Menor"),CONCATENATE("R49C",'Mapa final'!$R$149),"")</f>
        <v/>
      </c>
      <c r="O54" s="103" t="str">
        <f>IF(AND('Mapa final'!$AB$150="Muy Alta",'Mapa final'!$AD$150="Menor"),CONCATENATE("R49C",'Mapa final'!$R$150),"")</f>
        <v/>
      </c>
      <c r="P54" s="102" t="str">
        <f>IF(AND('Mapa final'!$AB$148="Muy Alta",'Mapa final'!$AD$148="Moderado"),CONCATENATE("R49C",'Mapa final'!$R$148),"")</f>
        <v/>
      </c>
      <c r="Q54" s="41" t="str">
        <f>IF(AND('Mapa final'!$AB$149="Muy Alta",'Mapa final'!$AD$149="Moderado"),CONCATENATE("R49C",'Mapa final'!$R$149),"")</f>
        <v/>
      </c>
      <c r="R54" s="103" t="str">
        <f>IF(AND('Mapa final'!$AB$150="Muy Alta",'Mapa final'!$AD$150="Moderado"),CONCATENATE("R49C",'Mapa final'!$R$150),"")</f>
        <v/>
      </c>
      <c r="S54" s="102" t="str">
        <f>IF(AND('Mapa final'!$AB$148="Muy Alta",'Mapa final'!$AD$148="Mayor"),CONCATENATE("R49C",'Mapa final'!$R$148),"")</f>
        <v/>
      </c>
      <c r="T54" s="41" t="str">
        <f>IF(AND('Mapa final'!$AB$149="Muy Alta",'Mapa final'!$AD$149="Mayor"),CONCATENATE("R49C",'Mapa final'!$R$149),"")</f>
        <v/>
      </c>
      <c r="U54" s="103" t="str">
        <f>IF(AND('Mapa final'!$AB$150="Muy Alta",'Mapa final'!$AD$150="Mayor"),CONCATENATE("R49C",'Mapa final'!$R$150),"")</f>
        <v/>
      </c>
      <c r="V54" s="42" t="str">
        <f>IF(AND('Mapa final'!$AB$148="Muy Alta",'Mapa final'!$AD$148="Catastrófico"),CONCATENATE("R49C",'Mapa final'!$R$148),"")</f>
        <v/>
      </c>
      <c r="W54" s="43" t="str">
        <f>IF(AND('Mapa final'!$AB$149="Muy Alta",'Mapa final'!$AD$149="Catastrófico"),CONCATENATE("R49C",'Mapa final'!$R$149),"")</f>
        <v/>
      </c>
      <c r="X54" s="97" t="str">
        <f>IF(AND('Mapa final'!$AB$150="Muy Alta",'Mapa final'!$AD$150="Catastrófico"),CONCATENATE("R49C",'Mapa final'!$R$150),"")</f>
        <v/>
      </c>
      <c r="Y54" s="55"/>
      <c r="Z54" s="295"/>
      <c r="AA54" s="296"/>
      <c r="AB54" s="296"/>
      <c r="AC54" s="296"/>
      <c r="AD54" s="296"/>
      <c r="AE54" s="297"/>
      <c r="AF54" s="55"/>
      <c r="AG54" s="55"/>
      <c r="AH54" s="55"/>
      <c r="AI54" s="55"/>
      <c r="AJ54" s="55"/>
      <c r="AK54" s="55"/>
      <c r="AL54" s="55"/>
      <c r="AM54" s="55"/>
      <c r="AN54" s="55"/>
      <c r="AO54" s="55"/>
      <c r="AP54" s="55"/>
      <c r="AQ54" s="55"/>
      <c r="AR54" s="55"/>
      <c r="AS54" s="55"/>
      <c r="AT54" s="55"/>
      <c r="AU54" s="55"/>
      <c r="AV54" s="55"/>
      <c r="AW54" s="55"/>
      <c r="AX54" s="55"/>
      <c r="AY54" s="55"/>
      <c r="AZ54" s="55"/>
      <c r="BA54" s="55"/>
      <c r="BB54" s="55"/>
      <c r="BC54" s="55"/>
      <c r="BD54" s="55"/>
      <c r="BE54" s="55"/>
      <c r="BF54" s="55"/>
      <c r="BG54" s="55"/>
      <c r="BH54" s="55"/>
      <c r="BI54" s="55"/>
    </row>
    <row r="55" spans="1:61" ht="15" customHeight="1" thickBot="1" x14ac:dyDescent="0.3">
      <c r="A55" s="55"/>
      <c r="B55" s="301"/>
      <c r="C55" s="301"/>
      <c r="D55" s="302"/>
      <c r="E55" s="279"/>
      <c r="F55" s="274"/>
      <c r="G55" s="274"/>
      <c r="H55" s="274"/>
      <c r="I55" s="274"/>
      <c r="J55" s="102" t="str">
        <f>IF(AND('Mapa final'!$AB$151="Muy Alta",'Mapa final'!$AD$151="Leve"),CONCATENATE("R50C",'Mapa final'!$R$151),"")</f>
        <v/>
      </c>
      <c r="K55" s="41" t="str">
        <f>IF(AND('Mapa final'!$AB$152="Muy Alta",'Mapa final'!$AD$152="Leve"),CONCATENATE("R50C",'Mapa final'!$R$152),"")</f>
        <v/>
      </c>
      <c r="L55" s="103" t="str">
        <f>IF(AND('Mapa final'!$AB$153="Muy Alta",'Mapa final'!$AD$153="Leve"),CONCATENATE("R50C",'Mapa final'!$R$153),"")</f>
        <v/>
      </c>
      <c r="M55" s="102" t="str">
        <f>IF(AND('Mapa final'!$AB$151="Muy Alta",'Mapa final'!$AD$151="Menor"),CONCATENATE("R50C",'Mapa final'!$R$151),"")</f>
        <v/>
      </c>
      <c r="N55" s="41" t="str">
        <f>IF(AND('Mapa final'!$AB$152="Muy Alta",'Mapa final'!$AD$152="Menor"),CONCATENATE("R50C",'Mapa final'!$R$152),"")</f>
        <v/>
      </c>
      <c r="O55" s="103" t="str">
        <f>IF(AND('Mapa final'!$AB$153="Muy Alta",'Mapa final'!$AD$153="Menor"),CONCATENATE("R50C",'Mapa final'!$R$153),"")</f>
        <v/>
      </c>
      <c r="P55" s="102" t="str">
        <f>IF(AND('Mapa final'!$AB$151="Muy Alta",'Mapa final'!$AD$151="Moderado"),CONCATENATE("R50C",'Mapa final'!$R$151),"")</f>
        <v/>
      </c>
      <c r="Q55" s="41" t="str">
        <f>IF(AND('Mapa final'!$AB$152="Muy Alta",'Mapa final'!$AD$152="Moderado"),CONCATENATE("R50C",'Mapa final'!$R$152),"")</f>
        <v/>
      </c>
      <c r="R55" s="103" t="str">
        <f>IF(AND('Mapa final'!$AB$153="Muy Alta",'Mapa final'!$AD$153="Moderado"),CONCATENATE("R50C",'Mapa final'!$R$153),"")</f>
        <v/>
      </c>
      <c r="S55" s="104" t="str">
        <f>IF(AND('Mapa final'!$AB$151="Muy Alta",'Mapa final'!$AD$151="Mayor"),CONCATENATE("R50C",'Mapa final'!$R$151),"")</f>
        <v/>
      </c>
      <c r="T55" s="105" t="str">
        <f>IF(AND('Mapa final'!$AB$152="Muy Alta",'Mapa final'!$AD$152="Mayor"),CONCATENATE("R50C",'Mapa final'!$R$152),"")</f>
        <v/>
      </c>
      <c r="U55" s="106" t="str">
        <f>IF(AND('Mapa final'!$AB$153="Muy Alta",'Mapa final'!$AD$153="Mayor"),CONCATENATE("R50C",'Mapa final'!$R$153),"")</f>
        <v/>
      </c>
      <c r="V55" s="44" t="str">
        <f>IF(AND('Mapa final'!$AB$151="Muy Alta",'Mapa final'!$AD$151="Catastrófico"),CONCATENATE("R50C",'Mapa final'!$R$151),"")</f>
        <v/>
      </c>
      <c r="W55" s="45" t="str">
        <f>IF(AND('Mapa final'!$AB$152="Muy Alta",'Mapa final'!$AD$152="Catastrófico"),CONCATENATE("R50C",'Mapa final'!$R$152),"")</f>
        <v/>
      </c>
      <c r="X55" s="98" t="str">
        <f>IF(AND('Mapa final'!$AB$153="Muy Alta",'Mapa final'!$AD$153="Catastrófico"),CONCATENATE("R50C",'Mapa final'!$R$153),"")</f>
        <v/>
      </c>
      <c r="Y55" s="55"/>
      <c r="Z55" s="295"/>
      <c r="AA55" s="296"/>
      <c r="AB55" s="296"/>
      <c r="AC55" s="296"/>
      <c r="AD55" s="296"/>
      <c r="AE55" s="297"/>
      <c r="AF55" s="55"/>
      <c r="AG55" s="55"/>
      <c r="AH55" s="55"/>
      <c r="AI55" s="55"/>
      <c r="AJ55" s="55"/>
      <c r="AK55" s="55"/>
      <c r="AL55" s="55"/>
      <c r="AM55" s="55"/>
      <c r="AN55" s="55"/>
      <c r="AO55" s="55"/>
      <c r="AP55" s="55"/>
      <c r="AQ55" s="55"/>
      <c r="AR55" s="55"/>
      <c r="AS55" s="55"/>
      <c r="AT55" s="55"/>
      <c r="AU55" s="55"/>
      <c r="AV55" s="55"/>
      <c r="AW55" s="55"/>
      <c r="AX55" s="55"/>
      <c r="AY55" s="55"/>
      <c r="AZ55" s="55"/>
      <c r="BA55" s="55"/>
      <c r="BB55" s="55"/>
      <c r="BC55" s="55"/>
      <c r="BD55" s="55"/>
      <c r="BE55" s="55"/>
      <c r="BF55" s="55"/>
      <c r="BG55" s="55"/>
      <c r="BH55" s="55"/>
      <c r="BI55" s="55"/>
    </row>
    <row r="56" spans="1:61" ht="15" customHeight="1" x14ac:dyDescent="0.25">
      <c r="A56" s="55"/>
      <c r="B56" s="301"/>
      <c r="C56" s="301"/>
      <c r="D56" s="302"/>
      <c r="E56" s="290" t="s">
        <v>106</v>
      </c>
      <c r="F56" s="291"/>
      <c r="G56" s="291"/>
      <c r="H56" s="291"/>
      <c r="I56" s="291"/>
      <c r="J56" s="46" t="str">
        <f>IF(AND('Mapa final'!$AB$7="Alta",'Mapa final'!$AD$7="Leve"),CONCATENATE("R1C",'Mapa final'!$R$7),"")</f>
        <v/>
      </c>
      <c r="K56" s="47" t="str">
        <f>IF(AND('Mapa final'!$AB$8="Alta",'Mapa final'!$AD$8="Leve"),CONCATENATE("R1C",'Mapa final'!$R$8),"")</f>
        <v/>
      </c>
      <c r="L56" s="107" t="str">
        <f>IF(AND('Mapa final'!$AB$9="Alta",'Mapa final'!$AD$9="Leve"),CONCATENATE("R1C",'Mapa final'!$R$9),"")</f>
        <v/>
      </c>
      <c r="M56" s="46" t="str">
        <f>IF(AND('Mapa final'!$AB$7="Alta",'Mapa final'!$AD$7="Menor"),CONCATENATE("R1C",'Mapa final'!$R$7),"")</f>
        <v/>
      </c>
      <c r="N56" s="47" t="str">
        <f>IF(AND('Mapa final'!$AB$8="Alta",'Mapa final'!$AD$8="Menor"),CONCATENATE("R1C",'Mapa final'!$R$8),"")</f>
        <v/>
      </c>
      <c r="O56" s="107" t="str">
        <f>IF(AND('Mapa final'!$AB$9="Alta",'Mapa final'!$AD$9="Menor"),CONCATENATE("R1C",'Mapa final'!$R$9),"")</f>
        <v/>
      </c>
      <c r="P56" s="99" t="str">
        <f>IF(AND('Mapa final'!$AB$7="Alta",'Mapa final'!$AD$7="Moderado"),CONCATENATE("R1C",'Mapa final'!$R$7),"")</f>
        <v/>
      </c>
      <c r="Q56" s="100" t="str">
        <f>IF(AND('Mapa final'!$AB$8="Alta",'Mapa final'!$AD$8="Moderado"),CONCATENATE("R1C",'Mapa final'!$R$8),"")</f>
        <v/>
      </c>
      <c r="R56" s="101" t="str">
        <f>IF(AND('Mapa final'!$AB$9="Alta",'Mapa final'!$AD$9="Moderado"),CONCATENATE("R1C",'Mapa final'!$R$9),"")</f>
        <v/>
      </c>
      <c r="S56" s="99" t="str">
        <f>IF(AND('Mapa final'!$AB$7="Alta",'Mapa final'!$AD$7="Mayor"),CONCATENATE("R1C",'Mapa final'!$R$7),"")</f>
        <v/>
      </c>
      <c r="T56" s="100" t="str">
        <f>IF(AND('Mapa final'!$AB$8="Alta",'Mapa final'!$AD$8="Mayor"),CONCATENATE("R1C",'Mapa final'!$R$8),"")</f>
        <v/>
      </c>
      <c r="U56" s="101" t="str">
        <f>IF(AND('Mapa final'!$AB$9="Alta",'Mapa final'!$AD$9="Mayor"),CONCATENATE("R1C",'Mapa final'!$R$9),"")</f>
        <v/>
      </c>
      <c r="V56" s="39" t="str">
        <f>IF(AND('Mapa final'!$AB$7="Alta",'Mapa final'!$AD$7="Catastrófico"),CONCATENATE("R1C",'Mapa final'!$R$7),"")</f>
        <v/>
      </c>
      <c r="W56" s="40" t="str">
        <f>IF(AND('Mapa final'!$AB$8="Alta",'Mapa final'!$AD$8="Catastrófico"),CONCATENATE("R1C",'Mapa final'!$R$8),"")</f>
        <v/>
      </c>
      <c r="X56" s="96" t="str">
        <f>IF(AND('Mapa final'!$AB$9="Alta",'Mapa final'!$AD$9="Catastrófico"),CONCATENATE("R1C",'Mapa final'!$R$9),"")</f>
        <v/>
      </c>
      <c r="Y56" s="55"/>
      <c r="Z56" s="284" t="s">
        <v>74</v>
      </c>
      <c r="AA56" s="285"/>
      <c r="AB56" s="285"/>
      <c r="AC56" s="285"/>
      <c r="AD56" s="285"/>
      <c r="AE56" s="286"/>
      <c r="AF56" s="55"/>
      <c r="AG56" s="55"/>
      <c r="AH56" s="55"/>
      <c r="AI56" s="55"/>
      <c r="AJ56" s="55"/>
      <c r="AK56" s="55"/>
      <c r="AL56" s="55"/>
      <c r="AM56" s="55"/>
      <c r="AN56" s="55"/>
      <c r="AO56" s="55"/>
      <c r="AP56" s="55"/>
      <c r="AQ56" s="55"/>
      <c r="AR56" s="55"/>
      <c r="AS56" s="55"/>
      <c r="AT56" s="55"/>
      <c r="AU56" s="55"/>
      <c r="AV56" s="55"/>
      <c r="AW56" s="55"/>
      <c r="AX56" s="55"/>
      <c r="AY56" s="55"/>
      <c r="AZ56" s="55"/>
      <c r="BA56" s="55"/>
      <c r="BB56" s="55"/>
      <c r="BC56" s="55"/>
      <c r="BD56" s="55"/>
      <c r="BE56" s="55"/>
      <c r="BF56" s="55"/>
      <c r="BG56" s="55"/>
      <c r="BH56" s="55"/>
      <c r="BI56" s="55"/>
    </row>
    <row r="57" spans="1:61" ht="15" customHeight="1" x14ac:dyDescent="0.25">
      <c r="A57" s="55"/>
      <c r="B57" s="301"/>
      <c r="C57" s="301"/>
      <c r="D57" s="302"/>
      <c r="E57" s="278"/>
      <c r="F57" s="274"/>
      <c r="G57" s="274"/>
      <c r="H57" s="274"/>
      <c r="I57" s="274"/>
      <c r="J57" s="48" t="str">
        <f>IF(AND('Mapa final'!$AB$10="Alta",'Mapa final'!$AD$10="Leve"),CONCATENATE("R2C",'Mapa final'!$R$10),"")</f>
        <v/>
      </c>
      <c r="K57" s="49" t="str">
        <f>IF(AND('Mapa final'!$AB$11="Alta",'Mapa final'!$AD$11="Leve"),CONCATENATE("R2C",'Mapa final'!$R$11),"")</f>
        <v/>
      </c>
      <c r="L57" s="108" t="str">
        <f>IF(AND('Mapa final'!$AB$12="Alta",'Mapa final'!$AD$12="Leve"),CONCATENATE("R2C",'Mapa final'!$R$12),"")</f>
        <v/>
      </c>
      <c r="M57" s="48" t="str">
        <f>IF(AND('Mapa final'!$AB$10="Alta",'Mapa final'!$AD$10="Menor"),CONCATENATE("R2C",'Mapa final'!$R$10),"")</f>
        <v/>
      </c>
      <c r="N57" s="49" t="str">
        <f>IF(AND('Mapa final'!$AB$11="Alta",'Mapa final'!$AD$11="Menor"),CONCATENATE("R2C",'Mapa final'!$R$11),"")</f>
        <v/>
      </c>
      <c r="O57" s="108" t="str">
        <f>IF(AND('Mapa final'!$AB$12="Alta",'Mapa final'!$AD$12="Menor"),CONCATENATE("R2C",'Mapa final'!$R$12),"")</f>
        <v/>
      </c>
      <c r="P57" s="102" t="str">
        <f>IF(AND('Mapa final'!$AB$10="Alta",'Mapa final'!$AD$10="Moderado"),CONCATENATE("R2C",'Mapa final'!$R$10),"")</f>
        <v/>
      </c>
      <c r="Q57" s="41" t="str">
        <f>IF(AND('Mapa final'!$AB$11="Alta",'Mapa final'!$AD$11="Moderado"),CONCATENATE("R2C",'Mapa final'!$R$11),"")</f>
        <v/>
      </c>
      <c r="R57" s="103" t="str">
        <f>IF(AND('Mapa final'!$AB$12="Alta",'Mapa final'!$AD$12="Moderado"),CONCATENATE("R2C",'Mapa final'!$R$12),"")</f>
        <v/>
      </c>
      <c r="S57" s="102" t="str">
        <f>IF(AND('Mapa final'!$AB$10="Alta",'Mapa final'!$AD$10="Mayor"),CONCATENATE("R2C",'Mapa final'!$R$10),"")</f>
        <v/>
      </c>
      <c r="T57" s="41" t="str">
        <f>IF(AND('Mapa final'!$AB$11="Alta",'Mapa final'!$AD$11="Mayor"),CONCATENATE("R2C",'Mapa final'!$R$11),"")</f>
        <v/>
      </c>
      <c r="U57" s="103" t="str">
        <f>IF(AND('Mapa final'!$AB$12="Alta",'Mapa final'!$AD$12="Mayor"),CONCATENATE("R2C",'Mapa final'!$R$12),"")</f>
        <v/>
      </c>
      <c r="V57" s="42" t="str">
        <f>IF(AND('Mapa final'!$AB$10="Alta",'Mapa final'!$AD$10="Catastrófico"),CONCATENATE("R2C",'Mapa final'!$R$10),"")</f>
        <v/>
      </c>
      <c r="W57" s="43" t="str">
        <f>IF(AND('Mapa final'!$AB$11="Alta",'Mapa final'!$AD$11="Catastrófico"),CONCATENATE("R2C",'Mapa final'!$R$11),"")</f>
        <v/>
      </c>
      <c r="X57" s="97" t="str">
        <f>IF(AND('Mapa final'!$AB$12="Alta",'Mapa final'!$AD$12="Catastrófico"),CONCATENATE("R2C",'Mapa final'!$R$12),"")</f>
        <v/>
      </c>
      <c r="Y57" s="55"/>
      <c r="Z57" s="287"/>
      <c r="AA57" s="288"/>
      <c r="AB57" s="288"/>
      <c r="AC57" s="288"/>
      <c r="AD57" s="288"/>
      <c r="AE57" s="289"/>
      <c r="AF57" s="55"/>
      <c r="AG57" s="55"/>
      <c r="AH57" s="55"/>
      <c r="AI57" s="55"/>
      <c r="AJ57" s="55"/>
      <c r="AK57" s="55"/>
      <c r="AL57" s="55"/>
      <c r="AM57" s="55"/>
      <c r="AN57" s="55"/>
      <c r="AO57" s="55"/>
      <c r="AP57" s="55"/>
      <c r="AQ57" s="55"/>
      <c r="AR57" s="55"/>
      <c r="AS57" s="55"/>
      <c r="AT57" s="55"/>
      <c r="AU57" s="55"/>
      <c r="AV57" s="55"/>
      <c r="AW57" s="55"/>
      <c r="AX57" s="55"/>
      <c r="AY57" s="55"/>
      <c r="AZ57" s="55"/>
      <c r="BA57" s="55"/>
      <c r="BB57" s="55"/>
      <c r="BC57" s="55"/>
      <c r="BD57" s="55"/>
      <c r="BE57" s="55"/>
      <c r="BF57" s="55"/>
      <c r="BG57" s="55"/>
      <c r="BH57" s="55"/>
      <c r="BI57" s="55"/>
    </row>
    <row r="58" spans="1:61" ht="15" customHeight="1" x14ac:dyDescent="0.25">
      <c r="A58" s="55"/>
      <c r="B58" s="301"/>
      <c r="C58" s="301"/>
      <c r="D58" s="302"/>
      <c r="E58" s="279"/>
      <c r="F58" s="274"/>
      <c r="G58" s="274"/>
      <c r="H58" s="274"/>
      <c r="I58" s="274"/>
      <c r="J58" s="48" t="str">
        <f>IF(AND('Mapa final'!$AB$13="Alta",'Mapa final'!$AD$13="Leve"),CONCATENATE("R3C",'Mapa final'!$R$13),"")</f>
        <v/>
      </c>
      <c r="K58" s="49" t="str">
        <f>IF(AND('Mapa final'!$AB$14="Alta",'Mapa final'!$AD$14="Leve"),CONCATENATE("R3C",'Mapa final'!$R$14),"")</f>
        <v/>
      </c>
      <c r="L58" s="108" t="str">
        <f>IF(AND('Mapa final'!$AB$15="Alta",'Mapa final'!$AD$15="Leve"),CONCATENATE("R3C",'Mapa final'!$R$15),"")</f>
        <v/>
      </c>
      <c r="M58" s="48" t="str">
        <f>IF(AND('Mapa final'!$AB$13="Alta",'Mapa final'!$AD$13="Menor"),CONCATENATE("R3C",'Mapa final'!$R$13),"")</f>
        <v/>
      </c>
      <c r="N58" s="49" t="str">
        <f>IF(AND('Mapa final'!$AB$14="Alta",'Mapa final'!$AD$14="Menor"),CONCATENATE("R3C",'Mapa final'!$R$14),"")</f>
        <v/>
      </c>
      <c r="O58" s="108" t="str">
        <f>IF(AND('Mapa final'!$AB$15="Alta",'Mapa final'!$AD$15="Menor"),CONCATENATE("R3C",'Mapa final'!$R$15),"")</f>
        <v/>
      </c>
      <c r="P58" s="102" t="str">
        <f>IF(AND('Mapa final'!$AB$13="Alta",'Mapa final'!$AD$13="Moderado"),CONCATENATE("R3C",'Mapa final'!$R$13),"")</f>
        <v/>
      </c>
      <c r="Q58" s="41" t="str">
        <f>IF(AND('Mapa final'!$AB$14="Alta",'Mapa final'!$AD$14="Moderado"),CONCATENATE("R3C",'Mapa final'!$R$14),"")</f>
        <v/>
      </c>
      <c r="R58" s="103" t="str">
        <f>IF(AND('Mapa final'!$AB$15="Alta",'Mapa final'!$AD$15="Moderado"),CONCATENATE("R3C",'Mapa final'!$R$15),"")</f>
        <v/>
      </c>
      <c r="S58" s="102" t="str">
        <f>IF(AND('Mapa final'!$AB$13="Alta",'Mapa final'!$AD$13="Mayor"),CONCATENATE("R3C",'Mapa final'!$R$13),"")</f>
        <v/>
      </c>
      <c r="T58" s="41" t="str">
        <f>IF(AND('Mapa final'!$AB$14="Alta",'Mapa final'!$AD$14="Mayor"),CONCATENATE("R3C",'Mapa final'!$R$14),"")</f>
        <v/>
      </c>
      <c r="U58" s="103" t="str">
        <f>IF(AND('Mapa final'!$AB$15="Alta",'Mapa final'!$AD$15="Mayor"),CONCATENATE("R3C",'Mapa final'!$R$15),"")</f>
        <v/>
      </c>
      <c r="V58" s="42" t="str">
        <f>IF(AND('Mapa final'!$AB$13="Alta",'Mapa final'!$AD$13="Catastrófico"),CONCATENATE("R3C",'Mapa final'!$R$13),"")</f>
        <v/>
      </c>
      <c r="W58" s="43" t="str">
        <f>IF(AND('Mapa final'!$AB$14="Alta",'Mapa final'!$AD$14="Catastrófico"),CONCATENATE("R3C",'Mapa final'!$R$14),"")</f>
        <v/>
      </c>
      <c r="X58" s="97" t="str">
        <f>IF(AND('Mapa final'!$AB$15="Alta",'Mapa final'!$AD$15="Catastrófico"),CONCATENATE("R3C",'Mapa final'!$R$15),"")</f>
        <v/>
      </c>
      <c r="Y58" s="55"/>
      <c r="Z58" s="287"/>
      <c r="AA58" s="288"/>
      <c r="AB58" s="288"/>
      <c r="AC58" s="288"/>
      <c r="AD58" s="288"/>
      <c r="AE58" s="289"/>
      <c r="AF58" s="55"/>
      <c r="AG58" s="55"/>
      <c r="AH58" s="55"/>
      <c r="AI58" s="55"/>
      <c r="AJ58" s="55"/>
      <c r="AK58" s="55"/>
      <c r="AL58" s="55"/>
      <c r="AM58" s="55"/>
      <c r="AN58" s="55"/>
      <c r="AO58" s="55"/>
      <c r="AP58" s="55"/>
      <c r="AQ58" s="55"/>
      <c r="AR58" s="55"/>
      <c r="AS58" s="55"/>
      <c r="AT58" s="55"/>
      <c r="AU58" s="55"/>
      <c r="AV58" s="55"/>
      <c r="AW58" s="55"/>
      <c r="AX58" s="55"/>
      <c r="AY58" s="55"/>
      <c r="AZ58" s="55"/>
      <c r="BA58" s="55"/>
      <c r="BB58" s="55"/>
      <c r="BC58" s="55"/>
      <c r="BD58" s="55"/>
      <c r="BE58" s="55"/>
      <c r="BF58" s="55"/>
      <c r="BG58" s="55"/>
      <c r="BH58" s="55"/>
      <c r="BI58" s="55"/>
    </row>
    <row r="59" spans="1:61" ht="15" customHeight="1" x14ac:dyDescent="0.25">
      <c r="A59" s="55"/>
      <c r="B59" s="301"/>
      <c r="C59" s="301"/>
      <c r="D59" s="302"/>
      <c r="E59" s="279"/>
      <c r="F59" s="274"/>
      <c r="G59" s="274"/>
      <c r="H59" s="274"/>
      <c r="I59" s="274"/>
      <c r="J59" s="48" t="e">
        <f>IF(AND('Mapa final'!#REF!="Alta",'Mapa final'!#REF!="Leve"),CONCATENATE("R4C",'Mapa final'!#REF!),"")</f>
        <v>#REF!</v>
      </c>
      <c r="K59" s="49" t="e">
        <f>IF(AND('Mapa final'!#REF!="Alta",'Mapa final'!#REF!="Leve"),CONCATENATE("R4C",'Mapa final'!#REF!),"")</f>
        <v>#REF!</v>
      </c>
      <c r="L59" s="108" t="e">
        <f>IF(AND('Mapa final'!#REF!="Alta",'Mapa final'!#REF!="Leve"),CONCATENATE("R4C",'Mapa final'!#REF!),"")</f>
        <v>#REF!</v>
      </c>
      <c r="M59" s="48" t="e">
        <f>IF(AND('Mapa final'!#REF!="Alta",'Mapa final'!#REF!="Menor"),CONCATENATE("R4C",'Mapa final'!#REF!),"")</f>
        <v>#REF!</v>
      </c>
      <c r="N59" s="49" t="e">
        <f>IF(AND('Mapa final'!#REF!="Alta",'Mapa final'!#REF!="Menor"),CONCATENATE("R4C",'Mapa final'!#REF!),"")</f>
        <v>#REF!</v>
      </c>
      <c r="O59" s="108" t="e">
        <f>IF(AND('Mapa final'!#REF!="Alta",'Mapa final'!#REF!="Menor"),CONCATENATE("R4C",'Mapa final'!#REF!),"")</f>
        <v>#REF!</v>
      </c>
      <c r="P59" s="102" t="e">
        <f>IF(AND('Mapa final'!#REF!="Alta",'Mapa final'!#REF!="Moderado"),CONCATENATE("R4C",'Mapa final'!#REF!),"")</f>
        <v>#REF!</v>
      </c>
      <c r="Q59" s="41" t="e">
        <f>IF(AND('Mapa final'!#REF!="Alta",'Mapa final'!#REF!="Moderado"),CONCATENATE("R4C",'Mapa final'!#REF!),"")</f>
        <v>#REF!</v>
      </c>
      <c r="R59" s="103" t="e">
        <f>IF(AND('Mapa final'!#REF!="Alta",'Mapa final'!#REF!="Moderado"),CONCATENATE("R4C",'Mapa final'!#REF!),"")</f>
        <v>#REF!</v>
      </c>
      <c r="S59" s="102" t="e">
        <f>IF(AND('Mapa final'!#REF!="Alta",'Mapa final'!#REF!="Mayor"),CONCATENATE("R4C",'Mapa final'!#REF!),"")</f>
        <v>#REF!</v>
      </c>
      <c r="T59" s="41" t="e">
        <f>IF(AND('Mapa final'!#REF!="Alta",'Mapa final'!#REF!="Mayor"),CONCATENATE("R4C",'Mapa final'!#REF!),"")</f>
        <v>#REF!</v>
      </c>
      <c r="U59" s="103" t="e">
        <f>IF(AND('Mapa final'!#REF!="Alta",'Mapa final'!#REF!="Mayor"),CONCATENATE("R4C",'Mapa final'!#REF!),"")</f>
        <v>#REF!</v>
      </c>
      <c r="V59" s="42" t="e">
        <f>IF(AND('Mapa final'!#REF!="Alta",'Mapa final'!#REF!="Catastrófico"),CONCATENATE("R4C",'Mapa final'!#REF!),"")</f>
        <v>#REF!</v>
      </c>
      <c r="W59" s="43" t="e">
        <f>IF(AND('Mapa final'!#REF!="Alta",'Mapa final'!#REF!="Catastrófico"),CONCATENATE("R4C",'Mapa final'!#REF!),"")</f>
        <v>#REF!</v>
      </c>
      <c r="X59" s="97" t="e">
        <f>IF(AND('Mapa final'!#REF!="Alta",'Mapa final'!#REF!="Catastrófico"),CONCATENATE("R4C",'Mapa final'!#REF!),"")</f>
        <v>#REF!</v>
      </c>
      <c r="Y59" s="55"/>
      <c r="Z59" s="287"/>
      <c r="AA59" s="288"/>
      <c r="AB59" s="288"/>
      <c r="AC59" s="288"/>
      <c r="AD59" s="288"/>
      <c r="AE59" s="289"/>
      <c r="AF59" s="55"/>
      <c r="AG59" s="55"/>
      <c r="AH59" s="55"/>
      <c r="AI59" s="55"/>
      <c r="AJ59" s="55"/>
      <c r="AK59" s="55"/>
      <c r="AL59" s="55"/>
      <c r="AM59" s="55"/>
      <c r="AN59" s="55"/>
      <c r="AO59" s="55"/>
      <c r="AP59" s="55"/>
      <c r="AQ59" s="55"/>
      <c r="AR59" s="55"/>
      <c r="AS59" s="55"/>
      <c r="AT59" s="55"/>
      <c r="AU59" s="55"/>
      <c r="AV59" s="55"/>
      <c r="AW59" s="55"/>
      <c r="AX59" s="55"/>
      <c r="AY59" s="55"/>
      <c r="AZ59" s="55"/>
      <c r="BA59" s="55"/>
      <c r="BB59" s="55"/>
      <c r="BC59" s="55"/>
      <c r="BD59" s="55"/>
      <c r="BE59" s="55"/>
      <c r="BF59" s="55"/>
      <c r="BG59" s="55"/>
      <c r="BH59" s="55"/>
      <c r="BI59" s="55"/>
    </row>
    <row r="60" spans="1:61" ht="12" customHeight="1" x14ac:dyDescent="0.25">
      <c r="A60" s="55"/>
      <c r="B60" s="301"/>
      <c r="C60" s="301"/>
      <c r="D60" s="302"/>
      <c r="E60" s="279"/>
      <c r="F60" s="274"/>
      <c r="G60" s="274"/>
      <c r="H60" s="274"/>
      <c r="I60" s="274"/>
      <c r="J60" s="48" t="str">
        <f>IF(AND('Mapa final'!$AB$16="Alta",'Mapa final'!$AD$16="Leve"),CONCATENATE("R5C",'Mapa final'!$R$16),"")</f>
        <v/>
      </c>
      <c r="K60" s="49" t="str">
        <f>IF(AND('Mapa final'!$AB$17="Alta",'Mapa final'!$AD$17="Leve"),CONCATENATE("R5C",'Mapa final'!$R$17),"")</f>
        <v/>
      </c>
      <c r="L60" s="108" t="str">
        <f>IF(AND('Mapa final'!$AB$18="Alta",'Mapa final'!$AD$18="Leve"),CONCATENATE("R5C",'Mapa final'!$R$18),"")</f>
        <v/>
      </c>
      <c r="M60" s="48" t="str">
        <f>IF(AND('Mapa final'!$AB$16="Alta",'Mapa final'!$AD$16="Menor"),CONCATENATE("R5C",'Mapa final'!$R$16),"")</f>
        <v/>
      </c>
      <c r="N60" s="49" t="str">
        <f>IF(AND('Mapa final'!$AB$17="Alta",'Mapa final'!$AD$17="Menor"),CONCATENATE("R5C",'Mapa final'!$R$17),"")</f>
        <v/>
      </c>
      <c r="O60" s="108" t="str">
        <f>IF(AND('Mapa final'!$AB$18="Alta",'Mapa final'!$AD$18="Menor"),CONCATENATE("R5C",'Mapa final'!$R$18),"")</f>
        <v/>
      </c>
      <c r="P60" s="102" t="str">
        <f>IF(AND('Mapa final'!$AB$16="Alta",'Mapa final'!$AD$16="Moderado"),CONCATENATE("R5C",'Mapa final'!$R$16),"")</f>
        <v/>
      </c>
      <c r="Q60" s="41" t="str">
        <f>IF(AND('Mapa final'!$AB$17="Alta",'Mapa final'!$AD$17="Moderado"),CONCATENATE("R5C",'Mapa final'!$R$17),"")</f>
        <v/>
      </c>
      <c r="R60" s="103" t="str">
        <f>IF(AND('Mapa final'!$AB$18="Alta",'Mapa final'!$AD$18="Moderado"),CONCATENATE("R5C",'Mapa final'!$R$18),"")</f>
        <v/>
      </c>
      <c r="S60" s="102" t="str">
        <f>IF(AND('Mapa final'!$AB$16="Alta",'Mapa final'!$AD$16="Mayor"),CONCATENATE("R5C",'Mapa final'!$R$16),"")</f>
        <v/>
      </c>
      <c r="T60" s="41" t="str">
        <f>IF(AND('Mapa final'!$AB$17="Alta",'Mapa final'!$AD$17="Mayor"),CONCATENATE("R5C",'Mapa final'!$R$17),"")</f>
        <v/>
      </c>
      <c r="U60" s="103" t="str">
        <f>IF(AND('Mapa final'!$AB$18="Alta",'Mapa final'!$AD$18="Mayor"),CONCATENATE("R5C",'Mapa final'!$R$18),"")</f>
        <v/>
      </c>
      <c r="V60" s="42" t="str">
        <f>IF(AND('Mapa final'!$AB$16="Alta",'Mapa final'!$AD$16="Catastrófico"),CONCATENATE("R5C",'Mapa final'!$R$16),"")</f>
        <v/>
      </c>
      <c r="W60" s="43" t="str">
        <f>IF(AND('Mapa final'!$AB$17="Alta",'Mapa final'!$AD$17="Catastrófico"),CONCATENATE("R5C",'Mapa final'!$R$17),"")</f>
        <v/>
      </c>
      <c r="X60" s="97" t="str">
        <f>IF(AND('Mapa final'!$AB$18="Alta",'Mapa final'!$AD$18="Catastrófico"),CONCATENATE("R5C",'Mapa final'!$R$18),"")</f>
        <v/>
      </c>
      <c r="Y60" s="55"/>
      <c r="Z60" s="287"/>
      <c r="AA60" s="288"/>
      <c r="AB60" s="288"/>
      <c r="AC60" s="288"/>
      <c r="AD60" s="288"/>
      <c r="AE60" s="289"/>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row>
    <row r="61" spans="1:61" ht="12" customHeight="1" x14ac:dyDescent="0.25">
      <c r="A61" s="55"/>
      <c r="B61" s="301"/>
      <c r="C61" s="301"/>
      <c r="D61" s="302"/>
      <c r="E61" s="279"/>
      <c r="F61" s="274"/>
      <c r="G61" s="274"/>
      <c r="H61" s="274"/>
      <c r="I61" s="274"/>
      <c r="J61" s="48" t="str">
        <f>IF(AND('Mapa final'!$AB$19="Alta",'Mapa final'!$AD$19="Leve"),CONCATENATE("R6C",'Mapa final'!$R$19),"")</f>
        <v/>
      </c>
      <c r="K61" s="49" t="str">
        <f>IF(AND('Mapa final'!$AB$20="Alta",'Mapa final'!$AD$20="Leve"),CONCATENATE("R6C",'Mapa final'!$R$20),"")</f>
        <v/>
      </c>
      <c r="L61" s="108" t="str">
        <f>IF(AND('Mapa final'!$AB$21="Alta",'Mapa final'!$AD$21="Leve"),CONCATENATE("R6C",'Mapa final'!$R$21),"")</f>
        <v/>
      </c>
      <c r="M61" s="48" t="str">
        <f>IF(AND('Mapa final'!$AB$19="Alta",'Mapa final'!$AD$19="Menor"),CONCATENATE("R6C",'Mapa final'!$R$19),"")</f>
        <v/>
      </c>
      <c r="N61" s="49" t="str">
        <f>IF(AND('Mapa final'!$AB$20="Alta",'Mapa final'!$AD$20="Menor"),CONCATENATE("R6C",'Mapa final'!$R$20),"")</f>
        <v/>
      </c>
      <c r="O61" s="108" t="str">
        <f>IF(AND('Mapa final'!$AB$21="Alta",'Mapa final'!$AD$21="Menor"),CONCATENATE("R6C",'Mapa final'!$R$21),"")</f>
        <v/>
      </c>
      <c r="P61" s="102" t="str">
        <f>IF(AND('Mapa final'!$AB$19="Alta",'Mapa final'!$AD$19="Moderado"),CONCATENATE("R6C",'Mapa final'!$R$19),"")</f>
        <v/>
      </c>
      <c r="Q61" s="41" t="str">
        <f>IF(AND('Mapa final'!$AB$20="Alta",'Mapa final'!$AD$20="Moderado"),CONCATENATE("R6C",'Mapa final'!$R$20),"")</f>
        <v/>
      </c>
      <c r="R61" s="103" t="str">
        <f>IF(AND('Mapa final'!$AB$21="Alta",'Mapa final'!$AD$21="Moderado"),CONCATENATE("R6C",'Mapa final'!$R$21),"")</f>
        <v/>
      </c>
      <c r="S61" s="102" t="str">
        <f>IF(AND('Mapa final'!$AB$19="Alta",'Mapa final'!$AD$19="Mayor"),CONCATENATE("R6C",'Mapa final'!$R$19),"")</f>
        <v/>
      </c>
      <c r="T61" s="41" t="str">
        <f>IF(AND('Mapa final'!$AB$20="Alta",'Mapa final'!$AD$20="Mayor"),CONCATENATE("R6C",'Mapa final'!$R$20),"")</f>
        <v/>
      </c>
      <c r="U61" s="103" t="str">
        <f>IF(AND('Mapa final'!$AB$21="Alta",'Mapa final'!$AD$21="Mayor"),CONCATENATE("R6C",'Mapa final'!$R$21),"")</f>
        <v/>
      </c>
      <c r="V61" s="42" t="str">
        <f>IF(AND('Mapa final'!$AB$19="Alta",'Mapa final'!$AD$19="Catastrófico"),CONCATENATE("R6C",'Mapa final'!$R$19),"")</f>
        <v/>
      </c>
      <c r="W61" s="43" t="str">
        <f>IF(AND('Mapa final'!$AB$20="Alta",'Mapa final'!$AD$20="Catastrófico"),CONCATENATE("R6C",'Mapa final'!$R$20),"")</f>
        <v/>
      </c>
      <c r="X61" s="97" t="str">
        <f>IF(AND('Mapa final'!$AB$21="Alta",'Mapa final'!$AD$21="Catastrófico"),CONCATENATE("R6C",'Mapa final'!$R$21),"")</f>
        <v/>
      </c>
      <c r="Y61" s="55"/>
      <c r="Z61" s="287"/>
      <c r="AA61" s="288"/>
      <c r="AB61" s="288"/>
      <c r="AC61" s="288"/>
      <c r="AD61" s="288"/>
      <c r="AE61" s="289"/>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row>
    <row r="62" spans="1:61" ht="12" customHeight="1" x14ac:dyDescent="0.25">
      <c r="A62" s="55"/>
      <c r="B62" s="301"/>
      <c r="C62" s="301"/>
      <c r="D62" s="302"/>
      <c r="E62" s="279"/>
      <c r="F62" s="274"/>
      <c r="G62" s="274"/>
      <c r="H62" s="274"/>
      <c r="I62" s="274"/>
      <c r="J62" s="48" t="str">
        <f>IF(AND('Mapa final'!$AB$22="Alta",'Mapa final'!$AD$22="Leve"),CONCATENATE("R7C",'Mapa final'!$R$22),"")</f>
        <v/>
      </c>
      <c r="K62" s="49" t="str">
        <f>IF(AND('Mapa final'!$AB$23="Alta",'Mapa final'!$AD$23="Leve"),CONCATENATE("R7C",'Mapa final'!$R$23),"")</f>
        <v/>
      </c>
      <c r="L62" s="108" t="str">
        <f>IF(AND('Mapa final'!$AB$24="Alta",'Mapa final'!$AD$24="Leve"),CONCATENATE("R7C",'Mapa final'!$R$24),"")</f>
        <v/>
      </c>
      <c r="M62" s="48" t="str">
        <f>IF(AND('Mapa final'!$AB$22="Alta",'Mapa final'!$AD$22="Menor"),CONCATENATE("R7C",'Mapa final'!$R$22),"")</f>
        <v/>
      </c>
      <c r="N62" s="49" t="str">
        <f>IF(AND('Mapa final'!$AB$23="Alta",'Mapa final'!$AD$23="Menor"),CONCATENATE("R7C",'Mapa final'!$R$23),"")</f>
        <v/>
      </c>
      <c r="O62" s="108" t="str">
        <f>IF(AND('Mapa final'!$AB$24="Alta",'Mapa final'!$AD$24="Menor"),CONCATENATE("R7C",'Mapa final'!$R$24),"")</f>
        <v/>
      </c>
      <c r="P62" s="102" t="str">
        <f>IF(AND('Mapa final'!$AB$22="Alta",'Mapa final'!$AD$22="Moderado"),CONCATENATE("R7C",'Mapa final'!$R$22),"")</f>
        <v/>
      </c>
      <c r="Q62" s="41" t="str">
        <f>IF(AND('Mapa final'!$AB$23="Alta",'Mapa final'!$AD$23="Moderado"),CONCATENATE("R7C",'Mapa final'!$R$23),"")</f>
        <v/>
      </c>
      <c r="R62" s="103" t="str">
        <f>IF(AND('Mapa final'!$AB$24="Alta",'Mapa final'!$AD$24="Moderado"),CONCATENATE("R7C",'Mapa final'!$R$24),"")</f>
        <v/>
      </c>
      <c r="S62" s="102" t="str">
        <f>IF(AND('Mapa final'!$AB$22="Alta",'Mapa final'!$AD$22="Mayor"),CONCATENATE("R7C",'Mapa final'!$R$22),"")</f>
        <v/>
      </c>
      <c r="T62" s="41" t="str">
        <f>IF(AND('Mapa final'!$AB$23="Alta",'Mapa final'!$AD$23="Mayor"),CONCATENATE("R7C",'Mapa final'!$R$23),"")</f>
        <v/>
      </c>
      <c r="U62" s="103" t="str">
        <f>IF(AND('Mapa final'!$AB$24="Alta",'Mapa final'!$AD$24="Mayor"),CONCATENATE("R7C",'Mapa final'!$R$24),"")</f>
        <v/>
      </c>
      <c r="V62" s="42" t="str">
        <f>IF(AND('Mapa final'!$AB$22="Alta",'Mapa final'!$AD$22="Catastrófico"),CONCATENATE("R7C",'Mapa final'!$R$22),"")</f>
        <v/>
      </c>
      <c r="W62" s="43" t="str">
        <f>IF(AND('Mapa final'!$AB$23="Alta",'Mapa final'!$AD$23="Catastrófico"),CONCATENATE("R7C",'Mapa final'!$R$23),"")</f>
        <v/>
      </c>
      <c r="X62" s="97" t="str">
        <f>IF(AND('Mapa final'!$AB$24="Alta",'Mapa final'!$AD$24="Catastrófico"),CONCATENATE("R7C",'Mapa final'!$R$24),"")</f>
        <v/>
      </c>
      <c r="Y62" s="55"/>
      <c r="Z62" s="287"/>
      <c r="AA62" s="288"/>
      <c r="AB62" s="288"/>
      <c r="AC62" s="288"/>
      <c r="AD62" s="288"/>
      <c r="AE62" s="289"/>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c r="BI62" s="55"/>
    </row>
    <row r="63" spans="1:61" ht="12" customHeight="1" x14ac:dyDescent="0.25">
      <c r="A63" s="55"/>
      <c r="B63" s="301"/>
      <c r="C63" s="301"/>
      <c r="D63" s="302"/>
      <c r="E63" s="279"/>
      <c r="F63" s="274"/>
      <c r="G63" s="274"/>
      <c r="H63" s="274"/>
      <c r="I63" s="274"/>
      <c r="J63" s="48" t="str">
        <f>IF(AND('Mapa final'!$AB$25="Alta",'Mapa final'!$AD$25="Leve"),CONCATENATE("R8C",'Mapa final'!$R$25),"")</f>
        <v/>
      </c>
      <c r="K63" s="49" t="str">
        <f>IF(AND('Mapa final'!$AB$26="Alta",'Mapa final'!$AD$26="Leve"),CONCATENATE("R8C",'Mapa final'!$R$26),"")</f>
        <v/>
      </c>
      <c r="L63" s="108" t="str">
        <f>IF(AND('Mapa final'!$AB$27="Alta",'Mapa final'!$AD$27="Leve"),CONCATENATE("R8C",'Mapa final'!$R$27),"")</f>
        <v/>
      </c>
      <c r="M63" s="48" t="str">
        <f>IF(AND('Mapa final'!$AB$25="Alta",'Mapa final'!$AD$25="Menor"),CONCATENATE("R8C",'Mapa final'!$R$25),"")</f>
        <v/>
      </c>
      <c r="N63" s="49" t="str">
        <f>IF(AND('Mapa final'!$AB$26="Alta",'Mapa final'!$AD$26="Menor"),CONCATENATE("R8C",'Mapa final'!$R$26),"")</f>
        <v/>
      </c>
      <c r="O63" s="108" t="str">
        <f>IF(AND('Mapa final'!$AB$27="Alta",'Mapa final'!$AD$27="Menor"),CONCATENATE("R8C",'Mapa final'!$R$27),"")</f>
        <v/>
      </c>
      <c r="P63" s="102" t="str">
        <f>IF(AND('Mapa final'!$AB$25="Alta",'Mapa final'!$AD$25="Moderado"),CONCATENATE("R8C",'Mapa final'!$R$25),"")</f>
        <v/>
      </c>
      <c r="Q63" s="41" t="str">
        <f>IF(AND('Mapa final'!$AB$26="Alta",'Mapa final'!$AD$26="Moderado"),CONCATENATE("R8C",'Mapa final'!$R$26),"")</f>
        <v/>
      </c>
      <c r="R63" s="103" t="str">
        <f>IF(AND('Mapa final'!$AB$27="Alta",'Mapa final'!$AD$27="Moderado"),CONCATENATE("R8C",'Mapa final'!$R$27),"")</f>
        <v/>
      </c>
      <c r="S63" s="102" t="str">
        <f>IF(AND('Mapa final'!$AB$25="Alta",'Mapa final'!$AD$25="Mayor"),CONCATENATE("R8C",'Mapa final'!$R$25),"")</f>
        <v/>
      </c>
      <c r="T63" s="41" t="str">
        <f>IF(AND('Mapa final'!$AB$26="Alta",'Mapa final'!$AD$26="Mayor"),CONCATENATE("R8C",'Mapa final'!$R$26),"")</f>
        <v/>
      </c>
      <c r="U63" s="103" t="str">
        <f>IF(AND('Mapa final'!$AB$27="Alta",'Mapa final'!$AD$27="Mayor"),CONCATENATE("R8C",'Mapa final'!$R$27),"")</f>
        <v/>
      </c>
      <c r="V63" s="42" t="str">
        <f>IF(AND('Mapa final'!$AB$25="Alta",'Mapa final'!$AD$25="Catastrófico"),CONCATENATE("R8C",'Mapa final'!$R$25),"")</f>
        <v/>
      </c>
      <c r="W63" s="43" t="str">
        <f>IF(AND('Mapa final'!$AB$26="Alta",'Mapa final'!$AD$26="Catastrófico"),CONCATENATE("R8C",'Mapa final'!$R$26),"")</f>
        <v/>
      </c>
      <c r="X63" s="97" t="str">
        <f>IF(AND('Mapa final'!$AB$27="Alta",'Mapa final'!$AD$27="Catastrófico"),CONCATENATE("R8C",'Mapa final'!$R$27),"")</f>
        <v/>
      </c>
      <c r="Y63" s="55"/>
      <c r="Z63" s="287"/>
      <c r="AA63" s="288"/>
      <c r="AB63" s="288"/>
      <c r="AC63" s="288"/>
      <c r="AD63" s="288"/>
      <c r="AE63" s="289"/>
      <c r="AF63" s="55"/>
      <c r="AG63" s="55"/>
      <c r="AH63" s="55"/>
      <c r="AI63" s="55"/>
      <c r="AJ63" s="55"/>
      <c r="AK63" s="55"/>
      <c r="AL63" s="55"/>
      <c r="AM63" s="55"/>
      <c r="AN63" s="55"/>
      <c r="AO63" s="55"/>
      <c r="AP63" s="55"/>
      <c r="AQ63" s="55"/>
      <c r="AR63" s="55"/>
      <c r="AS63" s="55"/>
      <c r="AT63" s="55"/>
      <c r="AU63" s="55"/>
      <c r="AV63" s="55"/>
      <c r="AW63" s="55"/>
      <c r="AX63" s="55"/>
      <c r="AY63" s="55"/>
      <c r="AZ63" s="55"/>
      <c r="BA63" s="55"/>
      <c r="BB63" s="55"/>
      <c r="BC63" s="55"/>
      <c r="BD63" s="55"/>
      <c r="BE63" s="55"/>
      <c r="BF63" s="55"/>
      <c r="BG63" s="55"/>
      <c r="BH63" s="55"/>
      <c r="BI63" s="55"/>
    </row>
    <row r="64" spans="1:61" ht="12" customHeight="1" x14ac:dyDescent="0.25">
      <c r="A64" s="55"/>
      <c r="B64" s="301"/>
      <c r="C64" s="301"/>
      <c r="D64" s="302"/>
      <c r="E64" s="279"/>
      <c r="F64" s="274"/>
      <c r="G64" s="274"/>
      <c r="H64" s="274"/>
      <c r="I64" s="274"/>
      <c r="J64" s="48" t="str">
        <f>IF(AND('Mapa final'!$AB$28="Alta",'Mapa final'!$AD$28="Leve"),CONCATENATE("R9C",'Mapa final'!$R$28),"")</f>
        <v/>
      </c>
      <c r="K64" s="49" t="str">
        <f>IF(AND('Mapa final'!$AB$29="Alta",'Mapa final'!$AD$29="Leve"),CONCATENATE("R9C",'Mapa final'!$R$29),"")</f>
        <v/>
      </c>
      <c r="L64" s="108" t="str">
        <f>IF(AND('Mapa final'!$AB$30="Alta",'Mapa final'!$AD$30="Leve"),CONCATENATE("R9C",'Mapa final'!$R$30),"")</f>
        <v/>
      </c>
      <c r="M64" s="48" t="str">
        <f>IF(AND('Mapa final'!$AB$28="Alta",'Mapa final'!$AD$28="Menor"),CONCATENATE("R9C",'Mapa final'!$R$28),"")</f>
        <v/>
      </c>
      <c r="N64" s="49" t="str">
        <f>IF(AND('Mapa final'!$AB$29="Alta",'Mapa final'!$AD$29="Menor"),CONCATENATE("R9C",'Mapa final'!$R$29),"")</f>
        <v/>
      </c>
      <c r="O64" s="108" t="str">
        <f>IF(AND('Mapa final'!$AB$30="Alta",'Mapa final'!$AD$30="Menor"),CONCATENATE("R9C",'Mapa final'!$R$30),"")</f>
        <v/>
      </c>
      <c r="P64" s="102" t="str">
        <f>IF(AND('Mapa final'!$AB$28="Alta",'Mapa final'!$AD$28="Moderado"),CONCATENATE("R9C",'Mapa final'!$R$28),"")</f>
        <v/>
      </c>
      <c r="Q64" s="41" t="str">
        <f>IF(AND('Mapa final'!$AB$29="Alta",'Mapa final'!$AD$29="Moderado"),CONCATENATE("R9C",'Mapa final'!$R$29),"")</f>
        <v/>
      </c>
      <c r="R64" s="103" t="str">
        <f>IF(AND('Mapa final'!$AB$30="Alta",'Mapa final'!$AD$30="Moderado"),CONCATENATE("R9C",'Mapa final'!$R$30),"")</f>
        <v/>
      </c>
      <c r="S64" s="102" t="str">
        <f>IF(AND('Mapa final'!$AB$28="Alta",'Mapa final'!$AD$28="Mayor"),CONCATENATE("R9C",'Mapa final'!$R$28),"")</f>
        <v/>
      </c>
      <c r="T64" s="41" t="str">
        <f>IF(AND('Mapa final'!$AB$29="Alta",'Mapa final'!$AD$29="Mayor"),CONCATENATE("R9C",'Mapa final'!$R$29),"")</f>
        <v/>
      </c>
      <c r="U64" s="103" t="str">
        <f>IF(AND('Mapa final'!$AB$30="Alta",'Mapa final'!$AD$30="Mayor"),CONCATENATE("R9C",'Mapa final'!$R$30),"")</f>
        <v/>
      </c>
      <c r="V64" s="42" t="str">
        <f>IF(AND('Mapa final'!$AB$28="Alta",'Mapa final'!$AD$28="Catastrófico"),CONCATENATE("R9C",'Mapa final'!$R$28),"")</f>
        <v/>
      </c>
      <c r="W64" s="43" t="str">
        <f>IF(AND('Mapa final'!$AB$29="Alta",'Mapa final'!$AD$29="Catastrófico"),CONCATENATE("R9C",'Mapa final'!$R$29),"")</f>
        <v/>
      </c>
      <c r="X64" s="97" t="str">
        <f>IF(AND('Mapa final'!$AB$30="Alta",'Mapa final'!$AD$30="Catastrófico"),CONCATENATE("R9C",'Mapa final'!$R$30),"")</f>
        <v/>
      </c>
      <c r="Y64" s="55"/>
      <c r="Z64" s="287"/>
      <c r="AA64" s="288"/>
      <c r="AB64" s="288"/>
      <c r="AC64" s="288"/>
      <c r="AD64" s="288"/>
      <c r="AE64" s="289"/>
      <c r="AF64" s="55"/>
      <c r="AG64" s="55"/>
      <c r="AH64" s="55"/>
      <c r="AI64" s="55"/>
      <c r="AJ64" s="55"/>
      <c r="AK64" s="55"/>
      <c r="AL64" s="55"/>
      <c r="AM64" s="55"/>
      <c r="AN64" s="55"/>
      <c r="AO64" s="55"/>
      <c r="AP64" s="55"/>
      <c r="AQ64" s="55"/>
      <c r="AR64" s="55"/>
      <c r="AS64" s="55"/>
      <c r="AT64" s="55"/>
      <c r="AU64" s="55"/>
      <c r="AV64" s="55"/>
      <c r="AW64" s="55"/>
      <c r="AX64" s="55"/>
      <c r="AY64" s="55"/>
      <c r="AZ64" s="55"/>
      <c r="BA64" s="55"/>
      <c r="BB64" s="55"/>
      <c r="BC64" s="55"/>
      <c r="BD64" s="55"/>
      <c r="BE64" s="55"/>
      <c r="BF64" s="55"/>
      <c r="BG64" s="55"/>
      <c r="BH64" s="55"/>
      <c r="BI64" s="55"/>
    </row>
    <row r="65" spans="1:61" ht="12" customHeight="1" x14ac:dyDescent="0.25">
      <c r="A65" s="55"/>
      <c r="B65" s="301"/>
      <c r="C65" s="301"/>
      <c r="D65" s="302"/>
      <c r="E65" s="279"/>
      <c r="F65" s="274"/>
      <c r="G65" s="274"/>
      <c r="H65" s="274"/>
      <c r="I65" s="274"/>
      <c r="J65" s="48" t="str">
        <f>IF(AND('Mapa final'!$AB$31="Alta",'Mapa final'!$AD$31="Leve"),CONCATENATE("R10C",'Mapa final'!$R$31),"")</f>
        <v/>
      </c>
      <c r="K65" s="49" t="str">
        <f>IF(AND('Mapa final'!$AB$32="Alta",'Mapa final'!$AD$32="Leve"),CONCATENATE("R10C",'Mapa final'!$R$32),"")</f>
        <v/>
      </c>
      <c r="L65" s="108" t="str">
        <f>IF(AND('Mapa final'!$AB$33="Alta",'Mapa final'!$AD$33="Leve"),CONCATENATE("R10C",'Mapa final'!$R$33),"")</f>
        <v/>
      </c>
      <c r="M65" s="48" t="str">
        <f>IF(AND('Mapa final'!$AB$31="Alta",'Mapa final'!$AD$31="Menor"),CONCATENATE("R10C",'Mapa final'!$R$31),"")</f>
        <v/>
      </c>
      <c r="N65" s="49" t="str">
        <f>IF(AND('Mapa final'!$AB$32="Alta",'Mapa final'!$AD$32="Menor"),CONCATENATE("R10C",'Mapa final'!$R$32),"")</f>
        <v/>
      </c>
      <c r="O65" s="108" t="str">
        <f>IF(AND('Mapa final'!$AB$33="Alta",'Mapa final'!$AD$33="Menor"),CONCATENATE("R10C",'Mapa final'!$R$33),"")</f>
        <v/>
      </c>
      <c r="P65" s="102" t="str">
        <f>IF(AND('Mapa final'!$AB$31="Alta",'Mapa final'!$AD$31="Moderado"),CONCATENATE("R10C",'Mapa final'!$R$31),"")</f>
        <v/>
      </c>
      <c r="Q65" s="41" t="str">
        <f>IF(AND('Mapa final'!$AB$32="Alta",'Mapa final'!$AD$32="Moderado"),CONCATENATE("R10C",'Mapa final'!$R$32),"")</f>
        <v/>
      </c>
      <c r="R65" s="103" t="str">
        <f>IF(AND('Mapa final'!$AB$33="Alta",'Mapa final'!$AD$33="Moderado"),CONCATENATE("R10C",'Mapa final'!$R$33),"")</f>
        <v/>
      </c>
      <c r="S65" s="102" t="str">
        <f>IF(AND('Mapa final'!$AB$31="Alta",'Mapa final'!$AD$31="Mayor"),CONCATENATE("R10C",'Mapa final'!$R$31),"")</f>
        <v/>
      </c>
      <c r="T65" s="41" t="str">
        <f>IF(AND('Mapa final'!$AB$32="Alta",'Mapa final'!$AD$32="Mayor"),CONCATENATE("R10C",'Mapa final'!$R$32),"")</f>
        <v/>
      </c>
      <c r="U65" s="103" t="str">
        <f>IF(AND('Mapa final'!$AB$33="Alta",'Mapa final'!$AD$33="Mayor"),CONCATENATE("R10C",'Mapa final'!$R$33),"")</f>
        <v/>
      </c>
      <c r="V65" s="42" t="str">
        <f>IF(AND('Mapa final'!$AB$31="Alta",'Mapa final'!$AD$31="Catastrófico"),CONCATENATE("R10C",'Mapa final'!$R$31),"")</f>
        <v/>
      </c>
      <c r="W65" s="43" t="str">
        <f>IF(AND('Mapa final'!$AB$32="Alta",'Mapa final'!$AD$32="Catastrófico"),CONCATENATE("R10C",'Mapa final'!$R$32),"")</f>
        <v/>
      </c>
      <c r="X65" s="97" t="str">
        <f>IF(AND('Mapa final'!$AB$33="Alta",'Mapa final'!$AD$33="Catastrófico"),CONCATENATE("R10C",'Mapa final'!$R$33),"")</f>
        <v/>
      </c>
      <c r="Y65" s="55"/>
      <c r="Z65" s="287"/>
      <c r="AA65" s="288"/>
      <c r="AB65" s="288"/>
      <c r="AC65" s="288"/>
      <c r="AD65" s="288"/>
      <c r="AE65" s="289"/>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c r="BI65" s="55"/>
    </row>
    <row r="66" spans="1:61" ht="12" customHeight="1" x14ac:dyDescent="0.25">
      <c r="A66" s="55"/>
      <c r="B66" s="301"/>
      <c r="C66" s="301"/>
      <c r="D66" s="302"/>
      <c r="E66" s="279"/>
      <c r="F66" s="274"/>
      <c r="G66" s="274"/>
      <c r="H66" s="274"/>
      <c r="I66" s="274"/>
      <c r="J66" s="48" t="str">
        <f>IF(AND('Mapa final'!$AB$34="Alta",'Mapa final'!$AD$34="Leve"),CONCATENATE("R11C",'Mapa final'!$R$34),"")</f>
        <v/>
      </c>
      <c r="K66" s="49" t="str">
        <f>IF(AND('Mapa final'!$AB$35="Alta",'Mapa final'!$AD$35="Leve"),CONCATENATE("R11C",'Mapa final'!$R$35),"")</f>
        <v/>
      </c>
      <c r="L66" s="108" t="str">
        <f>IF(AND('Mapa final'!$AB$36="Alta",'Mapa final'!$AD$36="Leve"),CONCATENATE("R11C",'Mapa final'!$R$36),"")</f>
        <v/>
      </c>
      <c r="M66" s="48" t="str">
        <f>IF(AND('Mapa final'!$AB$34="Alta",'Mapa final'!$AD$34="Menor"),CONCATENATE("R11C",'Mapa final'!$R$34),"")</f>
        <v/>
      </c>
      <c r="N66" s="49" t="str">
        <f>IF(AND('Mapa final'!$AB$35="Alta",'Mapa final'!$AD$35="Menor"),CONCATENATE("R11C",'Mapa final'!$R$35),"")</f>
        <v/>
      </c>
      <c r="O66" s="108" t="str">
        <f>IF(AND('Mapa final'!$AB$36="Alta",'Mapa final'!$AD$36="Menor"),CONCATENATE("R11C",'Mapa final'!$R$36),"")</f>
        <v/>
      </c>
      <c r="P66" s="102" t="str">
        <f>IF(AND('Mapa final'!$AB$34="Alta",'Mapa final'!$AD$34="Moderado"),CONCATENATE("R11C",'Mapa final'!$R$34),"")</f>
        <v/>
      </c>
      <c r="Q66" s="41" t="str">
        <f>IF(AND('Mapa final'!$AB$35="Alta",'Mapa final'!$AD$35="Moderado"),CONCATENATE("R11C",'Mapa final'!$R$35),"")</f>
        <v/>
      </c>
      <c r="R66" s="103" t="str">
        <f>IF(AND('Mapa final'!$AB$36="Alta",'Mapa final'!$AD$36="Moderado"),CONCATENATE("R11C",'Mapa final'!$R$36),"")</f>
        <v/>
      </c>
      <c r="S66" s="102" t="str">
        <f>IF(AND('Mapa final'!$AB$34="Alta",'Mapa final'!$AD$34="Mayor"),CONCATENATE("R11C",'Mapa final'!$R$34),"")</f>
        <v/>
      </c>
      <c r="T66" s="41" t="str">
        <f>IF(AND('Mapa final'!$AB$35="Alta",'Mapa final'!$AD$35="Mayor"),CONCATENATE("R11C",'Mapa final'!$R$35),"")</f>
        <v/>
      </c>
      <c r="U66" s="103" t="str">
        <f>IF(AND('Mapa final'!$AB$36="Alta",'Mapa final'!$AD$36="Mayor"),CONCATENATE("R11C",'Mapa final'!$R$36),"")</f>
        <v/>
      </c>
      <c r="V66" s="42" t="str">
        <f>IF(AND('Mapa final'!$AB$34="Alta",'Mapa final'!$AD$34="Catastrófico"),CONCATENATE("R11C",'Mapa final'!$R$34),"")</f>
        <v/>
      </c>
      <c r="W66" s="43" t="str">
        <f>IF(AND('Mapa final'!$AB$35="Alta",'Mapa final'!$AD$35="Catastrófico"),CONCATENATE("R11C",'Mapa final'!$R$35),"")</f>
        <v/>
      </c>
      <c r="X66" s="97" t="str">
        <f>IF(AND('Mapa final'!$AB$36="Alta",'Mapa final'!$AD$36="Catastrófico"),CONCATENATE("R11C",'Mapa final'!$R$36),"")</f>
        <v/>
      </c>
      <c r="Y66" s="55"/>
      <c r="Z66" s="287"/>
      <c r="AA66" s="288"/>
      <c r="AB66" s="288"/>
      <c r="AC66" s="288"/>
      <c r="AD66" s="288"/>
      <c r="AE66" s="289"/>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c r="BI66" s="55"/>
    </row>
    <row r="67" spans="1:61" ht="12" customHeight="1" x14ac:dyDescent="0.25">
      <c r="A67" s="55"/>
      <c r="B67" s="301"/>
      <c r="C67" s="301"/>
      <c r="D67" s="302"/>
      <c r="E67" s="279"/>
      <c r="F67" s="274"/>
      <c r="G67" s="274"/>
      <c r="H67" s="274"/>
      <c r="I67" s="274"/>
      <c r="J67" s="48" t="str">
        <f>IF(AND('Mapa final'!$AB$37="Alta",'Mapa final'!$AD$37="Leve"),CONCATENATE("R12C",'Mapa final'!$R$37),"")</f>
        <v/>
      </c>
      <c r="K67" s="49" t="str">
        <f>IF(AND('Mapa final'!$AB$38="Alta",'Mapa final'!$AD$38="Leve"),CONCATENATE("R12C",'Mapa final'!$R$38),"")</f>
        <v/>
      </c>
      <c r="L67" s="108" t="str">
        <f>IF(AND('Mapa final'!$AB$39="Alta",'Mapa final'!$AD$39="Leve"),CONCATENATE("R12C",'Mapa final'!$R$39),"")</f>
        <v/>
      </c>
      <c r="M67" s="48" t="str">
        <f>IF(AND('Mapa final'!$AB$37="Alta",'Mapa final'!$AD$37="Menor"),CONCATENATE("R12C",'Mapa final'!$R$37),"")</f>
        <v/>
      </c>
      <c r="N67" s="49" t="str">
        <f>IF(AND('Mapa final'!$AB$38="Alta",'Mapa final'!$AD$38="Menor"),CONCATENATE("R12C",'Mapa final'!$R$38),"")</f>
        <v/>
      </c>
      <c r="O67" s="108" t="str">
        <f>IF(AND('Mapa final'!$AB$39="Alta",'Mapa final'!$AD$39="Menor"),CONCATENATE("R12C",'Mapa final'!$R$39),"")</f>
        <v/>
      </c>
      <c r="P67" s="102" t="str">
        <f>IF(AND('Mapa final'!$AB$37="Alta",'Mapa final'!$AD$37="Moderado"),CONCATENATE("R12C",'Mapa final'!$R$37),"")</f>
        <v/>
      </c>
      <c r="Q67" s="41" t="str">
        <f>IF(AND('Mapa final'!$AB$38="Alta",'Mapa final'!$AD$38="Moderado"),CONCATENATE("R12C",'Mapa final'!$R$38),"")</f>
        <v/>
      </c>
      <c r="R67" s="103" t="str">
        <f>IF(AND('Mapa final'!$AB$39="Alta",'Mapa final'!$AD$39="Moderado"),CONCATENATE("R12C",'Mapa final'!$R$39),"")</f>
        <v/>
      </c>
      <c r="S67" s="102" t="str">
        <f>IF(AND('Mapa final'!$AB$37="Alta",'Mapa final'!$AD$37="Mayor"),CONCATENATE("R12C",'Mapa final'!$R$37),"")</f>
        <v/>
      </c>
      <c r="T67" s="41" t="str">
        <f>IF(AND('Mapa final'!$AB$38="Alta",'Mapa final'!$AD$38="Mayor"),CONCATENATE("R12C",'Mapa final'!$R$38),"")</f>
        <v/>
      </c>
      <c r="U67" s="103" t="str">
        <f>IF(AND('Mapa final'!$AB$39="Alta",'Mapa final'!$AD$39="Mayor"),CONCATENATE("R12C",'Mapa final'!$R$39),"")</f>
        <v/>
      </c>
      <c r="V67" s="42" t="str">
        <f>IF(AND('Mapa final'!$AB$37="Alta",'Mapa final'!$AD$37="Catastrófico"),CONCATENATE("R12C",'Mapa final'!$R$37),"")</f>
        <v/>
      </c>
      <c r="W67" s="43" t="str">
        <f>IF(AND('Mapa final'!$AB$38="Alta",'Mapa final'!$AD$38="Catastrófico"),CONCATENATE("R12C",'Mapa final'!$R$38),"")</f>
        <v/>
      </c>
      <c r="X67" s="97" t="str">
        <f>IF(AND('Mapa final'!$AB$39="Alta",'Mapa final'!$AD$39="Catastrófico"),CONCATENATE("R12C",'Mapa final'!$R$39),"")</f>
        <v/>
      </c>
      <c r="Y67" s="55"/>
      <c r="Z67" s="287"/>
      <c r="AA67" s="288"/>
      <c r="AB67" s="288"/>
      <c r="AC67" s="288"/>
      <c r="AD67" s="288"/>
      <c r="AE67" s="289"/>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c r="BI67" s="55"/>
    </row>
    <row r="68" spans="1:61" ht="12" customHeight="1" x14ac:dyDescent="0.25">
      <c r="A68" s="55"/>
      <c r="B68" s="301"/>
      <c r="C68" s="301"/>
      <c r="D68" s="302"/>
      <c r="E68" s="279"/>
      <c r="F68" s="274"/>
      <c r="G68" s="274"/>
      <c r="H68" s="274"/>
      <c r="I68" s="274"/>
      <c r="J68" s="48" t="str">
        <f>IF(AND('Mapa final'!$AB$40="Alta",'Mapa final'!$AD$40="Leve"),CONCATENATE("R13C",'Mapa final'!$R$40),"")</f>
        <v/>
      </c>
      <c r="K68" s="49" t="str">
        <f>IF(AND('Mapa final'!$AB$41="Alta",'Mapa final'!$AD$41="Leve"),CONCATENATE("R13C",'Mapa final'!$R$41),"")</f>
        <v/>
      </c>
      <c r="L68" s="108" t="str">
        <f>IF(AND('Mapa final'!$AB$42="Alta",'Mapa final'!$AD$42="Leve"),CONCATENATE("R13C",'Mapa final'!$R$42),"")</f>
        <v/>
      </c>
      <c r="M68" s="48" t="str">
        <f>IF(AND('Mapa final'!$AB$40="Alta",'Mapa final'!$AD$40="Menor"),CONCATENATE("R13C",'Mapa final'!$R$40),"")</f>
        <v/>
      </c>
      <c r="N68" s="49" t="str">
        <f>IF(AND('Mapa final'!$AB$41="Alta",'Mapa final'!$AD$41="Menor"),CONCATENATE("R13C",'Mapa final'!$R$41),"")</f>
        <v/>
      </c>
      <c r="O68" s="108" t="str">
        <f>IF(AND('Mapa final'!$AB$42="Alta",'Mapa final'!$AD$42="Menor"),CONCATENATE("R13C",'Mapa final'!$R$42),"")</f>
        <v/>
      </c>
      <c r="P68" s="102" t="str">
        <f>IF(AND('Mapa final'!$AB$40="Alta",'Mapa final'!$AD$40="Moderado"),CONCATENATE("R13C",'Mapa final'!$R$40),"")</f>
        <v/>
      </c>
      <c r="Q68" s="41" t="str">
        <f>IF(AND('Mapa final'!$AB$41="Alta",'Mapa final'!$AD$41="Moderado"),CONCATENATE("R13C",'Mapa final'!$R$41),"")</f>
        <v/>
      </c>
      <c r="R68" s="103" t="str">
        <f>IF(AND('Mapa final'!$AB$42="Alta",'Mapa final'!$AD$42="Moderado"),CONCATENATE("R13C",'Mapa final'!$R$42),"")</f>
        <v/>
      </c>
      <c r="S68" s="102" t="str">
        <f>IF(AND('Mapa final'!$AB$40="Alta",'Mapa final'!$AD$40="Mayor"),CONCATENATE("R13C",'Mapa final'!$R$40),"")</f>
        <v/>
      </c>
      <c r="T68" s="41" t="str">
        <f>IF(AND('Mapa final'!$AB$41="Alta",'Mapa final'!$AD$41="Mayor"),CONCATENATE("R13C",'Mapa final'!$R$41),"")</f>
        <v/>
      </c>
      <c r="U68" s="103" t="str">
        <f>IF(AND('Mapa final'!$AB$42="Alta",'Mapa final'!$AD$42="Mayor"),CONCATENATE("R13C",'Mapa final'!$R$42),"")</f>
        <v/>
      </c>
      <c r="V68" s="42" t="str">
        <f>IF(AND('Mapa final'!$AB$40="Alta",'Mapa final'!$AD$40="Catastrófico"),CONCATENATE("R13C",'Mapa final'!$R$40),"")</f>
        <v/>
      </c>
      <c r="W68" s="43" t="str">
        <f>IF(AND('Mapa final'!$AB$41="Alta",'Mapa final'!$AD$41="Catastrófico"),CONCATENATE("R13C",'Mapa final'!$R$41),"")</f>
        <v/>
      </c>
      <c r="X68" s="97" t="str">
        <f>IF(AND('Mapa final'!$AB$42="Alta",'Mapa final'!$AD$42="Catastrófico"),CONCATENATE("R13C",'Mapa final'!$R$42),"")</f>
        <v/>
      </c>
      <c r="Y68" s="55"/>
      <c r="Z68" s="287"/>
      <c r="AA68" s="288"/>
      <c r="AB68" s="288"/>
      <c r="AC68" s="288"/>
      <c r="AD68" s="288"/>
      <c r="AE68" s="289"/>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c r="BI68" s="55"/>
    </row>
    <row r="69" spans="1:61" ht="12" customHeight="1" x14ac:dyDescent="0.25">
      <c r="A69" s="55"/>
      <c r="B69" s="301"/>
      <c r="C69" s="301"/>
      <c r="D69" s="302"/>
      <c r="E69" s="279"/>
      <c r="F69" s="274"/>
      <c r="G69" s="274"/>
      <c r="H69" s="274"/>
      <c r="I69" s="274"/>
      <c r="J69" s="48" t="str">
        <f>IF(AND('Mapa final'!$AB$43="Alta",'Mapa final'!$AD$43="Leve"),CONCATENATE("R14C",'Mapa final'!$R$43),"")</f>
        <v/>
      </c>
      <c r="K69" s="49" t="str">
        <f>IF(AND('Mapa final'!$AB$44="Alta",'Mapa final'!$AD$44="Leve"),CONCATENATE("R14C",'Mapa final'!$R$44),"")</f>
        <v/>
      </c>
      <c r="L69" s="108" t="str">
        <f>IF(AND('Mapa final'!$AB$45="Alta",'Mapa final'!$AD$45="Leve"),CONCATENATE("R14C",'Mapa final'!$R$45),"")</f>
        <v/>
      </c>
      <c r="M69" s="48" t="str">
        <f>IF(AND('Mapa final'!$AB$43="Alta",'Mapa final'!$AD$43="Menor"),CONCATENATE("R14C",'Mapa final'!$R$43),"")</f>
        <v/>
      </c>
      <c r="N69" s="49" t="str">
        <f>IF(AND('Mapa final'!$AB$44="Alta",'Mapa final'!$AD$44="Menor"),CONCATENATE("R14C",'Mapa final'!$R$44),"")</f>
        <v/>
      </c>
      <c r="O69" s="108" t="str">
        <f>IF(AND('Mapa final'!$AB$45="Alta",'Mapa final'!$AD$45="Menor"),CONCATENATE("R14C",'Mapa final'!$R$45),"")</f>
        <v/>
      </c>
      <c r="P69" s="102" t="str">
        <f>IF(AND('Mapa final'!$AB$43="Alta",'Mapa final'!$AD$43="Moderado"),CONCATENATE("R14C",'Mapa final'!$R$43),"")</f>
        <v/>
      </c>
      <c r="Q69" s="41" t="str">
        <f>IF(AND('Mapa final'!$AB$44="Alta",'Mapa final'!$AD$44="Moderado"),CONCATENATE("R14C",'Mapa final'!$R$44),"")</f>
        <v/>
      </c>
      <c r="R69" s="103" t="str">
        <f>IF(AND('Mapa final'!$AB$45="Alta",'Mapa final'!$AD$45="Moderado"),CONCATENATE("R14C",'Mapa final'!$R$45),"")</f>
        <v/>
      </c>
      <c r="S69" s="102" t="str">
        <f>IF(AND('Mapa final'!$AB$43="Alta",'Mapa final'!$AD$43="Mayor"),CONCATENATE("R14C",'Mapa final'!$R$43),"")</f>
        <v/>
      </c>
      <c r="T69" s="41" t="str">
        <f>IF(AND('Mapa final'!$AB$44="Alta",'Mapa final'!$AD$44="Mayor"),CONCATENATE("R14C",'Mapa final'!$R$44),"")</f>
        <v/>
      </c>
      <c r="U69" s="103" t="str">
        <f>IF(AND('Mapa final'!$AB$45="Alta",'Mapa final'!$AD$45="Mayor"),CONCATENATE("R14C",'Mapa final'!$R$45),"")</f>
        <v/>
      </c>
      <c r="V69" s="42" t="str">
        <f>IF(AND('Mapa final'!$AB$43="Alta",'Mapa final'!$AD$43="Catastrófico"),CONCATENATE("R14C",'Mapa final'!$R$43),"")</f>
        <v/>
      </c>
      <c r="W69" s="43" t="str">
        <f>IF(AND('Mapa final'!$AB$44="Alta",'Mapa final'!$AD$44="Catastrófico"),CONCATENATE("R14C",'Mapa final'!$R$44),"")</f>
        <v/>
      </c>
      <c r="X69" s="97" t="str">
        <f>IF(AND('Mapa final'!$AB$45="Alta",'Mapa final'!$AD$45="Catastrófico"),CONCATENATE("R14C",'Mapa final'!$R$45),"")</f>
        <v/>
      </c>
      <c r="Y69" s="55"/>
      <c r="Z69" s="287"/>
      <c r="AA69" s="288"/>
      <c r="AB69" s="288"/>
      <c r="AC69" s="288"/>
      <c r="AD69" s="288"/>
      <c r="AE69" s="289"/>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c r="BI69" s="55"/>
    </row>
    <row r="70" spans="1:61" ht="15" customHeight="1" x14ac:dyDescent="0.25">
      <c r="A70" s="55"/>
      <c r="B70" s="301"/>
      <c r="C70" s="301"/>
      <c r="D70" s="302"/>
      <c r="E70" s="279"/>
      <c r="F70" s="274"/>
      <c r="G70" s="274"/>
      <c r="H70" s="274"/>
      <c r="I70" s="274"/>
      <c r="J70" s="48" t="str">
        <f>IF(AND('Mapa final'!$AB$46="Alta",'Mapa final'!$AD$46="Leve"),CONCATENATE("R15C",'Mapa final'!$R$46),"")</f>
        <v/>
      </c>
      <c r="K70" s="49" t="str">
        <f>IF(AND('Mapa final'!$AB$47="Alta",'Mapa final'!$AD$47="Leve"),CONCATENATE("R15C",'Mapa final'!$R$47),"")</f>
        <v/>
      </c>
      <c r="L70" s="108" t="str">
        <f>IF(AND('Mapa final'!$AB$48="Alta",'Mapa final'!$AD$48="Leve"),CONCATENATE("R15C",'Mapa final'!$R$48),"")</f>
        <v/>
      </c>
      <c r="M70" s="48" t="str">
        <f>IF(AND('Mapa final'!$AB$46="Alta",'Mapa final'!$AD$46="Menor"),CONCATENATE("R15C",'Mapa final'!$R$46),"")</f>
        <v/>
      </c>
      <c r="N70" s="49" t="str">
        <f>IF(AND('Mapa final'!$AB$47="Alta",'Mapa final'!$AD$47="Menor"),CONCATENATE("R15C",'Mapa final'!$R$47),"")</f>
        <v/>
      </c>
      <c r="O70" s="108" t="str">
        <f>IF(AND('Mapa final'!$AB$48="Alta",'Mapa final'!$AD$48="Menor"),CONCATENATE("R15C",'Mapa final'!$R$48),"")</f>
        <v/>
      </c>
      <c r="P70" s="102" t="str">
        <f>IF(AND('Mapa final'!$AB$46="Alta",'Mapa final'!$AD$46="Moderado"),CONCATENATE("R15C",'Mapa final'!$R$46),"")</f>
        <v/>
      </c>
      <c r="Q70" s="41" t="str">
        <f>IF(AND('Mapa final'!$AB$47="Alta",'Mapa final'!$AD$47="Moderado"),CONCATENATE("R15C",'Mapa final'!$R$47),"")</f>
        <v/>
      </c>
      <c r="R70" s="103" t="str">
        <f>IF(AND('Mapa final'!$AB$48="Alta",'Mapa final'!$AD$48="Moderado"),CONCATENATE("R15C",'Mapa final'!$R$48),"")</f>
        <v/>
      </c>
      <c r="S70" s="102" t="str">
        <f>IF(AND('Mapa final'!$AB$46="Alta",'Mapa final'!$AD$46="Mayor"),CONCATENATE("R15C",'Mapa final'!$R$46),"")</f>
        <v/>
      </c>
      <c r="T70" s="41" t="str">
        <f>IF(AND('Mapa final'!$AB$47="Alta",'Mapa final'!$AD$47="Mayor"),CONCATENATE("R15C",'Mapa final'!$R$47),"")</f>
        <v/>
      </c>
      <c r="U70" s="103" t="str">
        <f>IF(AND('Mapa final'!$AB$48="Alta",'Mapa final'!$AD$48="Mayor"),CONCATENATE("R15C",'Mapa final'!$R$48),"")</f>
        <v/>
      </c>
      <c r="V70" s="42" t="str">
        <f>IF(AND('Mapa final'!$AB$46="Alta",'Mapa final'!$AD$46="Catastrófico"),CONCATENATE("R15C",'Mapa final'!$R$46),"")</f>
        <v/>
      </c>
      <c r="W70" s="43" t="str">
        <f>IF(AND('Mapa final'!$AB$47="Alta",'Mapa final'!$AD$47="Catastrófico"),CONCATENATE("R15C",'Mapa final'!$R$47),"")</f>
        <v/>
      </c>
      <c r="X70" s="97" t="str">
        <f>IF(AND('Mapa final'!$AB$48="Alta",'Mapa final'!$AD$48="Catastrófico"),CONCATENATE("R15C",'Mapa final'!$R$48),"")</f>
        <v/>
      </c>
      <c r="Y70" s="55"/>
      <c r="Z70" s="287"/>
      <c r="AA70" s="288"/>
      <c r="AB70" s="288"/>
      <c r="AC70" s="288"/>
      <c r="AD70" s="288"/>
      <c r="AE70" s="289"/>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c r="BI70" s="55"/>
    </row>
    <row r="71" spans="1:61" ht="15" customHeight="1" x14ac:dyDescent="0.25">
      <c r="A71" s="55"/>
      <c r="B71" s="301"/>
      <c r="C71" s="301"/>
      <c r="D71" s="302"/>
      <c r="E71" s="279"/>
      <c r="F71" s="274"/>
      <c r="G71" s="274"/>
      <c r="H71" s="274"/>
      <c r="I71" s="274"/>
      <c r="J71" s="48" t="str">
        <f>IF(AND('Mapa final'!$AB$49="Alta",'Mapa final'!$AD$49="Leve"),CONCATENATE("R16C",'Mapa final'!$R$49),"")</f>
        <v/>
      </c>
      <c r="K71" s="49" t="str">
        <f>IF(AND('Mapa final'!$AB$50="Alta",'Mapa final'!$AD$50="Leve"),CONCATENATE("R16C",'Mapa final'!$R$50),"")</f>
        <v/>
      </c>
      <c r="L71" s="108" t="str">
        <f>IF(AND('Mapa final'!$AB$51="Alta",'Mapa final'!$AD$51="Leve"),CONCATENATE("R16C",'Mapa final'!$R$51),"")</f>
        <v/>
      </c>
      <c r="M71" s="48" t="str">
        <f>IF(AND('Mapa final'!$AB$49="Alta",'Mapa final'!$AD$49="Menor"),CONCATENATE("R16C",'Mapa final'!$R$49),"")</f>
        <v/>
      </c>
      <c r="N71" s="49" t="str">
        <f>IF(AND('Mapa final'!$AB$50="Alta",'Mapa final'!$AD$50="Menor"),CONCATENATE("R16C",'Mapa final'!$R$50),"")</f>
        <v/>
      </c>
      <c r="O71" s="108" t="str">
        <f>IF(AND('Mapa final'!$AB$51="Alta",'Mapa final'!$AD$51="Menor"),CONCATENATE("R16C",'Mapa final'!$R$51),"")</f>
        <v/>
      </c>
      <c r="P71" s="102" t="str">
        <f>IF(AND('Mapa final'!$AB$49="Alta",'Mapa final'!$AD$49="Moderado"),CONCATENATE("R16C",'Mapa final'!$R$49),"")</f>
        <v/>
      </c>
      <c r="Q71" s="41" t="str">
        <f>IF(AND('Mapa final'!$AB$50="Alta",'Mapa final'!$AD$50="Moderado"),CONCATENATE("R16C",'Mapa final'!$R$50),"")</f>
        <v/>
      </c>
      <c r="R71" s="103" t="str">
        <f>IF(AND('Mapa final'!$AB$51="Alta",'Mapa final'!$AD$51="Moderado"),CONCATENATE("R16C",'Mapa final'!$R$51),"")</f>
        <v/>
      </c>
      <c r="S71" s="102" t="str">
        <f>IF(AND('Mapa final'!$AB$49="Alta",'Mapa final'!$AD$49="Mayor"),CONCATENATE("R16C",'Mapa final'!$R$49),"")</f>
        <v/>
      </c>
      <c r="T71" s="41" t="str">
        <f>IF(AND('Mapa final'!$AB$50="Alta",'Mapa final'!$AD$50="Mayor"),CONCATENATE("R16C",'Mapa final'!$R$50),"")</f>
        <v/>
      </c>
      <c r="U71" s="103" t="str">
        <f>IF(AND('Mapa final'!$AB$51="Alta",'Mapa final'!$AD$51="Mayor"),CONCATENATE("R16C",'Mapa final'!$R$51),"")</f>
        <v/>
      </c>
      <c r="V71" s="42" t="str">
        <f>IF(AND('Mapa final'!$AB$49="Alta",'Mapa final'!$AD$49="Catastrófico"),CONCATENATE("R16C",'Mapa final'!$R$49),"")</f>
        <v/>
      </c>
      <c r="W71" s="43" t="str">
        <f>IF(AND('Mapa final'!$AB$50="Alta",'Mapa final'!$AD$50="Catastrófico"),CONCATENATE("R16C",'Mapa final'!$R$50),"")</f>
        <v/>
      </c>
      <c r="X71" s="97" t="str">
        <f>IF(AND('Mapa final'!$AB$51="Alta",'Mapa final'!$AD$51="Catastrófico"),CONCATENATE("R16C",'Mapa final'!$R$51),"")</f>
        <v/>
      </c>
      <c r="Y71" s="55"/>
      <c r="Z71" s="287"/>
      <c r="AA71" s="288"/>
      <c r="AB71" s="288"/>
      <c r="AC71" s="288"/>
      <c r="AD71" s="288"/>
      <c r="AE71" s="289"/>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row>
    <row r="72" spans="1:61" ht="15" customHeight="1" x14ac:dyDescent="0.25">
      <c r="A72" s="55"/>
      <c r="B72" s="301"/>
      <c r="C72" s="301"/>
      <c r="D72" s="302"/>
      <c r="E72" s="279"/>
      <c r="F72" s="274"/>
      <c r="G72" s="274"/>
      <c r="H72" s="274"/>
      <c r="I72" s="274"/>
      <c r="J72" s="48" t="str">
        <f>IF(AND('Mapa final'!$AB$52="Alta",'Mapa final'!$AD$52="Leve"),CONCATENATE("R17C",'Mapa final'!$R$52),"")</f>
        <v/>
      </c>
      <c r="K72" s="49" t="str">
        <f>IF(AND('Mapa final'!$AB$53="Alta",'Mapa final'!$AD$53="Leve"),CONCATENATE("R17C",'Mapa final'!$R$53),"")</f>
        <v/>
      </c>
      <c r="L72" s="108" t="str">
        <f>IF(AND('Mapa final'!$AB$54="Alta",'Mapa final'!$AD$54="Leve"),CONCATENATE("R17C",'Mapa final'!$R$54),"")</f>
        <v/>
      </c>
      <c r="M72" s="48" t="str">
        <f>IF(AND('Mapa final'!$AB$52="Alta",'Mapa final'!$AD$52="Menor"),CONCATENATE("R17C",'Mapa final'!$R$52),"")</f>
        <v/>
      </c>
      <c r="N72" s="49" t="str">
        <f>IF(AND('Mapa final'!$AB$53="Alta",'Mapa final'!$AD$53="Menor"),CONCATENATE("R17C",'Mapa final'!$R$53),"")</f>
        <v/>
      </c>
      <c r="O72" s="108" t="str">
        <f>IF(AND('Mapa final'!$AB$54="Alta",'Mapa final'!$AD$54="Menor"),CONCATENATE("R17C",'Mapa final'!$R$54),"")</f>
        <v/>
      </c>
      <c r="P72" s="102" t="str">
        <f>IF(AND('Mapa final'!$AB$52="Alta",'Mapa final'!$AD$52="Moderado"),CONCATENATE("R17C",'Mapa final'!$R$52),"")</f>
        <v/>
      </c>
      <c r="Q72" s="41" t="str">
        <f>IF(AND('Mapa final'!$AB$53="Alta",'Mapa final'!$AD$53="Moderado"),CONCATENATE("R17C",'Mapa final'!$R$53),"")</f>
        <v/>
      </c>
      <c r="R72" s="103" t="str">
        <f>IF(AND('Mapa final'!$AB$54="Alta",'Mapa final'!$AD$54="Moderado"),CONCATENATE("R17C",'Mapa final'!$R$54),"")</f>
        <v/>
      </c>
      <c r="S72" s="102" t="str">
        <f>IF(AND('Mapa final'!$AB$52="Alta",'Mapa final'!$AD$52="Mayor"),CONCATENATE("R17C",'Mapa final'!$R$52),"")</f>
        <v/>
      </c>
      <c r="T72" s="41" t="str">
        <f>IF(AND('Mapa final'!$AB$53="Alta",'Mapa final'!$AD$53="Mayor"),CONCATENATE("R17C",'Mapa final'!$R$53),"")</f>
        <v/>
      </c>
      <c r="U72" s="103" t="str">
        <f>IF(AND('Mapa final'!$AB$54="Alta",'Mapa final'!$AD$54="Mayor"),CONCATENATE("R17C",'Mapa final'!$R$54),"")</f>
        <v/>
      </c>
      <c r="V72" s="42" t="str">
        <f>IF(AND('Mapa final'!$AB$52="Alta",'Mapa final'!$AD$52="Catastrófico"),CONCATENATE("R17C",'Mapa final'!$R$52),"")</f>
        <v/>
      </c>
      <c r="W72" s="43" t="str">
        <f>IF(AND('Mapa final'!$AB$53="Alta",'Mapa final'!$AD$53="Catastrófico"),CONCATENATE("R17C",'Mapa final'!$R$53),"")</f>
        <v/>
      </c>
      <c r="X72" s="97" t="str">
        <f>IF(AND('Mapa final'!$AB$54="Alta",'Mapa final'!$AD$54="Catastrófico"),CONCATENATE("R17C",'Mapa final'!$R$54),"")</f>
        <v/>
      </c>
      <c r="Y72" s="55"/>
      <c r="Z72" s="287"/>
      <c r="AA72" s="288"/>
      <c r="AB72" s="288"/>
      <c r="AC72" s="288"/>
      <c r="AD72" s="288"/>
      <c r="AE72" s="289"/>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c r="BI72" s="55"/>
    </row>
    <row r="73" spans="1:61" ht="15" customHeight="1" x14ac:dyDescent="0.25">
      <c r="A73" s="55"/>
      <c r="B73" s="301"/>
      <c r="C73" s="301"/>
      <c r="D73" s="302"/>
      <c r="E73" s="279"/>
      <c r="F73" s="274"/>
      <c r="G73" s="274"/>
      <c r="H73" s="274"/>
      <c r="I73" s="274"/>
      <c r="J73" s="48" t="str">
        <f>IF(AND('Mapa final'!$AB$55="Alta",'Mapa final'!$AD$55="Leve"),CONCATENATE("R18C",'Mapa final'!$R$55),"")</f>
        <v/>
      </c>
      <c r="K73" s="49" t="str">
        <f>IF(AND('Mapa final'!$AB$56="Alta",'Mapa final'!$AD$56="Leve"),CONCATENATE("R18C",'Mapa final'!$R$56),"")</f>
        <v/>
      </c>
      <c r="L73" s="108" t="str">
        <f>IF(AND('Mapa final'!$AB$57="Alta",'Mapa final'!$AD$57="Leve"),CONCATENATE("R18C",'Mapa final'!$R$57),"")</f>
        <v/>
      </c>
      <c r="M73" s="48" t="str">
        <f>IF(AND('Mapa final'!$AB$55="Alta",'Mapa final'!$AD$55="Menor"),CONCATENATE("R18C",'Mapa final'!$R$55),"")</f>
        <v/>
      </c>
      <c r="N73" s="49" t="str">
        <f>IF(AND('Mapa final'!$AB$56="Alta",'Mapa final'!$AD$56="Menor"),CONCATENATE("R18C",'Mapa final'!$R$56),"")</f>
        <v/>
      </c>
      <c r="O73" s="108" t="str">
        <f>IF(AND('Mapa final'!$AB$57="Alta",'Mapa final'!$AD$57="Menor"),CONCATENATE("R18C",'Mapa final'!$R$57),"")</f>
        <v/>
      </c>
      <c r="P73" s="102" t="str">
        <f>IF(AND('Mapa final'!$AB$55="Alta",'Mapa final'!$AD$55="Moderado"),CONCATENATE("R18C",'Mapa final'!$R$55),"")</f>
        <v/>
      </c>
      <c r="Q73" s="41" t="str">
        <f>IF(AND('Mapa final'!$AB$56="Alta",'Mapa final'!$AD$56="Moderado"),CONCATENATE("R18C",'Mapa final'!$R$56),"")</f>
        <v/>
      </c>
      <c r="R73" s="103" t="str">
        <f>IF(AND('Mapa final'!$AB$57="Alta",'Mapa final'!$AD$57="Moderado"),CONCATENATE("R18C",'Mapa final'!$R$57),"")</f>
        <v/>
      </c>
      <c r="S73" s="102" t="str">
        <f>IF(AND('Mapa final'!$AB$55="Alta",'Mapa final'!$AD$55="Mayor"),CONCATENATE("R18C",'Mapa final'!$R$55),"")</f>
        <v/>
      </c>
      <c r="T73" s="41" t="str">
        <f>IF(AND('Mapa final'!$AB$56="Alta",'Mapa final'!$AD$56="Mayor"),CONCATENATE("R18C",'Mapa final'!$R$56),"")</f>
        <v/>
      </c>
      <c r="U73" s="103" t="str">
        <f>IF(AND('Mapa final'!$AB$57="Alta",'Mapa final'!$AD$57="Mayor"),CONCATENATE("R18C",'Mapa final'!$R$57),"")</f>
        <v/>
      </c>
      <c r="V73" s="42" t="str">
        <f>IF(AND('Mapa final'!$AB$55="Alta",'Mapa final'!$AD$55="Catastrófico"),CONCATENATE("R18C",'Mapa final'!$R$55),"")</f>
        <v/>
      </c>
      <c r="W73" s="43" t="str">
        <f>IF(AND('Mapa final'!$AB$56="Alta",'Mapa final'!$AD$56="Catastrófico"),CONCATENATE("R18C",'Mapa final'!$R$56),"")</f>
        <v/>
      </c>
      <c r="X73" s="97" t="str">
        <f>IF(AND('Mapa final'!$AB$57="Alta",'Mapa final'!$AD$57="Catastrófico"),CONCATENATE("R18C",'Mapa final'!$R$57),"")</f>
        <v/>
      </c>
      <c r="Y73" s="55"/>
      <c r="Z73" s="287"/>
      <c r="AA73" s="288"/>
      <c r="AB73" s="288"/>
      <c r="AC73" s="288"/>
      <c r="AD73" s="288"/>
      <c r="AE73" s="289"/>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row>
    <row r="74" spans="1:61" ht="15" customHeight="1" x14ac:dyDescent="0.25">
      <c r="A74" s="55"/>
      <c r="B74" s="301"/>
      <c r="C74" s="301"/>
      <c r="D74" s="302"/>
      <c r="E74" s="279"/>
      <c r="F74" s="274"/>
      <c r="G74" s="274"/>
      <c r="H74" s="274"/>
      <c r="I74" s="274"/>
      <c r="J74" s="48" t="str">
        <f>IF(AND('Mapa final'!$AB$58="Alta",'Mapa final'!$AD$58="Leve"),CONCATENATE("R19C",'Mapa final'!$R$58),"")</f>
        <v/>
      </c>
      <c r="K74" s="49" t="str">
        <f>IF(AND('Mapa final'!$AB$59="Alta",'Mapa final'!$AD$59="Leve"),CONCATENATE("R19C",'Mapa final'!$R$59),"")</f>
        <v/>
      </c>
      <c r="L74" s="108" t="str">
        <f>IF(AND('Mapa final'!$AB$60="Alta",'Mapa final'!$AD$60="Leve"),CONCATENATE("R19C",'Mapa final'!$R$60),"")</f>
        <v/>
      </c>
      <c r="M74" s="48" t="str">
        <f>IF(AND('Mapa final'!$AB$58="Alta",'Mapa final'!$AD$58="Menor"),CONCATENATE("R19C",'Mapa final'!$R$58),"")</f>
        <v/>
      </c>
      <c r="N74" s="49" t="str">
        <f>IF(AND('Mapa final'!$AB$59="Alta",'Mapa final'!$AD$59="Menor"),CONCATENATE("R19C",'Mapa final'!$R$59),"")</f>
        <v/>
      </c>
      <c r="O74" s="108" t="str">
        <f>IF(AND('Mapa final'!$AB$60="Alta",'Mapa final'!$AD$60="Menor"),CONCATENATE("R19C",'Mapa final'!$R$60),"")</f>
        <v/>
      </c>
      <c r="P74" s="102" t="str">
        <f>IF(AND('Mapa final'!$AB$58="Alta",'Mapa final'!$AD$58="Moderado"),CONCATENATE("R19C",'Mapa final'!$R$58),"")</f>
        <v/>
      </c>
      <c r="Q74" s="41" t="str">
        <f>IF(AND('Mapa final'!$AB$59="Alta",'Mapa final'!$AD$59="Moderado"),CONCATENATE("R19C",'Mapa final'!$R$59),"")</f>
        <v/>
      </c>
      <c r="R74" s="103" t="str">
        <f>IF(AND('Mapa final'!$AB$60="Alta",'Mapa final'!$AD$60="Moderado"),CONCATENATE("R19C",'Mapa final'!$R$60),"")</f>
        <v/>
      </c>
      <c r="S74" s="102" t="str">
        <f>IF(AND('Mapa final'!$AB$58="Alta",'Mapa final'!$AD$58="Mayor"),CONCATENATE("R19C",'Mapa final'!$R$58),"")</f>
        <v/>
      </c>
      <c r="T74" s="41" t="str">
        <f>IF(AND('Mapa final'!$AB$59="Alta",'Mapa final'!$AD$59="Mayor"),CONCATENATE("R19C",'Mapa final'!$R$59),"")</f>
        <v/>
      </c>
      <c r="U74" s="103" t="str">
        <f>IF(AND('Mapa final'!$AB$60="Alta",'Mapa final'!$AD$60="Mayor"),CONCATENATE("R19C",'Mapa final'!$R$60),"")</f>
        <v/>
      </c>
      <c r="V74" s="42" t="str">
        <f>IF(AND('Mapa final'!$AB$58="Alta",'Mapa final'!$AD$58="Catastrófico"),CONCATENATE("R19C",'Mapa final'!$R$58),"")</f>
        <v/>
      </c>
      <c r="W74" s="43" t="str">
        <f>IF(AND('Mapa final'!$AB$59="Alta",'Mapa final'!$AD$59="Catastrófico"),CONCATENATE("R19C",'Mapa final'!$R$59),"")</f>
        <v/>
      </c>
      <c r="X74" s="97" t="str">
        <f>IF(AND('Mapa final'!$AB$60="Alta",'Mapa final'!$AD$60="Catastrófico"),CONCATENATE("R19C",'Mapa final'!$R$60),"")</f>
        <v/>
      </c>
      <c r="Y74" s="55"/>
      <c r="Z74" s="287"/>
      <c r="AA74" s="288"/>
      <c r="AB74" s="288"/>
      <c r="AC74" s="288"/>
      <c r="AD74" s="288"/>
      <c r="AE74" s="289"/>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c r="BI74" s="55"/>
    </row>
    <row r="75" spans="1:61" ht="15" customHeight="1" x14ac:dyDescent="0.25">
      <c r="A75" s="55"/>
      <c r="B75" s="301"/>
      <c r="C75" s="301"/>
      <c r="D75" s="302"/>
      <c r="E75" s="279"/>
      <c r="F75" s="274"/>
      <c r="G75" s="274"/>
      <c r="H75" s="274"/>
      <c r="I75" s="274"/>
      <c r="J75" s="48" t="str">
        <f>IF(AND('Mapa final'!$AB$61="Alta",'Mapa final'!$AD$61="Leve"),CONCATENATE("R20C",'Mapa final'!$R$61),"")</f>
        <v/>
      </c>
      <c r="K75" s="49" t="str">
        <f>IF(AND('Mapa final'!$AB$62="Alta",'Mapa final'!$AD$62="Leve"),CONCATENATE("R20C",'Mapa final'!$R$62),"")</f>
        <v/>
      </c>
      <c r="L75" s="108" t="str">
        <f>IF(AND('Mapa final'!$AB$63="Alta",'Mapa final'!$AD$63="Leve"),CONCATENATE("R20C",'Mapa final'!$R$63),"")</f>
        <v/>
      </c>
      <c r="M75" s="48" t="str">
        <f>IF(AND('Mapa final'!$AB$61="Alta",'Mapa final'!$AD$61="Menor"),CONCATENATE("R20C",'Mapa final'!$R$61),"")</f>
        <v/>
      </c>
      <c r="N75" s="49" t="str">
        <f>IF(AND('Mapa final'!$AB$62="Alta",'Mapa final'!$AD$62="Menor"),CONCATENATE("R20C",'Mapa final'!$R$62),"")</f>
        <v/>
      </c>
      <c r="O75" s="108" t="str">
        <f>IF(AND('Mapa final'!$AB$63="Alta",'Mapa final'!$AD$63="Menor"),CONCATENATE("R20C",'Mapa final'!$R$63),"")</f>
        <v/>
      </c>
      <c r="P75" s="102" t="str">
        <f>IF(AND('Mapa final'!$AB$61="Alta",'Mapa final'!$AD$61="Moderado"),CONCATENATE("R20C",'Mapa final'!$R$61),"")</f>
        <v/>
      </c>
      <c r="Q75" s="41" t="str">
        <f>IF(AND('Mapa final'!$AB$62="Alta",'Mapa final'!$AD$62="Moderado"),CONCATENATE("R20C",'Mapa final'!$R$62),"")</f>
        <v/>
      </c>
      <c r="R75" s="103" t="str">
        <f>IF(AND('Mapa final'!$AB$63="Alta",'Mapa final'!$AD$63="Moderado"),CONCATENATE("R20C",'Mapa final'!$R$63),"")</f>
        <v/>
      </c>
      <c r="S75" s="102" t="str">
        <f>IF(AND('Mapa final'!$AB$61="Alta",'Mapa final'!$AD$61="Mayor"),CONCATENATE("R20C",'Mapa final'!$R$61),"")</f>
        <v/>
      </c>
      <c r="T75" s="41" t="str">
        <f>IF(AND('Mapa final'!$AB$62="Alta",'Mapa final'!$AD$62="Mayor"),CONCATENATE("R20C",'Mapa final'!$R$62),"")</f>
        <v/>
      </c>
      <c r="U75" s="103" t="str">
        <f>IF(AND('Mapa final'!$AB$63="Alta",'Mapa final'!$AD$63="Mayor"),CONCATENATE("R20C",'Mapa final'!$R$63),"")</f>
        <v/>
      </c>
      <c r="V75" s="42" t="str">
        <f>IF(AND('Mapa final'!$AB$61="Alta",'Mapa final'!$AD$61="Catastrófico"),CONCATENATE("R20C",'Mapa final'!$R$61),"")</f>
        <v/>
      </c>
      <c r="W75" s="43" t="str">
        <f>IF(AND('Mapa final'!$AB$62="Alta",'Mapa final'!$AD$62="Catastrófico"),CONCATENATE("R20C",'Mapa final'!$R$62),"")</f>
        <v/>
      </c>
      <c r="X75" s="97" t="str">
        <f>IF(AND('Mapa final'!$AB$63="Alta",'Mapa final'!$AD$63="Catastrófico"),CONCATENATE("R20C",'Mapa final'!$R$63),"")</f>
        <v/>
      </c>
      <c r="Y75" s="55"/>
      <c r="Z75" s="287"/>
      <c r="AA75" s="288"/>
      <c r="AB75" s="288"/>
      <c r="AC75" s="288"/>
      <c r="AD75" s="288"/>
      <c r="AE75" s="289"/>
      <c r="AF75" s="55"/>
      <c r="AG75" s="55"/>
      <c r="AH75" s="55"/>
      <c r="AI75" s="55"/>
      <c r="AJ75" s="55"/>
      <c r="AK75" s="55"/>
      <c r="AL75" s="55"/>
      <c r="AM75" s="55"/>
      <c r="AN75" s="55"/>
      <c r="AO75" s="55"/>
      <c r="AP75" s="55"/>
      <c r="AQ75" s="55"/>
      <c r="AR75" s="55"/>
      <c r="AS75" s="55"/>
      <c r="AT75" s="55"/>
      <c r="AU75" s="55"/>
      <c r="AV75" s="55"/>
      <c r="AW75" s="55"/>
      <c r="AX75" s="55"/>
      <c r="AY75" s="55"/>
      <c r="AZ75" s="55"/>
      <c r="BA75" s="55"/>
      <c r="BB75" s="55"/>
      <c r="BC75" s="55"/>
      <c r="BD75" s="55"/>
      <c r="BE75" s="55"/>
      <c r="BF75" s="55"/>
      <c r="BG75" s="55"/>
      <c r="BH75" s="55"/>
      <c r="BI75" s="55"/>
    </row>
    <row r="76" spans="1:61" ht="15" customHeight="1" x14ac:dyDescent="0.25">
      <c r="A76" s="55"/>
      <c r="B76" s="301"/>
      <c r="C76" s="301"/>
      <c r="D76" s="302"/>
      <c r="E76" s="279"/>
      <c r="F76" s="274"/>
      <c r="G76" s="274"/>
      <c r="H76" s="274"/>
      <c r="I76" s="274"/>
      <c r="J76" s="48" t="str">
        <f>IF(AND('Mapa final'!$AB$64="Alta",'Mapa final'!$AD$64="Leve"),CONCATENATE("R21C",'Mapa final'!$R$64),"")</f>
        <v/>
      </c>
      <c r="K76" s="49" t="str">
        <f>IF(AND('Mapa final'!$AB$65="Alta",'Mapa final'!$AD$65="Leve"),CONCATENATE("R21C",'Mapa final'!$R$65),"")</f>
        <v/>
      </c>
      <c r="L76" s="108" t="str">
        <f>IF(AND('Mapa final'!$AB$66="Alta",'Mapa final'!$AD$66="Leve"),CONCATENATE("R21C",'Mapa final'!$R$66),"")</f>
        <v/>
      </c>
      <c r="M76" s="48" t="str">
        <f>IF(AND('Mapa final'!$AB$64="Alta",'Mapa final'!$AD$64="Menor"),CONCATENATE("R21C",'Mapa final'!$R$64),"")</f>
        <v/>
      </c>
      <c r="N76" s="49" t="str">
        <f>IF(AND('Mapa final'!$AB$65="Alta",'Mapa final'!$AD$65="Menor"),CONCATENATE("R21C",'Mapa final'!$R$65),"")</f>
        <v/>
      </c>
      <c r="O76" s="108" t="str">
        <f>IF(AND('Mapa final'!$AB$66="Alta",'Mapa final'!$AD$66="Menor"),CONCATENATE("R21C",'Mapa final'!$R$66),"")</f>
        <v/>
      </c>
      <c r="P76" s="102" t="str">
        <f>IF(AND('Mapa final'!$AB$64="Alta",'Mapa final'!$AD$64="Moderado"),CONCATENATE("R21C",'Mapa final'!$R$64),"")</f>
        <v/>
      </c>
      <c r="Q76" s="41" t="str">
        <f>IF(AND('Mapa final'!$AB$65="Alta",'Mapa final'!$AD$65="Moderado"),CONCATENATE("R21C",'Mapa final'!$R$65),"")</f>
        <v/>
      </c>
      <c r="R76" s="103" t="str">
        <f>IF(AND('Mapa final'!$AB$66="Alta",'Mapa final'!$AD$66="Moderado"),CONCATENATE("R21C",'Mapa final'!$R$66),"")</f>
        <v/>
      </c>
      <c r="S76" s="102" t="str">
        <f>IF(AND('Mapa final'!$AB$64="Alta",'Mapa final'!$AD$64="Mayor"),CONCATENATE("R21C",'Mapa final'!$R$64),"")</f>
        <v/>
      </c>
      <c r="T76" s="41" t="str">
        <f>IF(AND('Mapa final'!$AB$65="Alta",'Mapa final'!$AD$65="Mayor"),CONCATENATE("R21C",'Mapa final'!$R$65),"")</f>
        <v/>
      </c>
      <c r="U76" s="103" t="str">
        <f>IF(AND('Mapa final'!$AB$66="Alta",'Mapa final'!$AD$66="Mayor"),CONCATENATE("R21C",'Mapa final'!$R$66),"")</f>
        <v/>
      </c>
      <c r="V76" s="42" t="str">
        <f>IF(AND('Mapa final'!$AB$64="Alta",'Mapa final'!$AD$64="Catastrófico"),CONCATENATE("R21C",'Mapa final'!$R$64),"")</f>
        <v/>
      </c>
      <c r="W76" s="43" t="str">
        <f>IF(AND('Mapa final'!$AB$65="Alta",'Mapa final'!$AD$65="Catastrófico"),CONCATENATE("R21C",'Mapa final'!$R$65),"")</f>
        <v/>
      </c>
      <c r="X76" s="97" t="str">
        <f>IF(AND('Mapa final'!$AB$66="Alta",'Mapa final'!$AD$66="Catastrófico"),CONCATENATE("R21C",'Mapa final'!$R$66),"")</f>
        <v/>
      </c>
      <c r="Y76" s="55"/>
      <c r="Z76" s="287"/>
      <c r="AA76" s="288"/>
      <c r="AB76" s="288"/>
      <c r="AC76" s="288"/>
      <c r="AD76" s="288"/>
      <c r="AE76" s="289"/>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c r="BI76" s="55"/>
    </row>
    <row r="77" spans="1:61" ht="15" customHeight="1" x14ac:dyDescent="0.25">
      <c r="A77" s="55"/>
      <c r="B77" s="301"/>
      <c r="C77" s="301"/>
      <c r="D77" s="302"/>
      <c r="E77" s="279"/>
      <c r="F77" s="274"/>
      <c r="G77" s="274"/>
      <c r="H77" s="274"/>
      <c r="I77" s="274"/>
      <c r="J77" s="48" t="str">
        <f>IF(AND('Mapa final'!$AB$67="Alta",'Mapa final'!$AD$67="Leve"),CONCATENATE("R22C",'Mapa final'!$R$67),"")</f>
        <v/>
      </c>
      <c r="K77" s="49" t="str">
        <f>IF(AND('Mapa final'!$AB$68="Alta",'Mapa final'!$AD$68="Leve"),CONCATENATE("R22C",'Mapa final'!$R$68),"")</f>
        <v/>
      </c>
      <c r="L77" s="108" t="str">
        <f>IF(AND('Mapa final'!$AB$69="Alta",'Mapa final'!$AD$69="Leve"),CONCATENATE("R22C",'Mapa final'!$R$69),"")</f>
        <v/>
      </c>
      <c r="M77" s="48" t="str">
        <f>IF(AND('Mapa final'!$AB$67="Alta",'Mapa final'!$AD$67="Menor"),CONCATENATE("R22C",'Mapa final'!$R$67),"")</f>
        <v/>
      </c>
      <c r="N77" s="49" t="str">
        <f>IF(AND('Mapa final'!$AB$68="Alta",'Mapa final'!$AD$68="Menor"),CONCATENATE("R22C",'Mapa final'!$R$68),"")</f>
        <v/>
      </c>
      <c r="O77" s="108" t="str">
        <f>IF(AND('Mapa final'!$AB$69="Alta",'Mapa final'!$AD$69="Menor"),CONCATENATE("R22C",'Mapa final'!$R$69),"")</f>
        <v/>
      </c>
      <c r="P77" s="102" t="str">
        <f>IF(AND('Mapa final'!$AB$67="Alta",'Mapa final'!$AD$67="Moderado"),CONCATENATE("R22C",'Mapa final'!$R$67),"")</f>
        <v/>
      </c>
      <c r="Q77" s="41" t="str">
        <f>IF(AND('Mapa final'!$AB$68="Alta",'Mapa final'!$AD$68="Moderado"),CONCATENATE("R22C",'Mapa final'!$R$68),"")</f>
        <v/>
      </c>
      <c r="R77" s="103" t="str">
        <f>IF(AND('Mapa final'!$AB$69="Alta",'Mapa final'!$AD$69="Moderado"),CONCATENATE("R22C",'Mapa final'!$R$69),"")</f>
        <v/>
      </c>
      <c r="S77" s="102" t="str">
        <f>IF(AND('Mapa final'!$AB$67="Alta",'Mapa final'!$AD$67="Mayor"),CONCATENATE("R22C",'Mapa final'!$R$67),"")</f>
        <v/>
      </c>
      <c r="T77" s="41" t="str">
        <f>IF(AND('Mapa final'!$AB$68="Alta",'Mapa final'!$AD$68="Mayor"),CONCATENATE("R22C",'Mapa final'!$R$68),"")</f>
        <v/>
      </c>
      <c r="U77" s="103" t="str">
        <f>IF(AND('Mapa final'!$AB$69="Alta",'Mapa final'!$AD$69="Mayor"),CONCATENATE("R22C",'Mapa final'!$R$69),"")</f>
        <v/>
      </c>
      <c r="V77" s="42" t="str">
        <f>IF(AND('Mapa final'!$AB$67="Alta",'Mapa final'!$AD$67="Catastrófico"),CONCATENATE("R22C",'Mapa final'!$R$67),"")</f>
        <v/>
      </c>
      <c r="W77" s="43" t="str">
        <f>IF(AND('Mapa final'!$AB$68="Alta",'Mapa final'!$AD$68="Catastrófico"),CONCATENATE("R22C",'Mapa final'!$R$68),"")</f>
        <v/>
      </c>
      <c r="X77" s="97" t="str">
        <f>IF(AND('Mapa final'!$AB$69="Alta",'Mapa final'!$AD$69="Catastrófico"),CONCATENATE("R22C",'Mapa final'!$R$69),"")</f>
        <v/>
      </c>
      <c r="Y77" s="55"/>
      <c r="Z77" s="287"/>
      <c r="AA77" s="288"/>
      <c r="AB77" s="288"/>
      <c r="AC77" s="288"/>
      <c r="AD77" s="288"/>
      <c r="AE77" s="289"/>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c r="BI77" s="55"/>
    </row>
    <row r="78" spans="1:61" ht="15" customHeight="1" x14ac:dyDescent="0.25">
      <c r="A78" s="55"/>
      <c r="B78" s="301"/>
      <c r="C78" s="301"/>
      <c r="D78" s="302"/>
      <c r="E78" s="279"/>
      <c r="F78" s="274"/>
      <c r="G78" s="274"/>
      <c r="H78" s="274"/>
      <c r="I78" s="274"/>
      <c r="J78" s="48" t="str">
        <f>IF(AND('Mapa final'!$AB$73="Alta",'Mapa final'!$AD$73="Leve"),CONCATENATE("R23C",'Mapa final'!$R$73),"")</f>
        <v/>
      </c>
      <c r="K78" s="49" t="str">
        <f>IF(AND('Mapa final'!$AB$74="Alta",'Mapa final'!$AD$74="Leve"),CONCATENATE("R23C",'Mapa final'!$R$74),"")</f>
        <v/>
      </c>
      <c r="L78" s="108" t="str">
        <f>IF(AND('Mapa final'!$AB$75="Alta",'Mapa final'!$AD$75="Leve"),CONCATENATE("R23C",'Mapa final'!$R$75),"")</f>
        <v/>
      </c>
      <c r="M78" s="48" t="str">
        <f>IF(AND('Mapa final'!$AB$73="Alta",'Mapa final'!$AD$73="Menor"),CONCATENATE("R23C",'Mapa final'!$R$73),"")</f>
        <v/>
      </c>
      <c r="N78" s="49" t="str">
        <f>IF(AND('Mapa final'!$AB$74="Alta",'Mapa final'!$AD$74="Menor"),CONCATENATE("R23C",'Mapa final'!$R$74),"")</f>
        <v/>
      </c>
      <c r="O78" s="108" t="str">
        <f>IF(AND('Mapa final'!$AB$75="Alta",'Mapa final'!$AD$75="Menor"),CONCATENATE("R23C",'Mapa final'!$R$75),"")</f>
        <v/>
      </c>
      <c r="P78" s="102" t="str">
        <f>IF(AND('Mapa final'!$AB$73="Alta",'Mapa final'!$AD$73="Moderado"),CONCATENATE("R23C",'Mapa final'!$R$73),"")</f>
        <v/>
      </c>
      <c r="Q78" s="41" t="str">
        <f>IF(AND('Mapa final'!$AB$74="Alta",'Mapa final'!$AD$74="Moderado"),CONCATENATE("R23C",'Mapa final'!$R$74),"")</f>
        <v/>
      </c>
      <c r="R78" s="103" t="str">
        <f>IF(AND('Mapa final'!$AB$75="Alta",'Mapa final'!$AD$75="Moderado"),CONCATENATE("R23C",'Mapa final'!$R$75),"")</f>
        <v/>
      </c>
      <c r="S78" s="102" t="str">
        <f>IF(AND('Mapa final'!$AB$73="Alta",'Mapa final'!$AD$73="Mayor"),CONCATENATE("R23C",'Mapa final'!$R$73),"")</f>
        <v/>
      </c>
      <c r="T78" s="41" t="str">
        <f>IF(AND('Mapa final'!$AB$74="Alta",'Mapa final'!$AD$74="Mayor"),CONCATENATE("R23C",'Mapa final'!$R$74),"")</f>
        <v/>
      </c>
      <c r="U78" s="103" t="str">
        <f>IF(AND('Mapa final'!$AB$75="Alta",'Mapa final'!$AD$75="Mayor"),CONCATENATE("R23C",'Mapa final'!$R$75),"")</f>
        <v/>
      </c>
      <c r="V78" s="42" t="str">
        <f>IF(AND('Mapa final'!$AB$73="Alta",'Mapa final'!$AD$73="Catastrófico"),CONCATENATE("R23C",'Mapa final'!$R$73),"")</f>
        <v/>
      </c>
      <c r="W78" s="43" t="str">
        <f>IF(AND('Mapa final'!$AB$74="Alta",'Mapa final'!$AD$74="Catastrófico"),CONCATENATE("R23C",'Mapa final'!$R$74),"")</f>
        <v/>
      </c>
      <c r="X78" s="97" t="str">
        <f>IF(AND('Mapa final'!$AB$75="Alta",'Mapa final'!$AD$75="Catastrófico"),CONCATENATE("R23C",'Mapa final'!$R$75),"")</f>
        <v/>
      </c>
      <c r="Y78" s="55"/>
      <c r="Z78" s="287"/>
      <c r="AA78" s="288"/>
      <c r="AB78" s="288"/>
      <c r="AC78" s="288"/>
      <c r="AD78" s="288"/>
      <c r="AE78" s="289"/>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c r="BI78" s="55"/>
    </row>
    <row r="79" spans="1:61" ht="15" customHeight="1" x14ac:dyDescent="0.25">
      <c r="A79" s="55"/>
      <c r="B79" s="301"/>
      <c r="C79" s="301"/>
      <c r="D79" s="302"/>
      <c r="E79" s="279"/>
      <c r="F79" s="274"/>
      <c r="G79" s="274"/>
      <c r="H79" s="274"/>
      <c r="I79" s="274"/>
      <c r="J79" s="48" t="str">
        <f>IF(AND('Mapa final'!$AB$76="Alta",'Mapa final'!$AD$76="Leve"),CONCATENATE("R24C",'Mapa final'!$R$76),"")</f>
        <v/>
      </c>
      <c r="K79" s="49" t="str">
        <f>IF(AND('Mapa final'!$AB$77="Alta",'Mapa final'!$AD$77="Leve"),CONCATENATE("R24C",'Mapa final'!$R$77),"")</f>
        <v/>
      </c>
      <c r="L79" s="108" t="str">
        <f>IF(AND('Mapa final'!$AB$78="Alta",'Mapa final'!$AD$78="Leve"),CONCATENATE("R24C",'Mapa final'!$R$78),"")</f>
        <v/>
      </c>
      <c r="M79" s="48" t="str">
        <f>IF(AND('Mapa final'!$AB$76="Alta",'Mapa final'!$AD$76="Menor"),CONCATENATE("R24C",'Mapa final'!$R$76),"")</f>
        <v/>
      </c>
      <c r="N79" s="49" t="str">
        <f>IF(AND('Mapa final'!$AB$77="Alta",'Mapa final'!$AD$77="Menor"),CONCATENATE("R24C",'Mapa final'!$R$77),"")</f>
        <v/>
      </c>
      <c r="O79" s="108" t="str">
        <f>IF(AND('Mapa final'!$AB$78="Alta",'Mapa final'!$AD$78="Menor"),CONCATENATE("R24C",'Mapa final'!$R$78),"")</f>
        <v/>
      </c>
      <c r="P79" s="102" t="str">
        <f>IF(AND('Mapa final'!$AB$76="Alta",'Mapa final'!$AD$76="Moderado"),CONCATENATE("R24C",'Mapa final'!$R$76),"")</f>
        <v/>
      </c>
      <c r="Q79" s="41" t="str">
        <f>IF(AND('Mapa final'!$AB$77="Alta",'Mapa final'!$AD$77="Moderado"),CONCATENATE("R24C",'Mapa final'!$R$77),"")</f>
        <v/>
      </c>
      <c r="R79" s="103" t="str">
        <f>IF(AND('Mapa final'!$AB$78="Alta",'Mapa final'!$AD$78="Moderado"),CONCATENATE("R24C",'Mapa final'!$R$78),"")</f>
        <v/>
      </c>
      <c r="S79" s="102" t="str">
        <f>IF(AND('Mapa final'!$AB$76="Alta",'Mapa final'!$AD$76="Mayor"),CONCATENATE("R24C",'Mapa final'!$R$76),"")</f>
        <v/>
      </c>
      <c r="T79" s="41" t="str">
        <f>IF(AND('Mapa final'!$AB$77="Alta",'Mapa final'!$AD$77="Mayor"),CONCATENATE("R24C",'Mapa final'!$R$77),"")</f>
        <v/>
      </c>
      <c r="U79" s="103" t="str">
        <f>IF(AND('Mapa final'!$AB$78="Alta",'Mapa final'!$AD$78="Mayor"),CONCATENATE("R24C",'Mapa final'!$R$78),"")</f>
        <v/>
      </c>
      <c r="V79" s="42" t="str">
        <f>IF(AND('Mapa final'!$AB$76="Alta",'Mapa final'!$AD$76="Catastrófico"),CONCATENATE("R24C",'Mapa final'!$R$76),"")</f>
        <v/>
      </c>
      <c r="W79" s="43" t="str">
        <f>IF(AND('Mapa final'!$AB$77="Alta",'Mapa final'!$AD$77="Catastrófico"),CONCATENATE("R24C",'Mapa final'!$R$77),"")</f>
        <v/>
      </c>
      <c r="X79" s="97" t="str">
        <f>IF(AND('Mapa final'!$AB$78="Alta",'Mapa final'!$AD$78="Catastrófico"),CONCATENATE("R24C",'Mapa final'!$R$78),"")</f>
        <v/>
      </c>
      <c r="Y79" s="55"/>
      <c r="Z79" s="287"/>
      <c r="AA79" s="288"/>
      <c r="AB79" s="288"/>
      <c r="AC79" s="288"/>
      <c r="AD79" s="288"/>
      <c r="AE79" s="289"/>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D79" s="55"/>
      <c r="BE79" s="55"/>
      <c r="BF79" s="55"/>
      <c r="BG79" s="55"/>
      <c r="BH79" s="55"/>
      <c r="BI79" s="55"/>
    </row>
    <row r="80" spans="1:61" ht="15" customHeight="1" x14ac:dyDescent="0.25">
      <c r="A80" s="55"/>
      <c r="B80" s="301"/>
      <c r="C80" s="301"/>
      <c r="D80" s="302"/>
      <c r="E80" s="279"/>
      <c r="F80" s="274"/>
      <c r="G80" s="274"/>
      <c r="H80" s="274"/>
      <c r="I80" s="274"/>
      <c r="J80" s="48" t="str">
        <f>IF(AND('Mapa final'!$AB$79="Alta",'Mapa final'!$AD$79="Leve"),CONCATENATE("R25C",'Mapa final'!$R$79),"")</f>
        <v/>
      </c>
      <c r="K80" s="49" t="str">
        <f>IF(AND('Mapa final'!$AB$80="Alta",'Mapa final'!$AD$80="Leve"),CONCATENATE("R25C",'Mapa final'!$R$80),"")</f>
        <v/>
      </c>
      <c r="L80" s="108" t="str">
        <f>IF(AND('Mapa final'!$AB$81="Alta",'Mapa final'!$AD$81="Leve"),CONCATENATE("R25C",'Mapa final'!$R$81),"")</f>
        <v/>
      </c>
      <c r="M80" s="48" t="str">
        <f>IF(AND('Mapa final'!$AB$79="Alta",'Mapa final'!$AD$79="Menor"),CONCATENATE("R25C",'Mapa final'!$R$79),"")</f>
        <v/>
      </c>
      <c r="N80" s="49" t="str">
        <f>IF(AND('Mapa final'!$AB$80="Alta",'Mapa final'!$AD$80="Menor"),CONCATENATE("R25C",'Mapa final'!$R$80),"")</f>
        <v/>
      </c>
      <c r="O80" s="108" t="str">
        <f>IF(AND('Mapa final'!$AB$81="Alta",'Mapa final'!$AD$81="Menor"),CONCATENATE("R25C",'Mapa final'!$R$81),"")</f>
        <v/>
      </c>
      <c r="P80" s="102" t="str">
        <f>IF(AND('Mapa final'!$AB$79="Alta",'Mapa final'!$AD$79="Moderado"),CONCATENATE("R25C",'Mapa final'!$R$79),"")</f>
        <v/>
      </c>
      <c r="Q80" s="41" t="str">
        <f>IF(AND('Mapa final'!$AB$80="Alta",'Mapa final'!$AD$80="Moderado"),CONCATENATE("R25C",'Mapa final'!$R$80),"")</f>
        <v/>
      </c>
      <c r="R80" s="103" t="str">
        <f>IF(AND('Mapa final'!$AB$81="Alta",'Mapa final'!$AD$81="Moderado"),CONCATENATE("R25C",'Mapa final'!$R$81),"")</f>
        <v/>
      </c>
      <c r="S80" s="102" t="str">
        <f>IF(AND('Mapa final'!$AB$79="Alta",'Mapa final'!$AD$79="Mayor"),CONCATENATE("R25C",'Mapa final'!$R$79),"")</f>
        <v/>
      </c>
      <c r="T80" s="41" t="str">
        <f>IF(AND('Mapa final'!$AB$80="Alta",'Mapa final'!$AD$80="Mayor"),CONCATENATE("R25C",'Mapa final'!$R$80),"")</f>
        <v/>
      </c>
      <c r="U80" s="103" t="str">
        <f>IF(AND('Mapa final'!$AB$81="Alta",'Mapa final'!$AD$81="Mayor"),CONCATENATE("R25C",'Mapa final'!$R$81),"")</f>
        <v/>
      </c>
      <c r="V80" s="42" t="str">
        <f>IF(AND('Mapa final'!$AB$79="Alta",'Mapa final'!$AD$79="Catastrófico"),CONCATENATE("R25C",'Mapa final'!$R$79),"")</f>
        <v/>
      </c>
      <c r="W80" s="43" t="str">
        <f>IF(AND('Mapa final'!$AB$80="Alta",'Mapa final'!$AD$80="Catastrófico"),CONCATENATE("R25C",'Mapa final'!$R$80),"")</f>
        <v/>
      </c>
      <c r="X80" s="97" t="str">
        <f>IF(AND('Mapa final'!$AB$81="Alta",'Mapa final'!$AD$81="Catastrófico"),CONCATENATE("R25C",'Mapa final'!$R$81),"")</f>
        <v/>
      </c>
      <c r="Y80" s="55"/>
      <c r="Z80" s="287"/>
      <c r="AA80" s="288"/>
      <c r="AB80" s="288"/>
      <c r="AC80" s="288"/>
      <c r="AD80" s="288"/>
      <c r="AE80" s="289"/>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c r="BI80" s="55"/>
    </row>
    <row r="81" spans="1:61" ht="15" customHeight="1" x14ac:dyDescent="0.25">
      <c r="A81" s="55"/>
      <c r="B81" s="301"/>
      <c r="C81" s="301"/>
      <c r="D81" s="302"/>
      <c r="E81" s="279"/>
      <c r="F81" s="274"/>
      <c r="G81" s="274"/>
      <c r="H81" s="274"/>
      <c r="I81" s="274"/>
      <c r="J81" s="48" t="str">
        <f>IF(AND('Mapa final'!$AB$82="Alta",'Mapa final'!$AD$82="Leve"),CONCATENATE("R26C",'Mapa final'!$R$82),"")</f>
        <v/>
      </c>
      <c r="K81" s="49" t="str">
        <f>IF(AND('Mapa final'!$AB$83="Alta",'Mapa final'!$AD$83="Leve"),CONCATENATE("R26C",'Mapa final'!$R$83),"")</f>
        <v/>
      </c>
      <c r="L81" s="108" t="str">
        <f>IF(AND('Mapa final'!$AB$84="Alta",'Mapa final'!$AD$84="Leve"),CONCATENATE("R26C",'Mapa final'!$R$84),"")</f>
        <v/>
      </c>
      <c r="M81" s="48" t="str">
        <f>IF(AND('Mapa final'!$AB$82="Alta",'Mapa final'!$AD$82="Menor"),CONCATENATE("R26C",'Mapa final'!$R$82),"")</f>
        <v/>
      </c>
      <c r="N81" s="49" t="str">
        <f>IF(AND('Mapa final'!$AB$83="Alta",'Mapa final'!$AD$83="Menor"),CONCATENATE("R26C",'Mapa final'!$R$83),"")</f>
        <v/>
      </c>
      <c r="O81" s="108" t="str">
        <f>IF(AND('Mapa final'!$AB$84="Alta",'Mapa final'!$AD$84="Menor"),CONCATENATE("R26C",'Mapa final'!$R$84),"")</f>
        <v/>
      </c>
      <c r="P81" s="102" t="str">
        <f>IF(AND('Mapa final'!$AB$82="Alta",'Mapa final'!$AD$82="Moderado"),CONCATENATE("R26C",'Mapa final'!$R$82),"")</f>
        <v/>
      </c>
      <c r="Q81" s="41" t="str">
        <f>IF(AND('Mapa final'!$AB$83="Alta",'Mapa final'!$AD$83="Moderado"),CONCATENATE("R26C",'Mapa final'!$R$83),"")</f>
        <v/>
      </c>
      <c r="R81" s="103" t="str">
        <f>IF(AND('Mapa final'!$AB$84="Alta",'Mapa final'!$AD$84="Moderado"),CONCATENATE("R26C",'Mapa final'!$R$84),"")</f>
        <v/>
      </c>
      <c r="S81" s="102" t="str">
        <f>IF(AND('Mapa final'!$AB$82="Alta",'Mapa final'!$AD$82="Mayor"),CONCATENATE("R26C",'Mapa final'!$R$82),"")</f>
        <v/>
      </c>
      <c r="T81" s="41" t="str">
        <f>IF(AND('Mapa final'!$AB$83="Alta",'Mapa final'!$AD$83="Mayor"),CONCATENATE("R26C",'Mapa final'!$R$83),"")</f>
        <v/>
      </c>
      <c r="U81" s="103" t="str">
        <f>IF(AND('Mapa final'!$AB$84="Alta",'Mapa final'!$AD$84="Mayor"),CONCATENATE("R26C",'Mapa final'!$R$84),"")</f>
        <v/>
      </c>
      <c r="V81" s="42" t="str">
        <f>IF(AND('Mapa final'!$AB$82="Alta",'Mapa final'!$AD$82="Catastrófico"),CONCATENATE("R26C",'Mapa final'!$R$82),"")</f>
        <v/>
      </c>
      <c r="W81" s="43" t="str">
        <f>IF(AND('Mapa final'!$AB$83="Alta",'Mapa final'!$AD$83="Catastrófico"),CONCATENATE("R26C",'Mapa final'!$R$83),"")</f>
        <v/>
      </c>
      <c r="X81" s="97" t="str">
        <f>IF(AND('Mapa final'!$AB$84="Alta",'Mapa final'!$AD$84="Catastrófico"),CONCATENATE("R26C",'Mapa final'!$R$84),"")</f>
        <v/>
      </c>
      <c r="Y81" s="55"/>
      <c r="Z81" s="287"/>
      <c r="AA81" s="288"/>
      <c r="AB81" s="288"/>
      <c r="AC81" s="288"/>
      <c r="AD81" s="288"/>
      <c r="AE81" s="289"/>
      <c r="AF81" s="55"/>
      <c r="AG81" s="55"/>
      <c r="AH81" s="55"/>
      <c r="AI81" s="55"/>
      <c r="AJ81" s="55"/>
      <c r="AK81" s="55"/>
      <c r="AL81" s="55"/>
      <c r="AM81" s="55"/>
      <c r="AN81" s="55"/>
      <c r="AO81" s="55"/>
      <c r="AP81" s="55"/>
      <c r="AQ81" s="55"/>
      <c r="AR81" s="55"/>
      <c r="AS81" s="55"/>
      <c r="AT81" s="55"/>
      <c r="AU81" s="55"/>
      <c r="AV81" s="55"/>
      <c r="AW81" s="55"/>
      <c r="AX81" s="55"/>
      <c r="AY81" s="55"/>
      <c r="AZ81" s="55"/>
      <c r="BA81" s="55"/>
      <c r="BB81" s="55"/>
      <c r="BC81" s="55"/>
      <c r="BD81" s="55"/>
      <c r="BE81" s="55"/>
      <c r="BF81" s="55"/>
      <c r="BG81" s="55"/>
      <c r="BH81" s="55"/>
      <c r="BI81" s="55"/>
    </row>
    <row r="82" spans="1:61" ht="15" customHeight="1" x14ac:dyDescent="0.25">
      <c r="A82" s="55"/>
      <c r="B82" s="301"/>
      <c r="C82" s="301"/>
      <c r="D82" s="302"/>
      <c r="E82" s="279"/>
      <c r="F82" s="274"/>
      <c r="G82" s="274"/>
      <c r="H82" s="274"/>
      <c r="I82" s="274"/>
      <c r="J82" s="48" t="str">
        <f>IF(AND('Mapa final'!$AB$85="Alta",'Mapa final'!$AD$85="Leve"),CONCATENATE("R27C",'Mapa final'!$R$85),"")</f>
        <v/>
      </c>
      <c r="K82" s="49" t="str">
        <f>IF(AND('Mapa final'!$AB$86="Alta",'Mapa final'!$AD$86="Leve"),CONCATENATE("R27C",'Mapa final'!$R$86),"")</f>
        <v/>
      </c>
      <c r="L82" s="108" t="str">
        <f>IF(AND('Mapa final'!$AB$87="Alta",'Mapa final'!$AD$87="Leve"),CONCATENATE("R27C",'Mapa final'!$R$87),"")</f>
        <v/>
      </c>
      <c r="M82" s="48" t="str">
        <f>IF(AND('Mapa final'!$AB$85="Alta",'Mapa final'!$AD$85="Menor"),CONCATENATE("R27C",'Mapa final'!$R$85),"")</f>
        <v/>
      </c>
      <c r="N82" s="49" t="str">
        <f>IF(AND('Mapa final'!$AB$86="Alta",'Mapa final'!$AD$86="Menor"),CONCATENATE("R27C",'Mapa final'!$R$86),"")</f>
        <v/>
      </c>
      <c r="O82" s="108" t="str">
        <f>IF(AND('Mapa final'!$AB$87="Alta",'Mapa final'!$AD$87="Menor"),CONCATENATE("R27C",'Mapa final'!$R$87),"")</f>
        <v/>
      </c>
      <c r="P82" s="102" t="str">
        <f>IF(AND('Mapa final'!$AB$85="Alta",'Mapa final'!$AD$85="Moderado"),CONCATENATE("R27C",'Mapa final'!$R$85),"")</f>
        <v/>
      </c>
      <c r="Q82" s="41" t="str">
        <f>IF(AND('Mapa final'!$AB$86="Alta",'Mapa final'!$AD$86="Moderado"),CONCATENATE("R27C",'Mapa final'!$R$86),"")</f>
        <v/>
      </c>
      <c r="R82" s="103" t="str">
        <f>IF(AND('Mapa final'!$AB$87="Alta",'Mapa final'!$AD$87="Moderado"),CONCATENATE("R27C",'Mapa final'!$R$87),"")</f>
        <v/>
      </c>
      <c r="S82" s="102" t="str">
        <f>IF(AND('Mapa final'!$AB$85="Alta",'Mapa final'!$AD$85="Mayor"),CONCATENATE("R27C",'Mapa final'!$R$85),"")</f>
        <v/>
      </c>
      <c r="T82" s="41" t="str">
        <f>IF(AND('Mapa final'!$AB$86="Alta",'Mapa final'!$AD$86="Mayor"),CONCATENATE("R27C",'Mapa final'!$R$86),"")</f>
        <v/>
      </c>
      <c r="U82" s="103" t="str">
        <f>IF(AND('Mapa final'!$AB$87="Alta",'Mapa final'!$AD$87="Mayor"),CONCATENATE("R27C",'Mapa final'!$R$87),"")</f>
        <v/>
      </c>
      <c r="V82" s="42" t="str">
        <f>IF(AND('Mapa final'!$AB$85="Alta",'Mapa final'!$AD$85="Catastrófico"),CONCATENATE("R27C",'Mapa final'!$R$85),"")</f>
        <v/>
      </c>
      <c r="W82" s="43" t="str">
        <f>IF(AND('Mapa final'!$AB$86="Alta",'Mapa final'!$AD$86="Catastrófico"),CONCATENATE("R27C",'Mapa final'!$R$86),"")</f>
        <v/>
      </c>
      <c r="X82" s="97" t="str">
        <f>IF(AND('Mapa final'!$AB$87="Alta",'Mapa final'!$AD$87="Catastrófico"),CONCATENATE("R27C",'Mapa final'!$R$87),"")</f>
        <v/>
      </c>
      <c r="Y82" s="55"/>
      <c r="Z82" s="287"/>
      <c r="AA82" s="288"/>
      <c r="AB82" s="288"/>
      <c r="AC82" s="288"/>
      <c r="AD82" s="288"/>
      <c r="AE82" s="289"/>
      <c r="AF82" s="55"/>
      <c r="AG82" s="55"/>
      <c r="AH82" s="55"/>
      <c r="AI82" s="55"/>
      <c r="AJ82" s="55"/>
      <c r="AK82" s="55"/>
      <c r="AL82" s="55"/>
      <c r="AM82" s="55"/>
      <c r="AN82" s="55"/>
      <c r="AO82" s="55"/>
      <c r="AP82" s="55"/>
      <c r="AQ82" s="55"/>
      <c r="AR82" s="55"/>
      <c r="AS82" s="55"/>
      <c r="AT82" s="55"/>
      <c r="AU82" s="55"/>
      <c r="AV82" s="55"/>
      <c r="AW82" s="55"/>
      <c r="AX82" s="55"/>
      <c r="AY82" s="55"/>
      <c r="AZ82" s="55"/>
      <c r="BA82" s="55"/>
      <c r="BB82" s="55"/>
      <c r="BC82" s="55"/>
      <c r="BD82" s="55"/>
      <c r="BE82" s="55"/>
      <c r="BF82" s="55"/>
      <c r="BG82" s="55"/>
      <c r="BH82" s="55"/>
      <c r="BI82" s="55"/>
    </row>
    <row r="83" spans="1:61" ht="15" customHeight="1" x14ac:dyDescent="0.25">
      <c r="A83" s="55"/>
      <c r="B83" s="301"/>
      <c r="C83" s="301"/>
      <c r="D83" s="302"/>
      <c r="E83" s="279"/>
      <c r="F83" s="274"/>
      <c r="G83" s="274"/>
      <c r="H83" s="274"/>
      <c r="I83" s="274"/>
      <c r="J83" s="48" t="str">
        <f>IF(AND('Mapa final'!$AB$88="Alta",'Mapa final'!$AD$88="Leve"),CONCATENATE("R28C",'Mapa final'!$R$88),"")</f>
        <v/>
      </c>
      <c r="K83" s="49" t="str">
        <f>IF(AND('Mapa final'!$AB$89="Alta",'Mapa final'!$AD$89="Leve"),CONCATENATE("R28C",'Mapa final'!$R$89),"")</f>
        <v/>
      </c>
      <c r="L83" s="108" t="str">
        <f>IF(AND('Mapa final'!$AB$90="Alta",'Mapa final'!$AD$90="Leve"),CONCATENATE("R28C",'Mapa final'!$R$90),"")</f>
        <v/>
      </c>
      <c r="M83" s="48" t="str">
        <f>IF(AND('Mapa final'!$AB$88="Alta",'Mapa final'!$AD$88="Menor"),CONCATENATE("R28C",'Mapa final'!$R$88),"")</f>
        <v/>
      </c>
      <c r="N83" s="49" t="str">
        <f>IF(AND('Mapa final'!$AB$89="Alta",'Mapa final'!$AD$89="Menor"),CONCATENATE("R28C",'Mapa final'!$R$89),"")</f>
        <v/>
      </c>
      <c r="O83" s="108" t="str">
        <f>IF(AND('Mapa final'!$AB$90="Alta",'Mapa final'!$AD$90="Menor"),CONCATENATE("R28C",'Mapa final'!$R$90),"")</f>
        <v/>
      </c>
      <c r="P83" s="102" t="str">
        <f>IF(AND('Mapa final'!$AB$88="Alta",'Mapa final'!$AD$88="Moderado"),CONCATENATE("R28C",'Mapa final'!$R$88),"")</f>
        <v/>
      </c>
      <c r="Q83" s="41" t="str">
        <f>IF(AND('Mapa final'!$AB$89="Alta",'Mapa final'!$AD$89="Moderado"),CONCATENATE("R28C",'Mapa final'!$R$89),"")</f>
        <v/>
      </c>
      <c r="R83" s="103" t="str">
        <f>IF(AND('Mapa final'!$AB$90="Alta",'Mapa final'!$AD$90="Moderado"),CONCATENATE("R28C",'Mapa final'!$R$90),"")</f>
        <v/>
      </c>
      <c r="S83" s="102" t="str">
        <f>IF(AND('Mapa final'!$AB$88="Alta",'Mapa final'!$AD$88="Mayor"),CONCATENATE("R28C",'Mapa final'!$R$88),"")</f>
        <v/>
      </c>
      <c r="T83" s="41" t="str">
        <f>IF(AND('Mapa final'!$AB$89="Alta",'Mapa final'!$AD$89="Mayor"),CONCATENATE("R28C",'Mapa final'!$R$89),"")</f>
        <v/>
      </c>
      <c r="U83" s="103" t="str">
        <f>IF(AND('Mapa final'!$AB$90="Alta",'Mapa final'!$AD$90="Mayor"),CONCATENATE("R28C",'Mapa final'!$R$90),"")</f>
        <v/>
      </c>
      <c r="V83" s="42" t="str">
        <f>IF(AND('Mapa final'!$AB$88="Alta",'Mapa final'!$AD$88="Catastrófico"),CONCATENATE("R28C",'Mapa final'!$R$88),"")</f>
        <v/>
      </c>
      <c r="W83" s="43" t="str">
        <f>IF(AND('Mapa final'!$AB$89="Alta",'Mapa final'!$AD$89="Catastrófico"),CONCATENATE("R28C",'Mapa final'!$R$89),"")</f>
        <v/>
      </c>
      <c r="X83" s="97" t="str">
        <f>IF(AND('Mapa final'!$AB$90="Alta",'Mapa final'!$AD$90="Catastrófico"),CONCATENATE("R28C",'Mapa final'!$R$90),"")</f>
        <v/>
      </c>
      <c r="Y83" s="55"/>
      <c r="Z83" s="287"/>
      <c r="AA83" s="288"/>
      <c r="AB83" s="288"/>
      <c r="AC83" s="288"/>
      <c r="AD83" s="288"/>
      <c r="AE83" s="289"/>
      <c r="AF83" s="55"/>
      <c r="AG83" s="55"/>
      <c r="AH83" s="55"/>
      <c r="AI83" s="55"/>
      <c r="AJ83" s="55"/>
      <c r="AK83" s="55"/>
      <c r="AL83" s="55"/>
      <c r="AM83" s="55"/>
      <c r="AN83" s="55"/>
      <c r="AO83" s="55"/>
      <c r="AP83" s="55"/>
      <c r="AQ83" s="55"/>
      <c r="AR83" s="55"/>
      <c r="AS83" s="55"/>
      <c r="AT83" s="55"/>
      <c r="AU83" s="55"/>
      <c r="AV83" s="55"/>
      <c r="AW83" s="55"/>
      <c r="AX83" s="55"/>
      <c r="AY83" s="55"/>
      <c r="AZ83" s="55"/>
      <c r="BA83" s="55"/>
      <c r="BB83" s="55"/>
      <c r="BC83" s="55"/>
      <c r="BD83" s="55"/>
      <c r="BE83" s="55"/>
      <c r="BF83" s="55"/>
      <c r="BG83" s="55"/>
      <c r="BH83" s="55"/>
      <c r="BI83" s="55"/>
    </row>
    <row r="84" spans="1:61" ht="15" customHeight="1" x14ac:dyDescent="0.25">
      <c r="A84" s="55"/>
      <c r="B84" s="301"/>
      <c r="C84" s="301"/>
      <c r="D84" s="302"/>
      <c r="E84" s="279"/>
      <c r="F84" s="274"/>
      <c r="G84" s="274"/>
      <c r="H84" s="274"/>
      <c r="I84" s="274"/>
      <c r="J84" s="48" t="str">
        <f>IF(AND('Mapa final'!$AB$91="Alta",'Mapa final'!$AD$91="Leve"),CONCATENATE("R29C",'Mapa final'!$R$91),"")</f>
        <v/>
      </c>
      <c r="K84" s="49" t="str">
        <f>IF(AND('Mapa final'!$AB$92="Alta",'Mapa final'!$AD$92="Leve"),CONCATENATE("R29C",'Mapa final'!$R$92),"")</f>
        <v/>
      </c>
      <c r="L84" s="108" t="str">
        <f>IF(AND('Mapa final'!$AB$93="Alta",'Mapa final'!$AD$93="Leve"),CONCATENATE("R29C",'Mapa final'!$R$93),"")</f>
        <v/>
      </c>
      <c r="M84" s="48" t="str">
        <f>IF(AND('Mapa final'!$AB$91="Alta",'Mapa final'!$AD$91="Menor"),CONCATENATE("R29C",'Mapa final'!$R$91),"")</f>
        <v/>
      </c>
      <c r="N84" s="49" t="str">
        <f>IF(AND('Mapa final'!$AB$92="Alta",'Mapa final'!$AD$92="Menor"),CONCATENATE("R29C",'Mapa final'!$R$92),"")</f>
        <v/>
      </c>
      <c r="O84" s="108" t="str">
        <f>IF(AND('Mapa final'!$AB$93="Alta",'Mapa final'!$AD$93="Menor"),CONCATENATE("R29C",'Mapa final'!$R$93),"")</f>
        <v/>
      </c>
      <c r="P84" s="102" t="str">
        <f>IF(AND('Mapa final'!$AB$91="Alta",'Mapa final'!$AD$91="Moderado"),CONCATENATE("R29C",'Mapa final'!$R$91),"")</f>
        <v/>
      </c>
      <c r="Q84" s="41" t="str">
        <f>IF(AND('Mapa final'!$AB$92="Alta",'Mapa final'!$AD$92="Moderado"),CONCATENATE("R29C",'Mapa final'!$R$92),"")</f>
        <v/>
      </c>
      <c r="R84" s="103" t="str">
        <f>IF(AND('Mapa final'!$AB$93="Alta",'Mapa final'!$AD$93="Moderado"),CONCATENATE("R29C",'Mapa final'!$R$93),"")</f>
        <v/>
      </c>
      <c r="S84" s="102" t="str">
        <f>IF(AND('Mapa final'!$AB$91="Alta",'Mapa final'!$AD$91="Mayor"),CONCATENATE("R29C",'Mapa final'!$R$91),"")</f>
        <v/>
      </c>
      <c r="T84" s="41" t="str">
        <f>IF(AND('Mapa final'!$AB$92="Alta",'Mapa final'!$AD$92="Mayor"),CONCATENATE("R29C",'Mapa final'!$R$92),"")</f>
        <v/>
      </c>
      <c r="U84" s="103" t="str">
        <f>IF(AND('Mapa final'!$AB$93="Alta",'Mapa final'!$AD$93="Mayor"),CONCATENATE("R29C",'Mapa final'!$R$93),"")</f>
        <v/>
      </c>
      <c r="V84" s="42" t="str">
        <f>IF(AND('Mapa final'!$AB$91="Alta",'Mapa final'!$AD$91="Catastrófico"),CONCATENATE("R29C",'Mapa final'!$R$91),"")</f>
        <v/>
      </c>
      <c r="W84" s="43" t="str">
        <f>IF(AND('Mapa final'!$AB$92="Alta",'Mapa final'!$AD$92="Catastrófico"),CONCATENATE("R29C",'Mapa final'!$R$92),"")</f>
        <v/>
      </c>
      <c r="X84" s="97" t="str">
        <f>IF(AND('Mapa final'!$AB$93="Alta",'Mapa final'!$AD$93="Catastrófico"),CONCATENATE("R29C",'Mapa final'!$R$93),"")</f>
        <v/>
      </c>
      <c r="Y84" s="55"/>
      <c r="Z84" s="287"/>
      <c r="AA84" s="288"/>
      <c r="AB84" s="288"/>
      <c r="AC84" s="288"/>
      <c r="AD84" s="288"/>
      <c r="AE84" s="289"/>
      <c r="AF84" s="55"/>
      <c r="AG84" s="55"/>
      <c r="AH84" s="55"/>
      <c r="AI84" s="55"/>
      <c r="AJ84" s="55"/>
      <c r="AK84" s="55"/>
      <c r="AL84" s="55"/>
      <c r="AM84" s="55"/>
      <c r="AN84" s="55"/>
      <c r="AO84" s="55"/>
      <c r="AP84" s="55"/>
      <c r="AQ84" s="55"/>
      <c r="AR84" s="55"/>
      <c r="AS84" s="55"/>
      <c r="AT84" s="55"/>
      <c r="AU84" s="55"/>
      <c r="AV84" s="55"/>
      <c r="AW84" s="55"/>
      <c r="AX84" s="55"/>
      <c r="AY84" s="55"/>
      <c r="AZ84" s="55"/>
      <c r="BA84" s="55"/>
      <c r="BB84" s="55"/>
      <c r="BC84" s="55"/>
      <c r="BD84" s="55"/>
      <c r="BE84" s="55"/>
      <c r="BF84" s="55"/>
      <c r="BG84" s="55"/>
      <c r="BH84" s="55"/>
      <c r="BI84" s="55"/>
    </row>
    <row r="85" spans="1:61" ht="15" customHeight="1" x14ac:dyDescent="0.25">
      <c r="A85" s="55"/>
      <c r="B85" s="301"/>
      <c r="C85" s="301"/>
      <c r="D85" s="302"/>
      <c r="E85" s="279"/>
      <c r="F85" s="274"/>
      <c r="G85" s="274"/>
      <c r="H85" s="274"/>
      <c r="I85" s="274"/>
      <c r="J85" s="48" t="str">
        <f>IF(AND('Mapa final'!$AB$94="Alta",'Mapa final'!$AD$94="Leve"),CONCATENATE("R30C",'Mapa final'!$R$94),"")</f>
        <v/>
      </c>
      <c r="K85" s="49" t="str">
        <f>IF(AND('Mapa final'!$AB$95="Alta",'Mapa final'!$AD$95="Leve"),CONCATENATE("R30C",'Mapa final'!$R$95),"")</f>
        <v/>
      </c>
      <c r="L85" s="108" t="str">
        <f>IF(AND('Mapa final'!$AB$96="Alta",'Mapa final'!$AD$96="Leve"),CONCATENATE("R30C",'Mapa final'!$R$96),"")</f>
        <v/>
      </c>
      <c r="M85" s="48" t="str">
        <f>IF(AND('Mapa final'!$AB$94="Alta",'Mapa final'!$AD$94="Menor"),CONCATENATE("R30C",'Mapa final'!$R$94),"")</f>
        <v/>
      </c>
      <c r="N85" s="49" t="str">
        <f>IF(AND('Mapa final'!$AB$95="Alta",'Mapa final'!$AD$95="Menor"),CONCATENATE("R30C",'Mapa final'!$R$95),"")</f>
        <v/>
      </c>
      <c r="O85" s="108" t="str">
        <f>IF(AND('Mapa final'!$AB$96="Alta",'Mapa final'!$AD$96="Menor"),CONCATENATE("R30C",'Mapa final'!$R$96),"")</f>
        <v/>
      </c>
      <c r="P85" s="102" t="str">
        <f>IF(AND('Mapa final'!$AB$94="Alta",'Mapa final'!$AD$94="Moderado"),CONCATENATE("R30C",'Mapa final'!$R$94),"")</f>
        <v/>
      </c>
      <c r="Q85" s="41" t="str">
        <f>IF(AND('Mapa final'!$AB$95="Alta",'Mapa final'!$AD$95="Moderado"),CONCATENATE("R30C",'Mapa final'!$R$95),"")</f>
        <v/>
      </c>
      <c r="R85" s="103" t="str">
        <f>IF(AND('Mapa final'!$AB$96="Alta",'Mapa final'!$AD$96="Moderado"),CONCATENATE("R30C",'Mapa final'!$R$96),"")</f>
        <v/>
      </c>
      <c r="S85" s="102" t="str">
        <f>IF(AND('Mapa final'!$AB$94="Alta",'Mapa final'!$AD$94="Mayor"),CONCATENATE("R30C",'Mapa final'!$R$94),"")</f>
        <v/>
      </c>
      <c r="T85" s="41" t="str">
        <f>IF(AND('Mapa final'!$AB$95="Alta",'Mapa final'!$AD$95="Mayor"),CONCATENATE("R30C",'Mapa final'!$R$95),"")</f>
        <v/>
      </c>
      <c r="U85" s="103" t="str">
        <f>IF(AND('Mapa final'!$AB$96="Alta",'Mapa final'!$AD$96="Mayor"),CONCATENATE("R30C",'Mapa final'!$R$96),"")</f>
        <v/>
      </c>
      <c r="V85" s="42" t="str">
        <f>IF(AND('Mapa final'!$AB$94="Alta",'Mapa final'!$AD$94="Catastrófico"),CONCATENATE("R30C",'Mapa final'!$R$94),"")</f>
        <v/>
      </c>
      <c r="W85" s="43" t="str">
        <f>IF(AND('Mapa final'!$AB$95="Alta",'Mapa final'!$AD$95="Catastrófico"),CONCATENATE("R30C",'Mapa final'!$R$95),"")</f>
        <v/>
      </c>
      <c r="X85" s="97" t="str">
        <f>IF(AND('Mapa final'!$AB$96="Alta",'Mapa final'!$AD$96="Catastrófico"),CONCATENATE("R30C",'Mapa final'!$R$96),"")</f>
        <v/>
      </c>
      <c r="Y85" s="55"/>
      <c r="Z85" s="287"/>
      <c r="AA85" s="288"/>
      <c r="AB85" s="288"/>
      <c r="AC85" s="288"/>
      <c r="AD85" s="288"/>
      <c r="AE85" s="289"/>
      <c r="AF85" s="55"/>
      <c r="AG85" s="55"/>
      <c r="AH85" s="55"/>
      <c r="AI85" s="55"/>
      <c r="AJ85" s="55"/>
      <c r="AK85" s="55"/>
      <c r="AL85" s="55"/>
      <c r="AM85" s="55"/>
      <c r="AN85" s="55"/>
      <c r="AO85" s="55"/>
      <c r="AP85" s="55"/>
      <c r="AQ85" s="55"/>
      <c r="AR85" s="55"/>
      <c r="AS85" s="55"/>
      <c r="AT85" s="55"/>
      <c r="AU85" s="55"/>
      <c r="AV85" s="55"/>
      <c r="AW85" s="55"/>
      <c r="AX85" s="55"/>
      <c r="AY85" s="55"/>
      <c r="AZ85" s="55"/>
      <c r="BA85" s="55"/>
      <c r="BB85" s="55"/>
      <c r="BC85" s="55"/>
      <c r="BD85" s="55"/>
      <c r="BE85" s="55"/>
      <c r="BF85" s="55"/>
      <c r="BG85" s="55"/>
      <c r="BH85" s="55"/>
      <c r="BI85" s="55"/>
    </row>
    <row r="86" spans="1:61" ht="15" customHeight="1" x14ac:dyDescent="0.25">
      <c r="A86" s="55"/>
      <c r="B86" s="301"/>
      <c r="C86" s="301"/>
      <c r="D86" s="302"/>
      <c r="E86" s="279"/>
      <c r="F86" s="274"/>
      <c r="G86" s="274"/>
      <c r="H86" s="274"/>
      <c r="I86" s="274"/>
      <c r="J86" s="48" t="str">
        <f>IF(AND('Mapa final'!$AB$97="Alta",'Mapa final'!$AD$97="Leve"),CONCATENATE("R31C",'Mapa final'!$R$97),"")</f>
        <v/>
      </c>
      <c r="K86" s="49" t="str">
        <f>IF(AND('Mapa final'!$AB$98="Alta",'Mapa final'!$AD$98="Leve"),CONCATENATE("R31C",'Mapa final'!$R$98),"")</f>
        <v/>
      </c>
      <c r="L86" s="108" t="str">
        <f>IF(AND('Mapa final'!$AB$99="Alta",'Mapa final'!$AD$99="Leve"),CONCATENATE("R31C",'Mapa final'!$R$99),"")</f>
        <v/>
      </c>
      <c r="M86" s="48" t="str">
        <f>IF(AND('Mapa final'!$AB$97="Alta",'Mapa final'!$AD$97="Menor"),CONCATENATE("R31C",'Mapa final'!$R$97),"")</f>
        <v/>
      </c>
      <c r="N86" s="49" t="str">
        <f>IF(AND('Mapa final'!$AB$98="Alta",'Mapa final'!$AD$98="Menor"),CONCATENATE("R31C",'Mapa final'!$R$98),"")</f>
        <v/>
      </c>
      <c r="O86" s="108" t="str">
        <f>IF(AND('Mapa final'!$AB$99="Alta",'Mapa final'!$AD$99="Menor"),CONCATENATE("R31C",'Mapa final'!$R$99),"")</f>
        <v/>
      </c>
      <c r="P86" s="102" t="str">
        <f>IF(AND('Mapa final'!$AB$97="Alta",'Mapa final'!$AD$97="Moderado"),CONCATENATE("R31C",'Mapa final'!$R$97),"")</f>
        <v/>
      </c>
      <c r="Q86" s="41" t="str">
        <f>IF(AND('Mapa final'!$AB$98="Alta",'Mapa final'!$AD$98="Moderado"),CONCATENATE("R31C",'Mapa final'!$R$98),"")</f>
        <v/>
      </c>
      <c r="R86" s="103" t="str">
        <f>IF(AND('Mapa final'!$AB$99="Alta",'Mapa final'!$AD$99="Moderado"),CONCATENATE("R31C",'Mapa final'!$R$99),"")</f>
        <v/>
      </c>
      <c r="S86" s="102" t="str">
        <f>IF(AND('Mapa final'!$AB$97="Alta",'Mapa final'!$AD$97="Mayor"),CONCATENATE("R31C",'Mapa final'!$R$97),"")</f>
        <v/>
      </c>
      <c r="T86" s="41" t="str">
        <f>IF(AND('Mapa final'!$AB$98="Alta",'Mapa final'!$AD$98="Mayor"),CONCATENATE("R31C",'Mapa final'!$R$98),"")</f>
        <v/>
      </c>
      <c r="U86" s="103" t="str">
        <f>IF(AND('Mapa final'!$AB$99="Alta",'Mapa final'!$AD$99="Mayor"),CONCATENATE("R31C",'Mapa final'!$R$99),"")</f>
        <v/>
      </c>
      <c r="V86" s="42" t="str">
        <f>IF(AND('Mapa final'!$AB$97="Alta",'Mapa final'!$AD$97="Catastrófico"),CONCATENATE("R31C",'Mapa final'!$R$97),"")</f>
        <v/>
      </c>
      <c r="W86" s="43" t="str">
        <f>IF(AND('Mapa final'!$AB$98="Alta",'Mapa final'!$AD$98="Catastrófico"),CONCATENATE("R31C",'Mapa final'!$R$98),"")</f>
        <v/>
      </c>
      <c r="X86" s="97" t="str">
        <f>IF(AND('Mapa final'!$AB$99="Alta",'Mapa final'!$AD$99="Catastrófico"),CONCATENATE("R31C",'Mapa final'!$R$99),"")</f>
        <v/>
      </c>
      <c r="Y86" s="55"/>
      <c r="Z86" s="287"/>
      <c r="AA86" s="288"/>
      <c r="AB86" s="288"/>
      <c r="AC86" s="288"/>
      <c r="AD86" s="288"/>
      <c r="AE86" s="289"/>
      <c r="AF86" s="55"/>
      <c r="AG86" s="55"/>
      <c r="AH86" s="55"/>
      <c r="AI86" s="55"/>
      <c r="AJ86" s="55"/>
      <c r="AK86" s="55"/>
      <c r="AL86" s="55"/>
      <c r="AM86" s="55"/>
      <c r="AN86" s="55"/>
      <c r="AO86" s="55"/>
      <c r="AP86" s="55"/>
      <c r="AQ86" s="55"/>
      <c r="AR86" s="55"/>
      <c r="AS86" s="55"/>
      <c r="AT86" s="55"/>
      <c r="AU86" s="55"/>
      <c r="AV86" s="55"/>
      <c r="AW86" s="55"/>
      <c r="AX86" s="55"/>
      <c r="AY86" s="55"/>
      <c r="AZ86" s="55"/>
      <c r="BA86" s="55"/>
      <c r="BB86" s="55"/>
      <c r="BC86" s="55"/>
      <c r="BD86" s="55"/>
      <c r="BE86" s="55"/>
      <c r="BF86" s="55"/>
      <c r="BG86" s="55"/>
      <c r="BH86" s="55"/>
      <c r="BI86" s="55"/>
    </row>
    <row r="87" spans="1:61" ht="15" customHeight="1" x14ac:dyDescent="0.25">
      <c r="A87" s="55"/>
      <c r="B87" s="301"/>
      <c r="C87" s="301"/>
      <c r="D87" s="302"/>
      <c r="E87" s="279"/>
      <c r="F87" s="274"/>
      <c r="G87" s="274"/>
      <c r="H87" s="274"/>
      <c r="I87" s="274"/>
      <c r="J87" s="48" t="e">
        <f>IF(AND('Mapa final'!#REF!="Alta",'Mapa final'!#REF!="Leve"),CONCATENATE("R32C",'Mapa final'!#REF!),"")</f>
        <v>#REF!</v>
      </c>
      <c r="K87" s="49" t="e">
        <f>IF(AND('Mapa final'!#REF!="Alta",'Mapa final'!#REF!="Leve"),CONCATENATE("R32C",'Mapa final'!#REF!),"")</f>
        <v>#REF!</v>
      </c>
      <c r="L87" s="108" t="e">
        <f>IF(AND('Mapa final'!#REF!="Alta",'Mapa final'!#REF!="Leve"),CONCATENATE("R32C",'Mapa final'!#REF!),"")</f>
        <v>#REF!</v>
      </c>
      <c r="M87" s="48" t="e">
        <f>IF(AND('Mapa final'!#REF!="Alta",'Mapa final'!#REF!="Menor"),CONCATENATE("R32C",'Mapa final'!#REF!),"")</f>
        <v>#REF!</v>
      </c>
      <c r="N87" s="49" t="e">
        <f>IF(AND('Mapa final'!#REF!="Alta",'Mapa final'!#REF!="Menor"),CONCATENATE("R32C",'Mapa final'!#REF!),"")</f>
        <v>#REF!</v>
      </c>
      <c r="O87" s="108" t="e">
        <f>IF(AND('Mapa final'!#REF!="Alta",'Mapa final'!#REF!="Menor"),CONCATENATE("R32C",'Mapa final'!#REF!),"")</f>
        <v>#REF!</v>
      </c>
      <c r="P87" s="102" t="e">
        <f>IF(AND('Mapa final'!#REF!="Alta",'Mapa final'!#REF!="Moderado"),CONCATENATE("R32C",'Mapa final'!#REF!),"")</f>
        <v>#REF!</v>
      </c>
      <c r="Q87" s="41" t="e">
        <f>IF(AND('Mapa final'!#REF!="Alta",'Mapa final'!#REF!="Moderado"),CONCATENATE("R32C",'Mapa final'!#REF!),"")</f>
        <v>#REF!</v>
      </c>
      <c r="R87" s="41" t="e">
        <f>IF(AND('Mapa final'!#REF!="Alta",'Mapa final'!#REF!="Moderado"),CONCATENATE("R32C",'Mapa final'!#REF!),"")</f>
        <v>#REF!</v>
      </c>
      <c r="S87" s="102" t="e">
        <f>IF(AND('Mapa final'!#REF!="Alta",'Mapa final'!#REF!="Mayor"),CONCATENATE("R32C",'Mapa final'!#REF!),"")</f>
        <v>#REF!</v>
      </c>
      <c r="T87" s="41" t="e">
        <f>IF(AND('Mapa final'!#REF!="Alta",'Mapa final'!#REF!="Mayor"),CONCATENATE("R32C",'Mapa final'!#REF!),"")</f>
        <v>#REF!</v>
      </c>
      <c r="U87" s="103" t="e">
        <f>IF(AND('Mapa final'!#REF!="Alta",'Mapa final'!#REF!="Mayor"),CONCATENATE("R32C",'Mapa final'!#REF!),"")</f>
        <v>#REF!</v>
      </c>
      <c r="V87" s="42" t="e">
        <f>IF(AND('Mapa final'!#REF!="Alta",'Mapa final'!#REF!="Catastrófico"),CONCATENATE("R32C",'Mapa final'!#REF!),"")</f>
        <v>#REF!</v>
      </c>
      <c r="W87" s="43" t="e">
        <f>IF(AND('Mapa final'!#REF!="Alta",'Mapa final'!#REF!="Catastrófico"),CONCATENATE("R32C",'Mapa final'!#REF!),"")</f>
        <v>#REF!</v>
      </c>
      <c r="X87" s="97" t="e">
        <f>IF(AND('Mapa final'!#REF!="Alta",'Mapa final'!#REF!="Catastrófico"),CONCATENATE("R32C",'Mapa final'!#REF!),"")</f>
        <v>#REF!</v>
      </c>
      <c r="Y87" s="55"/>
      <c r="Z87" s="287"/>
      <c r="AA87" s="288"/>
      <c r="AB87" s="288"/>
      <c r="AC87" s="288"/>
      <c r="AD87" s="288"/>
      <c r="AE87" s="289"/>
      <c r="AF87" s="55"/>
      <c r="AG87" s="55"/>
      <c r="AH87" s="55"/>
      <c r="AI87" s="55"/>
      <c r="AJ87" s="55"/>
      <c r="AK87" s="55"/>
      <c r="AL87" s="55"/>
      <c r="AM87" s="55"/>
      <c r="AN87" s="55"/>
      <c r="AO87" s="55"/>
      <c r="AP87" s="55"/>
      <c r="AQ87" s="55"/>
      <c r="AR87" s="55"/>
      <c r="AS87" s="55"/>
      <c r="AT87" s="55"/>
      <c r="AU87" s="55"/>
      <c r="AV87" s="55"/>
      <c r="AW87" s="55"/>
      <c r="AX87" s="55"/>
      <c r="AY87" s="55"/>
      <c r="AZ87" s="55"/>
      <c r="BA87" s="55"/>
      <c r="BB87" s="55"/>
      <c r="BC87" s="55"/>
      <c r="BD87" s="55"/>
      <c r="BE87" s="55"/>
      <c r="BF87" s="55"/>
      <c r="BG87" s="55"/>
      <c r="BH87" s="55"/>
      <c r="BI87" s="55"/>
    </row>
    <row r="88" spans="1:61" ht="15" customHeight="1" x14ac:dyDescent="0.25">
      <c r="A88" s="55"/>
      <c r="B88" s="301"/>
      <c r="C88" s="301"/>
      <c r="D88" s="302"/>
      <c r="E88" s="279"/>
      <c r="F88" s="274"/>
      <c r="G88" s="274"/>
      <c r="H88" s="274"/>
      <c r="I88" s="274"/>
      <c r="J88" s="48" t="str">
        <f>IF(AND('Mapa final'!$AB$100="Alta",'Mapa final'!$AD$100="Leve"),CONCATENATE("R33C",'Mapa final'!$R$100),"")</f>
        <v/>
      </c>
      <c r="K88" s="49" t="str">
        <f>IF(AND('Mapa final'!$AB$101="Alta",'Mapa final'!$AD$101="Leve"),CONCATENATE("R33C",'Mapa final'!$R$101),"")</f>
        <v/>
      </c>
      <c r="L88" s="108" t="str">
        <f>IF(AND('Mapa final'!$AB$102="Alta",'Mapa final'!$AD$102="Leve"),CONCATENATE("R33C",'Mapa final'!$R$102),"")</f>
        <v/>
      </c>
      <c r="M88" s="48" t="str">
        <f>IF(AND('Mapa final'!$AB$100="Alta",'Mapa final'!$AD$100="Menor"),CONCATENATE("R33C",'Mapa final'!$R$100),"")</f>
        <v/>
      </c>
      <c r="N88" s="49" t="str">
        <f>IF(AND('Mapa final'!$AB$101="Alta",'Mapa final'!$AD$101="Menor"),CONCATENATE("R33C",'Mapa final'!$R$101),"")</f>
        <v/>
      </c>
      <c r="O88" s="108" t="str">
        <f>IF(AND('Mapa final'!$AB$102="Alta",'Mapa final'!$AD$102="Menor"),CONCATENATE("R33C",'Mapa final'!$R$102),"")</f>
        <v/>
      </c>
      <c r="P88" s="102" t="str">
        <f>IF(AND('Mapa final'!$AB$100="Alta",'Mapa final'!$AD$100="Moderado"),CONCATENATE("R33C",'Mapa final'!$R$100),"")</f>
        <v/>
      </c>
      <c r="Q88" s="41" t="str">
        <f>IF(AND('Mapa final'!$AB$101="Alta",'Mapa final'!$AD$101="Moderado"),CONCATENATE("R33C",'Mapa final'!$R$101),"")</f>
        <v/>
      </c>
      <c r="R88" s="41" t="str">
        <f>IF(AND('Mapa final'!$AB$102="Alta",'Mapa final'!$AD$102="Moderado"),CONCATENATE("R33C",'Mapa final'!$R$102),"")</f>
        <v/>
      </c>
      <c r="S88" s="102" t="str">
        <f>IF(AND('Mapa final'!$AB$100="Alta",'Mapa final'!$AD$100="Mayor"),CONCATENATE("R33C",'Mapa final'!$R$100),"")</f>
        <v/>
      </c>
      <c r="T88" s="41" t="str">
        <f>IF(AND('Mapa final'!$AB$101="Alta",'Mapa final'!$AD$101="Mayor"),CONCATENATE("R33C",'Mapa final'!$R$101),"")</f>
        <v/>
      </c>
      <c r="U88" s="103" t="str">
        <f>IF(AND('Mapa final'!$AB$102="Alta",'Mapa final'!$AD$102="Mayor"),CONCATENATE("R33C",'Mapa final'!$R$102),"")</f>
        <v/>
      </c>
      <c r="V88" s="42" t="str">
        <f>IF(AND('Mapa final'!$AB$100="Alta",'Mapa final'!$AD$100="Catastrófico"),CONCATENATE("R33C",'Mapa final'!$R$100),"")</f>
        <v/>
      </c>
      <c r="W88" s="43" t="str">
        <f>IF(AND('Mapa final'!$AB$101="Alta",'Mapa final'!$AD$101="Catastrófico"),CONCATENATE("R33C",'Mapa final'!$R$101),"")</f>
        <v/>
      </c>
      <c r="X88" s="97" t="str">
        <f>IF(AND('Mapa final'!$AB$102="Alta",'Mapa final'!$AD$102="Catastrófico"),CONCATENATE("R33C",'Mapa final'!$R$102),"")</f>
        <v/>
      </c>
      <c r="Y88" s="55"/>
      <c r="Z88" s="287"/>
      <c r="AA88" s="288"/>
      <c r="AB88" s="288"/>
      <c r="AC88" s="288"/>
      <c r="AD88" s="288"/>
      <c r="AE88" s="289"/>
      <c r="AF88" s="55"/>
      <c r="AG88" s="55"/>
      <c r="AH88" s="55"/>
      <c r="AI88" s="55"/>
      <c r="AJ88" s="55"/>
      <c r="AK88" s="55"/>
      <c r="AL88" s="55"/>
      <c r="AM88" s="55"/>
      <c r="AN88" s="55"/>
      <c r="AO88" s="55"/>
      <c r="AP88" s="55"/>
      <c r="AQ88" s="55"/>
      <c r="AR88" s="55"/>
      <c r="AS88" s="55"/>
      <c r="AT88" s="55"/>
      <c r="AU88" s="55"/>
      <c r="AV88" s="55"/>
      <c r="AW88" s="55"/>
      <c r="AX88" s="55"/>
      <c r="AY88" s="55"/>
      <c r="AZ88" s="55"/>
      <c r="BA88" s="55"/>
      <c r="BB88" s="55"/>
      <c r="BC88" s="55"/>
      <c r="BD88" s="55"/>
      <c r="BE88" s="55"/>
      <c r="BF88" s="55"/>
      <c r="BG88" s="55"/>
      <c r="BH88" s="55"/>
      <c r="BI88" s="55"/>
    </row>
    <row r="89" spans="1:61" ht="15" customHeight="1" x14ac:dyDescent="0.25">
      <c r="A89" s="55"/>
      <c r="B89" s="301"/>
      <c r="C89" s="301"/>
      <c r="D89" s="302"/>
      <c r="E89" s="279"/>
      <c r="F89" s="274"/>
      <c r="G89" s="274"/>
      <c r="H89" s="274"/>
      <c r="I89" s="274"/>
      <c r="J89" s="48" t="str">
        <f>IF(AND('Mapa final'!$AB$103="Alta",'Mapa final'!$AD$103="Leve"),CONCATENATE("R34C",'Mapa final'!$R$103),"")</f>
        <v/>
      </c>
      <c r="K89" s="49" t="str">
        <f>IF(AND('Mapa final'!$AB$104="Alta",'Mapa final'!$AD$104="Leve"),CONCATENATE("R34C",'Mapa final'!$R$104),"")</f>
        <v/>
      </c>
      <c r="L89" s="108" t="str">
        <f>IF(AND('Mapa final'!$AB$105="Alta",'Mapa final'!$AD$105="Leve"),CONCATENATE("R34C",'Mapa final'!$R$105),"")</f>
        <v/>
      </c>
      <c r="M89" s="48" t="str">
        <f>IF(AND('Mapa final'!$AB$103="Alta",'Mapa final'!$AD$103="Menor"),CONCATENATE("R34C",'Mapa final'!$R$103),"")</f>
        <v/>
      </c>
      <c r="N89" s="49" t="str">
        <f>IF(AND('Mapa final'!$AB$104="Alta",'Mapa final'!$AD$104="Menor"),CONCATENATE("R34C",'Mapa final'!$R$104),"")</f>
        <v/>
      </c>
      <c r="O89" s="108" t="str">
        <f>IF(AND('Mapa final'!$AB$105="Alta",'Mapa final'!$AD$105="Menor"),CONCATENATE("R34C",'Mapa final'!$R$105),"")</f>
        <v/>
      </c>
      <c r="P89" s="102" t="str">
        <f>IF(AND('Mapa final'!$AB$103="Alta",'Mapa final'!$AD$103="Moderado"),CONCATENATE("R34C",'Mapa final'!$R$103),"")</f>
        <v/>
      </c>
      <c r="Q89" s="41" t="str">
        <f>IF(AND('Mapa final'!$AB$104="Alta",'Mapa final'!$AD$104="Moderado"),CONCATENATE("R34C",'Mapa final'!$R$104),"")</f>
        <v/>
      </c>
      <c r="R89" s="103" t="str">
        <f>IF(AND('Mapa final'!$AB$105="Alta",'Mapa final'!$AD$105="Moderado"),CONCATENATE("R34C",'Mapa final'!$R$105),"")</f>
        <v/>
      </c>
      <c r="S89" s="102" t="str">
        <f>IF(AND('Mapa final'!$AB$103="Alta",'Mapa final'!$AD$103="Mayor"),CONCATENATE("R34C",'Mapa final'!$R$103),"")</f>
        <v/>
      </c>
      <c r="T89" s="41" t="str">
        <f>IF(AND('Mapa final'!$AB$104="Alta",'Mapa final'!$AD$104="Mayor"),CONCATENATE("R34C",'Mapa final'!$R$104),"")</f>
        <v/>
      </c>
      <c r="U89" s="103" t="str">
        <f>IF(AND('Mapa final'!$AB$105="Alta",'Mapa final'!$AD$105="Mayor"),CONCATENATE("R34C",'Mapa final'!$R$105),"")</f>
        <v/>
      </c>
      <c r="V89" s="42" t="str">
        <f>IF(AND('Mapa final'!$AB$103="Alta",'Mapa final'!$AD$103="Catastrófico"),CONCATENATE("R34C",'Mapa final'!$R$103),"")</f>
        <v/>
      </c>
      <c r="W89" s="43" t="str">
        <f>IF(AND('Mapa final'!$AB$104="Alta",'Mapa final'!$AD$104="Catastrófico"),CONCATENATE("R34C",'Mapa final'!$R$104),"")</f>
        <v/>
      </c>
      <c r="X89" s="97" t="str">
        <f>IF(AND('Mapa final'!$AB$105="Alta",'Mapa final'!$AD$105="Catastrófico"),CONCATENATE("R34C",'Mapa final'!$R$105),"")</f>
        <v/>
      </c>
      <c r="Y89" s="55"/>
      <c r="Z89" s="287"/>
      <c r="AA89" s="288"/>
      <c r="AB89" s="288"/>
      <c r="AC89" s="288"/>
      <c r="AD89" s="288"/>
      <c r="AE89" s="289"/>
      <c r="AF89" s="55"/>
      <c r="AG89" s="55"/>
      <c r="AH89" s="55"/>
      <c r="AI89" s="55"/>
      <c r="AJ89" s="55"/>
      <c r="AK89" s="55"/>
      <c r="AL89" s="55"/>
      <c r="AM89" s="55"/>
      <c r="AN89" s="55"/>
      <c r="AO89" s="55"/>
      <c r="AP89" s="55"/>
      <c r="AQ89" s="55"/>
      <c r="AR89" s="55"/>
      <c r="AS89" s="55"/>
      <c r="AT89" s="55"/>
      <c r="AU89" s="55"/>
      <c r="AV89" s="55"/>
      <c r="AW89" s="55"/>
      <c r="AX89" s="55"/>
      <c r="AY89" s="55"/>
      <c r="AZ89" s="55"/>
      <c r="BA89" s="55"/>
      <c r="BB89" s="55"/>
      <c r="BC89" s="55"/>
      <c r="BD89" s="55"/>
      <c r="BE89" s="55"/>
      <c r="BF89" s="55"/>
      <c r="BG89" s="55"/>
      <c r="BH89" s="55"/>
      <c r="BI89" s="55"/>
    </row>
    <row r="90" spans="1:61" ht="15" customHeight="1" x14ac:dyDescent="0.25">
      <c r="A90" s="55"/>
      <c r="B90" s="301"/>
      <c r="C90" s="301"/>
      <c r="D90" s="302"/>
      <c r="E90" s="279"/>
      <c r="F90" s="274"/>
      <c r="G90" s="274"/>
      <c r="H90" s="274"/>
      <c r="I90" s="274"/>
      <c r="J90" s="48" t="str">
        <f>IF(AND('Mapa final'!$AB$106="Alta",'Mapa final'!$AD$106="Leve"),CONCATENATE("R35C",'Mapa final'!$R$106),"")</f>
        <v/>
      </c>
      <c r="K90" s="49" t="str">
        <f>IF(AND('Mapa final'!$AB$107="Alta",'Mapa final'!$AD$107="Leve"),CONCATENATE("R35C",'Mapa final'!$R$107),"")</f>
        <v/>
      </c>
      <c r="L90" s="108" t="str">
        <f>IF(AND('Mapa final'!$AB$108="Alta",'Mapa final'!$AD$108="Leve"),CONCATENATE("R35C",'Mapa final'!$R$108),"")</f>
        <v/>
      </c>
      <c r="M90" s="48" t="str">
        <f>IF(AND('Mapa final'!$AB$106="Alta",'Mapa final'!$AD$106="Menor"),CONCATENATE("R35C",'Mapa final'!$R$106),"")</f>
        <v/>
      </c>
      <c r="N90" s="49" t="str">
        <f>IF(AND('Mapa final'!$AB$107="Alta",'Mapa final'!$AD$107="Menor"),CONCATENATE("R35C",'Mapa final'!$R$107),"")</f>
        <v/>
      </c>
      <c r="O90" s="108" t="str">
        <f>IF(AND('Mapa final'!$AB$108="Alta",'Mapa final'!$AD$108="Menor"),CONCATENATE("R35C",'Mapa final'!$R$108),"")</f>
        <v/>
      </c>
      <c r="P90" s="102" t="str">
        <f>IF(AND('Mapa final'!$AB$106="Alta",'Mapa final'!$AD$106="Moderado"),CONCATENATE("R35C",'Mapa final'!$R$106),"")</f>
        <v/>
      </c>
      <c r="Q90" s="41" t="str">
        <f>IF(AND('Mapa final'!$AB$107="Alta",'Mapa final'!$AD$107="Moderado"),CONCATENATE("R35C",'Mapa final'!$R$107),"")</f>
        <v/>
      </c>
      <c r="R90" s="103" t="str">
        <f>IF(AND('Mapa final'!$AB$108="Alta",'Mapa final'!$AD$108="Moderado"),CONCATENATE("R35C",'Mapa final'!$R$108),"")</f>
        <v/>
      </c>
      <c r="S90" s="102" t="str">
        <f>IF(AND('Mapa final'!$AB$106="Alta",'Mapa final'!$AD$106="Mayor"),CONCATENATE("R35C",'Mapa final'!$R$106),"")</f>
        <v/>
      </c>
      <c r="T90" s="41" t="str">
        <f>IF(AND('Mapa final'!$AB$107="Alta",'Mapa final'!$AD$107="Mayor"),CONCATENATE("R35C",'Mapa final'!$R$107),"")</f>
        <v/>
      </c>
      <c r="U90" s="103" t="str">
        <f>IF(AND('Mapa final'!$AB$108="Alta",'Mapa final'!$AD$108="Mayor"),CONCATENATE("R35C",'Mapa final'!$R$108),"")</f>
        <v/>
      </c>
      <c r="V90" s="42" t="str">
        <f>IF(AND('Mapa final'!$AB$106="Alta",'Mapa final'!$AD$106="Catastrófico"),CONCATENATE("R35C",'Mapa final'!$R$106),"")</f>
        <v/>
      </c>
      <c r="W90" s="43" t="str">
        <f>IF(AND('Mapa final'!$AB$107="Alta",'Mapa final'!$AD$107="Catastrófico"),CONCATENATE("R35C",'Mapa final'!$R$107),"")</f>
        <v/>
      </c>
      <c r="X90" s="97" t="str">
        <f>IF(AND('Mapa final'!$AB$108="Alta",'Mapa final'!$AD$108="Catastrófico"),CONCATENATE("R35C",'Mapa final'!$R$108),"")</f>
        <v/>
      </c>
      <c r="Y90" s="55"/>
      <c r="Z90" s="287"/>
      <c r="AA90" s="288"/>
      <c r="AB90" s="288"/>
      <c r="AC90" s="288"/>
      <c r="AD90" s="288"/>
      <c r="AE90" s="289"/>
      <c r="AF90" s="55"/>
      <c r="AG90" s="55"/>
      <c r="AH90" s="55"/>
      <c r="AI90" s="55"/>
      <c r="AJ90" s="55"/>
      <c r="AK90" s="55"/>
      <c r="AL90" s="55"/>
      <c r="AM90" s="55"/>
      <c r="AN90" s="55"/>
      <c r="AO90" s="55"/>
      <c r="AP90" s="55"/>
      <c r="AQ90" s="55"/>
      <c r="AR90" s="55"/>
      <c r="AS90" s="55"/>
      <c r="AT90" s="55"/>
      <c r="AU90" s="55"/>
      <c r="AV90" s="55"/>
      <c r="AW90" s="55"/>
      <c r="AX90" s="55"/>
      <c r="AY90" s="55"/>
      <c r="AZ90" s="55"/>
      <c r="BA90" s="55"/>
      <c r="BB90" s="55"/>
      <c r="BC90" s="55"/>
      <c r="BD90" s="55"/>
      <c r="BE90" s="55"/>
      <c r="BF90" s="55"/>
      <c r="BG90" s="55"/>
      <c r="BH90" s="55"/>
      <c r="BI90" s="55"/>
    </row>
    <row r="91" spans="1:61" ht="15" customHeight="1" x14ac:dyDescent="0.25">
      <c r="A91" s="55"/>
      <c r="B91" s="301"/>
      <c r="C91" s="301"/>
      <c r="D91" s="302"/>
      <c r="E91" s="279"/>
      <c r="F91" s="274"/>
      <c r="G91" s="274"/>
      <c r="H91" s="274"/>
      <c r="I91" s="274"/>
      <c r="J91" s="48" t="str">
        <f>IF(AND('Mapa final'!$AB$109="Alta",'Mapa final'!$AD$109="Leve"),CONCATENATE("R36C",'Mapa final'!$R$109),"")</f>
        <v/>
      </c>
      <c r="K91" s="49" t="str">
        <f>IF(AND('Mapa final'!$AB$110="Alta",'Mapa final'!$AD$110="Leve"),CONCATENATE("R36C",'Mapa final'!$R$110),"")</f>
        <v/>
      </c>
      <c r="L91" s="108" t="str">
        <f>IF(AND('Mapa final'!$AB$111="Alta",'Mapa final'!$AD$111="Leve"),CONCATENATE("R36C",'Mapa final'!$R$111),"")</f>
        <v/>
      </c>
      <c r="M91" s="48" t="str">
        <f>IF(AND('Mapa final'!$AB$109="Alta",'Mapa final'!$AD$109="Menor"),CONCATENATE("R36C",'Mapa final'!$R$109),"")</f>
        <v/>
      </c>
      <c r="N91" s="49" t="str">
        <f>IF(AND('Mapa final'!$AB$110="Alta",'Mapa final'!$AD$110="Menor"),CONCATENATE("R36C",'Mapa final'!$R$110),"")</f>
        <v/>
      </c>
      <c r="O91" s="108" t="str">
        <f>IF(AND('Mapa final'!$AB$111="Alta",'Mapa final'!$AD$111="Menor"),CONCATENATE("R36C",'Mapa final'!$R$111),"")</f>
        <v/>
      </c>
      <c r="P91" s="102" t="str">
        <f>IF(AND('Mapa final'!$AB$109="Alta",'Mapa final'!$AD$109="Moderado"),CONCATENATE("R36C",'Mapa final'!$R$109),"")</f>
        <v/>
      </c>
      <c r="Q91" s="41" t="str">
        <f>IF(AND('Mapa final'!$AB$110="Alta",'Mapa final'!$AD$110="Moderado"),CONCATENATE("R36C",'Mapa final'!$R$110),"")</f>
        <v/>
      </c>
      <c r="R91" s="103" t="str">
        <f>IF(AND('Mapa final'!$AB$111="Alta",'Mapa final'!$AD$111="Moderado"),CONCATENATE("R36C",'Mapa final'!$R$111),"")</f>
        <v/>
      </c>
      <c r="S91" s="102" t="str">
        <f>IF(AND('Mapa final'!$AB$109="Alta",'Mapa final'!$AD$109="Mayor"),CONCATENATE("R36C",'Mapa final'!$R$109),"")</f>
        <v/>
      </c>
      <c r="T91" s="41" t="str">
        <f>IF(AND('Mapa final'!$AB$110="Alta",'Mapa final'!$AD$110="Mayor"),CONCATENATE("R36C",'Mapa final'!$R$110),"")</f>
        <v/>
      </c>
      <c r="U91" s="103" t="str">
        <f>IF(AND('Mapa final'!$AB$111="Alta",'Mapa final'!$AD$111="Mayor"),CONCATENATE("R36C",'Mapa final'!$R$111),"")</f>
        <v/>
      </c>
      <c r="V91" s="42" t="str">
        <f>IF(AND('Mapa final'!$AB$109="Alta",'Mapa final'!$AD$109="Catastrófico"),CONCATENATE("R36C",'Mapa final'!$R$109),"")</f>
        <v/>
      </c>
      <c r="W91" s="43" t="str">
        <f>IF(AND('Mapa final'!$AB$110="Alta",'Mapa final'!$AD$110="Catastrófico"),CONCATENATE("R36C",'Mapa final'!$R$110),"")</f>
        <v/>
      </c>
      <c r="X91" s="97" t="str">
        <f>IF(AND('Mapa final'!$AB$111="Alta",'Mapa final'!$AD$111="Catastrófico"),CONCATENATE("R36C",'Mapa final'!$R$111),"")</f>
        <v/>
      </c>
      <c r="Y91" s="55"/>
      <c r="Z91" s="287"/>
      <c r="AA91" s="288"/>
      <c r="AB91" s="288"/>
      <c r="AC91" s="288"/>
      <c r="AD91" s="288"/>
      <c r="AE91" s="289"/>
      <c r="AF91" s="55"/>
      <c r="AG91" s="55"/>
      <c r="AH91" s="55"/>
      <c r="AI91" s="55"/>
      <c r="AJ91" s="55"/>
      <c r="AK91" s="55"/>
      <c r="AL91" s="55"/>
      <c r="AM91" s="55"/>
      <c r="AN91" s="55"/>
      <c r="AO91" s="55"/>
      <c r="AP91" s="55"/>
      <c r="AQ91" s="55"/>
      <c r="AR91" s="55"/>
      <c r="AS91" s="55"/>
      <c r="AT91" s="55"/>
      <c r="AU91" s="55"/>
      <c r="AV91" s="55"/>
      <c r="AW91" s="55"/>
      <c r="AX91" s="55"/>
      <c r="AY91" s="55"/>
      <c r="AZ91" s="55"/>
      <c r="BA91" s="55"/>
      <c r="BB91" s="55"/>
      <c r="BC91" s="55"/>
      <c r="BD91" s="55"/>
      <c r="BE91" s="55"/>
      <c r="BF91" s="55"/>
      <c r="BG91" s="55"/>
      <c r="BH91" s="55"/>
      <c r="BI91" s="55"/>
    </row>
    <row r="92" spans="1:61" ht="15" customHeight="1" x14ac:dyDescent="0.25">
      <c r="A92" s="55"/>
      <c r="B92" s="301"/>
      <c r="C92" s="301"/>
      <c r="D92" s="302"/>
      <c r="E92" s="279"/>
      <c r="F92" s="274"/>
      <c r="G92" s="274"/>
      <c r="H92" s="274"/>
      <c r="I92" s="274"/>
      <c r="J92" s="48" t="str">
        <f>IF(AND('Mapa final'!$AB$112="Alta",'Mapa final'!$AD$112="Leve"),CONCATENATE("R37C",'Mapa final'!$R$112),"")</f>
        <v/>
      </c>
      <c r="K92" s="49" t="str">
        <f>IF(AND('Mapa final'!$AB$113="Alta",'Mapa final'!$AD$113="Leve"),CONCATENATE("R37C",'Mapa final'!$R$113),"")</f>
        <v/>
      </c>
      <c r="L92" s="108" t="str">
        <f>IF(AND('Mapa final'!$AB$114="Alta",'Mapa final'!$AD$114="Leve"),CONCATENATE("R37C",'Mapa final'!$R$114),"")</f>
        <v/>
      </c>
      <c r="M92" s="48" t="str">
        <f>IF(AND('Mapa final'!$AB$112="Alta",'Mapa final'!$AD$112="Menor"),CONCATENATE("R37C",'Mapa final'!$R$112),"")</f>
        <v/>
      </c>
      <c r="N92" s="49" t="str">
        <f>IF(AND('Mapa final'!$AB$113="Alta",'Mapa final'!$AD$113="Menor"),CONCATENATE("R37C",'Mapa final'!$R$113),"")</f>
        <v/>
      </c>
      <c r="O92" s="108" t="str">
        <f>IF(AND('Mapa final'!$AB$114="Alta",'Mapa final'!$AD$114="Menor"),CONCATENATE("R37C",'Mapa final'!$R$114),"")</f>
        <v/>
      </c>
      <c r="P92" s="102" t="str">
        <f>IF(AND('Mapa final'!$AB$112="Alta",'Mapa final'!$AD$112="Moderado"),CONCATENATE("R37C",'Mapa final'!$R$112),"")</f>
        <v/>
      </c>
      <c r="Q92" s="41" t="str">
        <f>IF(AND('Mapa final'!$AB$113="Alta",'Mapa final'!$AD$113="Moderado"),CONCATENATE("R37C",'Mapa final'!$R$113),"")</f>
        <v/>
      </c>
      <c r="R92" s="103" t="str">
        <f>IF(AND('Mapa final'!$AB$114="Alta",'Mapa final'!$AD$114="Moderado"),CONCATENATE("R37C",'Mapa final'!$R$114),"")</f>
        <v/>
      </c>
      <c r="S92" s="102" t="str">
        <f>IF(AND('Mapa final'!$AB$112="Alta",'Mapa final'!$AD$112="Mayor"),CONCATENATE("R37C",'Mapa final'!$R$112),"")</f>
        <v/>
      </c>
      <c r="T92" s="41" t="str">
        <f>IF(AND('Mapa final'!$AB$113="Alta",'Mapa final'!$AD$113="Mayor"),CONCATENATE("R37C",'Mapa final'!$R$113),"")</f>
        <v/>
      </c>
      <c r="U92" s="103" t="str">
        <f>IF(AND('Mapa final'!$AB$114="Alta",'Mapa final'!$AD$114="Mayor"),CONCATENATE("R37C",'Mapa final'!$R$114),"")</f>
        <v/>
      </c>
      <c r="V92" s="42" t="str">
        <f>IF(AND('Mapa final'!$AB$112="Alta",'Mapa final'!$AD$112="Catastrófico"),CONCATENATE("R37C",'Mapa final'!$R$112),"")</f>
        <v/>
      </c>
      <c r="W92" s="43" t="str">
        <f>IF(AND('Mapa final'!$AB$113="Alta",'Mapa final'!$AD$113="Catastrófico"),CONCATENATE("R37C",'Mapa final'!$R$113),"")</f>
        <v/>
      </c>
      <c r="X92" s="97" t="str">
        <f>IF(AND('Mapa final'!$AB$114="Alta",'Mapa final'!$AD$114="Catastrófico"),CONCATENATE("R37C",'Mapa final'!$R$114),"")</f>
        <v/>
      </c>
      <c r="Y92" s="55"/>
      <c r="Z92" s="287"/>
      <c r="AA92" s="288"/>
      <c r="AB92" s="288"/>
      <c r="AC92" s="288"/>
      <c r="AD92" s="288"/>
      <c r="AE92" s="289"/>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D92" s="55"/>
      <c r="BE92" s="55"/>
      <c r="BF92" s="55"/>
      <c r="BG92" s="55"/>
      <c r="BH92" s="55"/>
      <c r="BI92" s="55"/>
    </row>
    <row r="93" spans="1:61" ht="15" customHeight="1" x14ac:dyDescent="0.25">
      <c r="A93" s="55"/>
      <c r="B93" s="301"/>
      <c r="C93" s="301"/>
      <c r="D93" s="302"/>
      <c r="E93" s="279"/>
      <c r="F93" s="274"/>
      <c r="G93" s="274"/>
      <c r="H93" s="274"/>
      <c r="I93" s="274"/>
      <c r="J93" s="48" t="str">
        <f>IF(AND('Mapa final'!$AB$115="Alta",'Mapa final'!$AD$115="Leve"),CONCATENATE("R38C",'Mapa final'!$R$115),"")</f>
        <v/>
      </c>
      <c r="K93" s="49" t="str">
        <f>IF(AND('Mapa final'!$AB$116="Alta",'Mapa final'!$AD$116="Leve"),CONCATENATE("R38C",'Mapa final'!$R$116),"")</f>
        <v/>
      </c>
      <c r="L93" s="108" t="str">
        <f>IF(AND('Mapa final'!$AB$117="Alta",'Mapa final'!$AD$117="Leve"),CONCATENATE("R38C",'Mapa final'!$R$117),"")</f>
        <v/>
      </c>
      <c r="M93" s="48" t="str">
        <f>IF(AND('Mapa final'!$AB$115="Alta",'Mapa final'!$AD$115="Menor"),CONCATENATE("R38C",'Mapa final'!$R$115),"")</f>
        <v/>
      </c>
      <c r="N93" s="49" t="str">
        <f>IF(AND('Mapa final'!$AB$116="Alta",'Mapa final'!$AD$116="Menor"),CONCATENATE("R38C",'Mapa final'!$R$116),"")</f>
        <v/>
      </c>
      <c r="O93" s="108" t="str">
        <f>IF(AND('Mapa final'!$AB$117="Alta",'Mapa final'!$AD$117="Menor"),CONCATENATE("R38C",'Mapa final'!$R$117),"")</f>
        <v/>
      </c>
      <c r="P93" s="102" t="str">
        <f>IF(AND('Mapa final'!$AB$115="Alta",'Mapa final'!$AD$115="Moderado"),CONCATENATE("R38C",'Mapa final'!$R$115),"")</f>
        <v/>
      </c>
      <c r="Q93" s="41" t="str">
        <f>IF(AND('Mapa final'!$AB$116="Alta",'Mapa final'!$AD$116="Moderado"),CONCATENATE("R38C",'Mapa final'!$R$116),"")</f>
        <v/>
      </c>
      <c r="R93" s="103" t="str">
        <f>IF(AND('Mapa final'!$AB$117="Alta",'Mapa final'!$AD$117="Moderado"),CONCATENATE("R38C",'Mapa final'!$R$117),"")</f>
        <v/>
      </c>
      <c r="S93" s="102" t="str">
        <f>IF(AND('Mapa final'!$AB$115="Alta",'Mapa final'!$AD$115="Mayor"),CONCATENATE("R38C",'Mapa final'!$R$115),"")</f>
        <v/>
      </c>
      <c r="T93" s="41" t="str">
        <f>IF(AND('Mapa final'!$AB$116="Alta",'Mapa final'!$AD$116="Mayor"),CONCATENATE("R38C",'Mapa final'!$R$116),"")</f>
        <v/>
      </c>
      <c r="U93" s="103" t="str">
        <f>IF(AND('Mapa final'!$AB$117="Alta",'Mapa final'!$AD$117="Mayor"),CONCATENATE("R38C",'Mapa final'!$R$117),"")</f>
        <v/>
      </c>
      <c r="V93" s="42" t="str">
        <f>IF(AND('Mapa final'!$AB$115="Alta",'Mapa final'!$AD$115="Catastrófico"),CONCATENATE("R38C",'Mapa final'!$R$115),"")</f>
        <v/>
      </c>
      <c r="W93" s="43" t="str">
        <f>IF(AND('Mapa final'!$AB$116="Alta",'Mapa final'!$AD$116="Catastrófico"),CONCATENATE("R38C",'Mapa final'!$R$116),"")</f>
        <v/>
      </c>
      <c r="X93" s="97" t="str">
        <f>IF(AND('Mapa final'!$AB$117="Alta",'Mapa final'!$AD$117="Catastrófico"),CONCATENATE("R38C",'Mapa final'!$R$117),"")</f>
        <v/>
      </c>
      <c r="Y93" s="55"/>
      <c r="Z93" s="287"/>
      <c r="AA93" s="288"/>
      <c r="AB93" s="288"/>
      <c r="AC93" s="288"/>
      <c r="AD93" s="288"/>
      <c r="AE93" s="289"/>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55"/>
      <c r="BG93" s="55"/>
      <c r="BH93" s="55"/>
      <c r="BI93" s="55"/>
    </row>
    <row r="94" spans="1:61" ht="15" customHeight="1" x14ac:dyDescent="0.25">
      <c r="A94" s="55"/>
      <c r="B94" s="301"/>
      <c r="C94" s="301"/>
      <c r="D94" s="302"/>
      <c r="E94" s="279"/>
      <c r="F94" s="274"/>
      <c r="G94" s="274"/>
      <c r="H94" s="274"/>
      <c r="I94" s="274"/>
      <c r="J94" s="48" t="str">
        <f>IF(AND('Mapa final'!$AB$118="Alta",'Mapa final'!$AD$118="Leve"),CONCATENATE("R39C",'Mapa final'!$R$118),"")</f>
        <v/>
      </c>
      <c r="K94" s="49" t="str">
        <f>IF(AND('Mapa final'!$AB$119="Alta",'Mapa final'!$AD$119="Leve"),CONCATENATE("R39C",'Mapa final'!$R$119),"")</f>
        <v/>
      </c>
      <c r="L94" s="108" t="str">
        <f>IF(AND('Mapa final'!$AB$120="Alta",'Mapa final'!$AD$120="Leve"),CONCATENATE("R39C",'Mapa final'!$R$120),"")</f>
        <v/>
      </c>
      <c r="M94" s="48" t="str">
        <f>IF(AND('Mapa final'!$AB$118="Alta",'Mapa final'!$AD$118="Menor"),CONCATENATE("R39C",'Mapa final'!$R$118),"")</f>
        <v/>
      </c>
      <c r="N94" s="49" t="str">
        <f>IF(AND('Mapa final'!$AB$119="Alta",'Mapa final'!$AD$119="Menor"),CONCATENATE("R39C",'Mapa final'!$R$119),"")</f>
        <v/>
      </c>
      <c r="O94" s="108" t="str">
        <f>IF(AND('Mapa final'!$AB$120="Alta",'Mapa final'!$AD$120="Menor"),CONCATENATE("R39C",'Mapa final'!$R$120),"")</f>
        <v/>
      </c>
      <c r="P94" s="102" t="str">
        <f>IF(AND('Mapa final'!$AB$118="Alta",'Mapa final'!$AD$118="Moderado"),CONCATENATE("R39C",'Mapa final'!$R$118),"")</f>
        <v/>
      </c>
      <c r="Q94" s="41" t="str">
        <f>IF(AND('Mapa final'!$AB$119="Alta",'Mapa final'!$AD$119="Moderado"),CONCATENATE("R39C",'Mapa final'!$R$119),"")</f>
        <v/>
      </c>
      <c r="R94" s="103" t="str">
        <f>IF(AND('Mapa final'!$AB$120="Alta",'Mapa final'!$AD$120="Moderado"),CONCATENATE("R39C",'Mapa final'!$R$120),"")</f>
        <v/>
      </c>
      <c r="S94" s="102" t="str">
        <f>IF(AND('Mapa final'!$AB$118="Alta",'Mapa final'!$AD$118="Mayor"),CONCATENATE("R39C",'Mapa final'!$R$118),"")</f>
        <v/>
      </c>
      <c r="T94" s="41" t="str">
        <f>IF(AND('Mapa final'!$AB$119="Alta",'Mapa final'!$AD$119="Mayor"),CONCATENATE("R39C",'Mapa final'!$R$119),"")</f>
        <v/>
      </c>
      <c r="U94" s="103" t="str">
        <f>IF(AND('Mapa final'!$AB$120="Alta",'Mapa final'!$AD$120="Mayor"),CONCATENATE("R39C",'Mapa final'!$R$120),"")</f>
        <v/>
      </c>
      <c r="V94" s="42" t="str">
        <f>IF(AND('Mapa final'!$AB$118="Alta",'Mapa final'!$AD$118="Catastrófico"),CONCATENATE("R39C",'Mapa final'!$R$118),"")</f>
        <v/>
      </c>
      <c r="W94" s="43" t="str">
        <f>IF(AND('Mapa final'!$AB$119="Alta",'Mapa final'!$AD$119="Catastrófico"),CONCATENATE("R39C",'Mapa final'!$R$119),"")</f>
        <v/>
      </c>
      <c r="X94" s="97" t="str">
        <f>IF(AND('Mapa final'!$AB$120="Alta",'Mapa final'!$AD$120="Catastrófico"),CONCATENATE("R39C",'Mapa final'!$R$120),"")</f>
        <v/>
      </c>
      <c r="Y94" s="55"/>
      <c r="Z94" s="287"/>
      <c r="AA94" s="288"/>
      <c r="AB94" s="288"/>
      <c r="AC94" s="288"/>
      <c r="AD94" s="288"/>
      <c r="AE94" s="289"/>
      <c r="AF94" s="55"/>
      <c r="AG94" s="55"/>
      <c r="AH94" s="55"/>
      <c r="AI94" s="55"/>
      <c r="AJ94" s="55"/>
      <c r="AK94" s="55"/>
      <c r="AL94" s="55"/>
      <c r="AM94" s="55"/>
      <c r="AN94" s="55"/>
      <c r="AO94" s="55"/>
      <c r="AP94" s="55"/>
      <c r="AQ94" s="55"/>
      <c r="AR94" s="55"/>
      <c r="AS94" s="55"/>
      <c r="AT94" s="55"/>
      <c r="AU94" s="55"/>
      <c r="AV94" s="55"/>
      <c r="AW94" s="55"/>
      <c r="AX94" s="55"/>
      <c r="AY94" s="55"/>
      <c r="AZ94" s="55"/>
      <c r="BA94" s="55"/>
      <c r="BB94" s="55"/>
      <c r="BC94" s="55"/>
      <c r="BD94" s="55"/>
      <c r="BE94" s="55"/>
      <c r="BF94" s="55"/>
      <c r="BG94" s="55"/>
      <c r="BH94" s="55"/>
      <c r="BI94" s="55"/>
    </row>
    <row r="95" spans="1:61" ht="15" customHeight="1" x14ac:dyDescent="0.25">
      <c r="A95" s="55"/>
      <c r="B95" s="301"/>
      <c r="C95" s="301"/>
      <c r="D95" s="302"/>
      <c r="E95" s="279"/>
      <c r="F95" s="274"/>
      <c r="G95" s="274"/>
      <c r="H95" s="274"/>
      <c r="I95" s="274"/>
      <c r="J95" s="48" t="str">
        <f>IF(AND('Mapa final'!$AB$121="Alta",'Mapa final'!$AD$121="Leve"),CONCATENATE("R40C",'Mapa final'!$R$121),"")</f>
        <v/>
      </c>
      <c r="K95" s="49" t="str">
        <f>IF(AND('Mapa final'!$AB$122="Alta",'Mapa final'!$AD$122="Leve"),CONCATENATE("R40C",'Mapa final'!$R$122),"")</f>
        <v/>
      </c>
      <c r="L95" s="108" t="str">
        <f>IF(AND('Mapa final'!$AB$123="Alta",'Mapa final'!$AD$123="Leve"),CONCATENATE("R40C",'Mapa final'!$R$123),"")</f>
        <v/>
      </c>
      <c r="M95" s="48" t="str">
        <f>IF(AND('Mapa final'!$AB$121="Alta",'Mapa final'!$AD$121="Menor"),CONCATENATE("R40C",'Mapa final'!$R$121),"")</f>
        <v/>
      </c>
      <c r="N95" s="49" t="str">
        <f>IF(AND('Mapa final'!$AB$122="Alta",'Mapa final'!$AD$122="Menor"),CONCATENATE("R40C",'Mapa final'!$R$122),"")</f>
        <v/>
      </c>
      <c r="O95" s="108" t="str">
        <f>IF(AND('Mapa final'!$AB$123="Alta",'Mapa final'!$AD$123="Menor"),CONCATENATE("R40C",'Mapa final'!$R$123),"")</f>
        <v/>
      </c>
      <c r="P95" s="102" t="str">
        <f>IF(AND('Mapa final'!$AB$121="Alta",'Mapa final'!$AD$121="Moderado"),CONCATENATE("R40C",'Mapa final'!$R$121),"")</f>
        <v/>
      </c>
      <c r="Q95" s="41" t="str">
        <f>IF(AND('Mapa final'!$AB$122="Alta",'Mapa final'!$AD$122="Moderado"),CONCATENATE("R40C",'Mapa final'!$R$122),"")</f>
        <v/>
      </c>
      <c r="R95" s="103" t="str">
        <f>IF(AND('Mapa final'!$AB$123="Alta",'Mapa final'!$AD$123="Moderado"),CONCATENATE("R40C",'Mapa final'!$R$123),"")</f>
        <v/>
      </c>
      <c r="S95" s="102" t="str">
        <f>IF(AND('Mapa final'!$AB$121="Alta",'Mapa final'!$AD$121="Mayor"),CONCATENATE("R40C",'Mapa final'!$R$121),"")</f>
        <v/>
      </c>
      <c r="T95" s="41" t="str">
        <f>IF(AND('Mapa final'!$AB$122="Alta",'Mapa final'!$AD$122="Mayor"),CONCATENATE("R40C",'Mapa final'!$R$122),"")</f>
        <v/>
      </c>
      <c r="U95" s="103" t="str">
        <f>IF(AND('Mapa final'!$AB$123="Alta",'Mapa final'!$AD$123="Mayor"),CONCATENATE("R40C",'Mapa final'!$R$123),"")</f>
        <v/>
      </c>
      <c r="V95" s="42" t="str">
        <f>IF(AND('Mapa final'!$AB$121="Alta",'Mapa final'!$AD$121="Catastrófico"),CONCATENATE("R40C",'Mapa final'!$R$121),"")</f>
        <v/>
      </c>
      <c r="W95" s="43" t="str">
        <f>IF(AND('Mapa final'!$AB$122="Alta",'Mapa final'!$AD$122="Catastrófico"),CONCATENATE("R40C",'Mapa final'!$R$122),"")</f>
        <v/>
      </c>
      <c r="X95" s="97" t="str">
        <f>IF(AND('Mapa final'!$AB$123="Alta",'Mapa final'!$AD$123="Catastrófico"),CONCATENATE("R40C",'Mapa final'!$R$123),"")</f>
        <v/>
      </c>
      <c r="Y95" s="55"/>
      <c r="Z95" s="287"/>
      <c r="AA95" s="288"/>
      <c r="AB95" s="288"/>
      <c r="AC95" s="288"/>
      <c r="AD95" s="288"/>
      <c r="AE95" s="289"/>
      <c r="AF95" s="55"/>
      <c r="AG95" s="55"/>
      <c r="AH95" s="55"/>
      <c r="AI95" s="55"/>
      <c r="AJ95" s="55"/>
      <c r="AK95" s="55"/>
      <c r="AL95" s="55"/>
      <c r="AM95" s="55"/>
      <c r="AN95" s="55"/>
      <c r="AO95" s="55"/>
      <c r="AP95" s="55"/>
      <c r="AQ95" s="55"/>
      <c r="AR95" s="55"/>
      <c r="AS95" s="55"/>
      <c r="AT95" s="55"/>
      <c r="AU95" s="55"/>
      <c r="AV95" s="55"/>
      <c r="AW95" s="55"/>
      <c r="AX95" s="55"/>
      <c r="AY95" s="55"/>
      <c r="AZ95" s="55"/>
      <c r="BA95" s="55"/>
      <c r="BB95" s="55"/>
      <c r="BC95" s="55"/>
      <c r="BD95" s="55"/>
      <c r="BE95" s="55"/>
      <c r="BF95" s="55"/>
      <c r="BG95" s="55"/>
      <c r="BH95" s="55"/>
      <c r="BI95" s="55"/>
    </row>
    <row r="96" spans="1:61" ht="15" customHeight="1" x14ac:dyDescent="0.25">
      <c r="A96" s="55"/>
      <c r="B96" s="301"/>
      <c r="C96" s="301"/>
      <c r="D96" s="302"/>
      <c r="E96" s="279"/>
      <c r="F96" s="274"/>
      <c r="G96" s="274"/>
      <c r="H96" s="274"/>
      <c r="I96" s="274"/>
      <c r="J96" s="48" t="str">
        <f>IF(AND('Mapa final'!$AB$124="Alta",'Mapa final'!$AD$124="Leve"),CONCATENATE("R41C",'Mapa final'!$R$124),"")</f>
        <v/>
      </c>
      <c r="K96" s="49" t="str">
        <f>IF(AND('Mapa final'!$AB$125="Alta",'Mapa final'!$AD$125="Leve"),CONCATENATE("R41C",'Mapa final'!$R$125),"")</f>
        <v/>
      </c>
      <c r="L96" s="108" t="str">
        <f>IF(AND('Mapa final'!$AB$126="Alta",'Mapa final'!$AD$126="Leve"),CONCATENATE("R41C",'Mapa final'!$R$126),"")</f>
        <v/>
      </c>
      <c r="M96" s="48" t="str">
        <f>IF(AND('Mapa final'!$AB$124="Alta",'Mapa final'!$AD$124="Menor"),CONCATENATE("R41C",'Mapa final'!$R$124),"")</f>
        <v/>
      </c>
      <c r="N96" s="49" t="str">
        <f>IF(AND('Mapa final'!$AB$125="Alta",'Mapa final'!$AD$125="Menor"),CONCATENATE("R41C",'Mapa final'!$R$125),"")</f>
        <v/>
      </c>
      <c r="O96" s="108" t="str">
        <f>IF(AND('Mapa final'!$AB$126="Alta",'Mapa final'!$AD$126="Menor"),CONCATENATE("R41C",'Mapa final'!$R$126),"")</f>
        <v/>
      </c>
      <c r="P96" s="102" t="str">
        <f>IF(AND('Mapa final'!$AB$124="Alta",'Mapa final'!$AD$124="Moderado"),CONCATENATE("R41C",'Mapa final'!$R$124),"")</f>
        <v/>
      </c>
      <c r="Q96" s="41" t="str">
        <f>IF(AND('Mapa final'!$AB$125="Alta",'Mapa final'!$AD$125="Moderado"),CONCATENATE("R41C",'Mapa final'!$R$125),"")</f>
        <v/>
      </c>
      <c r="R96" s="103" t="str">
        <f>IF(AND('Mapa final'!$AB$126="Alta",'Mapa final'!$AD$126="Moderado"),CONCATENATE("R41C",'Mapa final'!$R$126),"")</f>
        <v/>
      </c>
      <c r="S96" s="102" t="str">
        <f>IF(AND('Mapa final'!$AB$124="Alta",'Mapa final'!$AD$124="Mayor"),CONCATENATE("R41C",'Mapa final'!$R$124),"")</f>
        <v/>
      </c>
      <c r="T96" s="41" t="str">
        <f>IF(AND('Mapa final'!$AB$125="Alta",'Mapa final'!$AD$125="Mayor"),CONCATENATE("R41C",'Mapa final'!$R$125),"")</f>
        <v/>
      </c>
      <c r="U96" s="103" t="str">
        <f>IF(AND('Mapa final'!$AB$126="Alta",'Mapa final'!$AD$126="Mayor"),CONCATENATE("R41C",'Mapa final'!$R$126),"")</f>
        <v/>
      </c>
      <c r="V96" s="42" t="str">
        <f>IF(AND('Mapa final'!$AB$124="Alta",'Mapa final'!$AD$124="Catastrófico"),CONCATENATE("R41C",'Mapa final'!$R$124),"")</f>
        <v/>
      </c>
      <c r="W96" s="43" t="str">
        <f>IF(AND('Mapa final'!$AB$125="Alta",'Mapa final'!$AD$125="Catastrófico"),CONCATENATE("R41C",'Mapa final'!$R$125),"")</f>
        <v/>
      </c>
      <c r="X96" s="97" t="str">
        <f>IF(AND('Mapa final'!$AB$126="Alta",'Mapa final'!$AD$126="Catastrófico"),CONCATENATE("R41C",'Mapa final'!$R$126),"")</f>
        <v/>
      </c>
      <c r="Y96" s="55"/>
      <c r="Z96" s="287"/>
      <c r="AA96" s="288"/>
      <c r="AB96" s="288"/>
      <c r="AC96" s="288"/>
      <c r="AD96" s="288"/>
      <c r="AE96" s="289"/>
      <c r="AF96" s="55"/>
      <c r="AG96" s="55"/>
      <c r="AH96" s="55"/>
      <c r="AI96" s="55"/>
      <c r="AJ96" s="55"/>
      <c r="AK96" s="55"/>
      <c r="AL96" s="55"/>
      <c r="AM96" s="55"/>
      <c r="AN96" s="55"/>
      <c r="AO96" s="55"/>
      <c r="AP96" s="55"/>
      <c r="AQ96" s="55"/>
      <c r="AR96" s="55"/>
      <c r="AS96" s="55"/>
      <c r="AT96" s="55"/>
      <c r="AU96" s="55"/>
      <c r="AV96" s="55"/>
      <c r="AW96" s="55"/>
      <c r="AX96" s="55"/>
      <c r="AY96" s="55"/>
      <c r="AZ96" s="55"/>
      <c r="BA96" s="55"/>
      <c r="BB96" s="55"/>
      <c r="BC96" s="55"/>
      <c r="BD96" s="55"/>
      <c r="BE96" s="55"/>
      <c r="BF96" s="55"/>
      <c r="BG96" s="55"/>
      <c r="BH96" s="55"/>
      <c r="BI96" s="55"/>
    </row>
    <row r="97" spans="1:61" ht="15" customHeight="1" x14ac:dyDescent="0.25">
      <c r="A97" s="55"/>
      <c r="B97" s="301"/>
      <c r="C97" s="301"/>
      <c r="D97" s="302"/>
      <c r="E97" s="279"/>
      <c r="F97" s="274"/>
      <c r="G97" s="274"/>
      <c r="H97" s="274"/>
      <c r="I97" s="274"/>
      <c r="J97" s="48" t="str">
        <f>IF(AND('Mapa final'!$AB$127="Alta",'Mapa final'!$AD$127="Leve"),CONCATENATE("R42C",'Mapa final'!$R$127),"")</f>
        <v/>
      </c>
      <c r="K97" s="49" t="str">
        <f>IF(AND('Mapa final'!$AB$128="Alta",'Mapa final'!$AD$128="Leve"),CONCATENATE("R42C",'Mapa final'!$R$128),"")</f>
        <v/>
      </c>
      <c r="L97" s="108" t="str">
        <f>IF(AND('Mapa final'!$AB$129="Alta",'Mapa final'!$AD$129="Leve"),CONCATENATE("R42C",'Mapa final'!$R$129),"")</f>
        <v/>
      </c>
      <c r="M97" s="48" t="str">
        <f>IF(AND('Mapa final'!$AB$127="Alta",'Mapa final'!$AD$127="Menor"),CONCATENATE("R42C",'Mapa final'!$R$127),"")</f>
        <v/>
      </c>
      <c r="N97" s="49" t="str">
        <f>IF(AND('Mapa final'!$AB$128="Alta",'Mapa final'!$AD$128="Menor"),CONCATENATE("R42C",'Mapa final'!$R$128),"")</f>
        <v/>
      </c>
      <c r="O97" s="108" t="str">
        <f>IF(AND('Mapa final'!$AB$129="Alta",'Mapa final'!$AD$129="Menor"),CONCATENATE("R42C",'Mapa final'!$R$129),"")</f>
        <v/>
      </c>
      <c r="P97" s="102" t="str">
        <f>IF(AND('Mapa final'!$AB$127="Alta",'Mapa final'!$AD$127="Moderado"),CONCATENATE("R42C",'Mapa final'!$R$127),"")</f>
        <v/>
      </c>
      <c r="Q97" s="41" t="str">
        <f>IF(AND('Mapa final'!$AB$128="Alta",'Mapa final'!$AD$128="Moderado"),CONCATENATE("R42C",'Mapa final'!$R$128),"")</f>
        <v/>
      </c>
      <c r="R97" s="103" t="str">
        <f>IF(AND('Mapa final'!$AB$129="Alta",'Mapa final'!$AD$129="Moderado"),CONCATENATE("R42C",'Mapa final'!$R$129),"")</f>
        <v/>
      </c>
      <c r="S97" s="102" t="str">
        <f>IF(AND('Mapa final'!$AB$127="Alta",'Mapa final'!$AD$127="Mayor"),CONCATENATE("R42C",'Mapa final'!$R$127),"")</f>
        <v/>
      </c>
      <c r="T97" s="41" t="str">
        <f>IF(AND('Mapa final'!$AB$128="Alta",'Mapa final'!$AD$128="Mayor"),CONCATENATE("R42C",'Mapa final'!$R$128),"")</f>
        <v/>
      </c>
      <c r="U97" s="103" t="str">
        <f>IF(AND('Mapa final'!$AB$129="Alta",'Mapa final'!$AD$129="Mayor"),CONCATENATE("R42C",'Mapa final'!$R$129),"")</f>
        <v/>
      </c>
      <c r="V97" s="42" t="str">
        <f>IF(AND('Mapa final'!$AB$127="Alta",'Mapa final'!$AD$127="Catastrófico"),CONCATENATE("R42C",'Mapa final'!$R$127),"")</f>
        <v/>
      </c>
      <c r="W97" s="43" t="str">
        <f>IF(AND('Mapa final'!$AB$128="Alta",'Mapa final'!$AD$128="Catastrófico"),CONCATENATE("R42C",'Mapa final'!$R$128),"")</f>
        <v/>
      </c>
      <c r="X97" s="97" t="str">
        <f>IF(AND('Mapa final'!$AB$129="Alta",'Mapa final'!$AD$129="Catastrófico"),CONCATENATE("R42C",'Mapa final'!$R$129),"")</f>
        <v/>
      </c>
      <c r="Y97" s="55"/>
      <c r="Z97" s="287"/>
      <c r="AA97" s="288"/>
      <c r="AB97" s="288"/>
      <c r="AC97" s="288"/>
      <c r="AD97" s="288"/>
      <c r="AE97" s="289"/>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55"/>
      <c r="BE97" s="55"/>
      <c r="BF97" s="55"/>
      <c r="BG97" s="55"/>
      <c r="BH97" s="55"/>
      <c r="BI97" s="55"/>
    </row>
    <row r="98" spans="1:61" ht="15" customHeight="1" x14ac:dyDescent="0.25">
      <c r="A98" s="55"/>
      <c r="B98" s="301"/>
      <c r="C98" s="301"/>
      <c r="D98" s="302"/>
      <c r="E98" s="279"/>
      <c r="F98" s="274"/>
      <c r="G98" s="274"/>
      <c r="H98" s="274"/>
      <c r="I98" s="274"/>
      <c r="J98" s="48" t="str">
        <f>IF(AND('Mapa final'!$AB$130="Alta",'Mapa final'!$AD$130="Leve"),CONCATENATE("R43C",'Mapa final'!$R$130),"")</f>
        <v/>
      </c>
      <c r="K98" s="49" t="str">
        <f>IF(AND('Mapa final'!$AB$131="Alta",'Mapa final'!$AD$131="Leve"),CONCATENATE("R43C",'Mapa final'!$R$131),"")</f>
        <v/>
      </c>
      <c r="L98" s="108" t="str">
        <f>IF(AND('Mapa final'!$AB$132="Alta",'Mapa final'!$AD$132="Leve"),CONCATENATE("R43C",'Mapa final'!$R$132),"")</f>
        <v/>
      </c>
      <c r="M98" s="48" t="str">
        <f>IF(AND('Mapa final'!$AB$130="Alta",'Mapa final'!$AD$130="Menor"),CONCATENATE("R43C",'Mapa final'!$R$130),"")</f>
        <v/>
      </c>
      <c r="N98" s="49" t="str">
        <f>IF(AND('Mapa final'!$AB$131="Alta",'Mapa final'!$AD$131="Menor"),CONCATENATE("R43C",'Mapa final'!$R$131),"")</f>
        <v/>
      </c>
      <c r="O98" s="108" t="str">
        <f>IF(AND('Mapa final'!$AB$132="Alta",'Mapa final'!$AD$132="Menor"),CONCATENATE("R43C",'Mapa final'!$R$132),"")</f>
        <v/>
      </c>
      <c r="P98" s="102" t="str">
        <f>IF(AND('Mapa final'!$AB$130="Alta",'Mapa final'!$AD$130="Moderado"),CONCATENATE("R43C",'Mapa final'!$R$130),"")</f>
        <v/>
      </c>
      <c r="Q98" s="41" t="str">
        <f>IF(AND('Mapa final'!$AB$131="Alta",'Mapa final'!$AD$131="Moderado"),CONCATENATE("R43C",'Mapa final'!$R$131),"")</f>
        <v/>
      </c>
      <c r="R98" s="103" t="str">
        <f>IF(AND('Mapa final'!$AB$132="Alta",'Mapa final'!$AD$132="Moderado"),CONCATENATE("R43C",'Mapa final'!$R$132),"")</f>
        <v/>
      </c>
      <c r="S98" s="102" t="str">
        <f>IF(AND('Mapa final'!$AB$130="Alta",'Mapa final'!$AD$130="Mayor"),CONCATENATE("R43C",'Mapa final'!$R$130),"")</f>
        <v/>
      </c>
      <c r="T98" s="41" t="str">
        <f>IF(AND('Mapa final'!$AB$131="Alta",'Mapa final'!$AD$131="Mayor"),CONCATENATE("R43C",'Mapa final'!$R$131),"")</f>
        <v/>
      </c>
      <c r="U98" s="103" t="str">
        <f>IF(AND('Mapa final'!$AB$132="Alta",'Mapa final'!$AD$132="Mayor"),CONCATENATE("R43C",'Mapa final'!$R$132),"")</f>
        <v/>
      </c>
      <c r="V98" s="42" t="str">
        <f>IF(AND('Mapa final'!$AB$130="Alta",'Mapa final'!$AD$130="Catastrófico"),CONCATENATE("R43C",'Mapa final'!$R$130),"")</f>
        <v/>
      </c>
      <c r="W98" s="43" t="str">
        <f>IF(AND('Mapa final'!$AB$131="Alta",'Mapa final'!$AD$131="Catastrófico"),CONCATENATE("R43C",'Mapa final'!$R$131),"")</f>
        <v/>
      </c>
      <c r="X98" s="97" t="str">
        <f>IF(AND('Mapa final'!$AB$132="Alta",'Mapa final'!$AD$132="Catastrófico"),CONCATENATE("R43C",'Mapa final'!$R$132),"")</f>
        <v/>
      </c>
      <c r="Y98" s="55"/>
      <c r="Z98" s="287"/>
      <c r="AA98" s="288"/>
      <c r="AB98" s="288"/>
      <c r="AC98" s="288"/>
      <c r="AD98" s="288"/>
      <c r="AE98" s="289"/>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c r="BI98" s="55"/>
    </row>
    <row r="99" spans="1:61" ht="15" customHeight="1" x14ac:dyDescent="0.25">
      <c r="A99" s="55"/>
      <c r="B99" s="301"/>
      <c r="C99" s="301"/>
      <c r="D99" s="302"/>
      <c r="E99" s="279"/>
      <c r="F99" s="274"/>
      <c r="G99" s="274"/>
      <c r="H99" s="274"/>
      <c r="I99" s="274"/>
      <c r="J99" s="48" t="str">
        <f>IF(AND('Mapa final'!$AB$133="Alta",'Mapa final'!$AD$133="Leve"),CONCATENATE("R44C",'Mapa final'!$R$133),"")</f>
        <v/>
      </c>
      <c r="K99" s="49" t="str">
        <f>IF(AND('Mapa final'!$AB$134="Alta",'Mapa final'!$AD$134="Leve"),CONCATENATE("R44C",'Mapa final'!$R$134),"")</f>
        <v/>
      </c>
      <c r="L99" s="108" t="str">
        <f>IF(AND('Mapa final'!$AB$135="Alta",'Mapa final'!$AD$135="Leve"),CONCATENATE("R44C",'Mapa final'!$R$135),"")</f>
        <v/>
      </c>
      <c r="M99" s="48" t="str">
        <f>IF(AND('Mapa final'!$AB$133="Alta",'Mapa final'!$AD$133="Menor"),CONCATENATE("R44C",'Mapa final'!$R$133),"")</f>
        <v/>
      </c>
      <c r="N99" s="49" t="str">
        <f>IF(AND('Mapa final'!$AB$134="Alta",'Mapa final'!$AD$134="Menor"),CONCATENATE("R44C",'Mapa final'!$R$134),"")</f>
        <v/>
      </c>
      <c r="O99" s="108" t="str">
        <f>IF(AND('Mapa final'!$AB$135="Alta",'Mapa final'!$AD$135="Menor"),CONCATENATE("R44C",'Mapa final'!$R$135),"")</f>
        <v/>
      </c>
      <c r="P99" s="102" t="str">
        <f>IF(AND('Mapa final'!$AB$133="Alta",'Mapa final'!$AD$133="Moderado"),CONCATENATE("R44C",'Mapa final'!$R$133),"")</f>
        <v/>
      </c>
      <c r="Q99" s="41" t="str">
        <f>IF(AND('Mapa final'!$AB$134="Alta",'Mapa final'!$AD$134="Moderado"),CONCATENATE("R44C",'Mapa final'!$R$134),"")</f>
        <v/>
      </c>
      <c r="R99" s="103" t="str">
        <f>IF(AND('Mapa final'!$AB$135="Alta",'Mapa final'!$AD$135="Moderado"),CONCATENATE("R44C",'Mapa final'!$R$135),"")</f>
        <v/>
      </c>
      <c r="S99" s="102" t="str">
        <f>IF(AND('Mapa final'!$AB$133="Alta",'Mapa final'!$AD$133="Mayor"),CONCATENATE("R44C",'Mapa final'!$R$133),"")</f>
        <v/>
      </c>
      <c r="T99" s="41" t="str">
        <f>IF(AND('Mapa final'!$AB$134="Alta",'Mapa final'!$AD$134="Mayor"),CONCATENATE("R44C",'Mapa final'!$R$134),"")</f>
        <v/>
      </c>
      <c r="U99" s="103" t="str">
        <f>IF(AND('Mapa final'!$AB$135="Alta",'Mapa final'!$AD$135="Mayor"),CONCATENATE("R44C",'Mapa final'!$R$135),"")</f>
        <v/>
      </c>
      <c r="V99" s="42" t="str">
        <f>IF(AND('Mapa final'!$AB$133="Alta",'Mapa final'!$AD$133="Catastrófico"),CONCATENATE("R44C",'Mapa final'!$R$133),"")</f>
        <v/>
      </c>
      <c r="W99" s="43" t="str">
        <f>IF(AND('Mapa final'!$AB$134="Alta",'Mapa final'!$AD$134="Catastrófico"),CONCATENATE("R44C",'Mapa final'!$R$134),"")</f>
        <v/>
      </c>
      <c r="X99" s="97" t="str">
        <f>IF(AND('Mapa final'!$AB$135="Alta",'Mapa final'!$AD$135="Catastrófico"),CONCATENATE("R44C",'Mapa final'!$R$135),"")</f>
        <v/>
      </c>
      <c r="Y99" s="55"/>
      <c r="Z99" s="287"/>
      <c r="AA99" s="288"/>
      <c r="AB99" s="288"/>
      <c r="AC99" s="288"/>
      <c r="AD99" s="288"/>
      <c r="AE99" s="289"/>
      <c r="AF99" s="55"/>
      <c r="AG99" s="55"/>
      <c r="AH99" s="55"/>
      <c r="AI99" s="55"/>
      <c r="AJ99" s="55"/>
      <c r="AK99" s="55"/>
      <c r="AL99" s="55"/>
      <c r="AM99" s="55"/>
      <c r="AN99" s="55"/>
      <c r="AO99" s="55"/>
      <c r="AP99" s="55"/>
      <c r="AQ99" s="55"/>
      <c r="AR99" s="55"/>
      <c r="AS99" s="55"/>
      <c r="AT99" s="55"/>
      <c r="AU99" s="55"/>
      <c r="AV99" s="55"/>
      <c r="AW99" s="55"/>
      <c r="AX99" s="55"/>
      <c r="AY99" s="55"/>
      <c r="AZ99" s="55"/>
      <c r="BA99" s="55"/>
      <c r="BB99" s="55"/>
      <c r="BC99" s="55"/>
      <c r="BD99" s="55"/>
      <c r="BE99" s="55"/>
      <c r="BF99" s="55"/>
      <c r="BG99" s="55"/>
      <c r="BH99" s="55"/>
      <c r="BI99" s="55"/>
    </row>
    <row r="100" spans="1:61" ht="15" customHeight="1" x14ac:dyDescent="0.25">
      <c r="A100" s="55"/>
      <c r="B100" s="301"/>
      <c r="C100" s="301"/>
      <c r="D100" s="302"/>
      <c r="E100" s="279"/>
      <c r="F100" s="274"/>
      <c r="G100" s="274"/>
      <c r="H100" s="274"/>
      <c r="I100" s="274"/>
      <c r="J100" s="48" t="str">
        <f>IF(AND('Mapa final'!$AB$136="Alta",'Mapa final'!$AD$136="Leve"),CONCATENATE("R45C",'Mapa final'!$R$136),"")</f>
        <v/>
      </c>
      <c r="K100" s="49" t="str">
        <f>IF(AND('Mapa final'!$AB$137="Alta",'Mapa final'!$AD$137="Leve"),CONCATENATE("R45C",'Mapa final'!$R$137),"")</f>
        <v/>
      </c>
      <c r="L100" s="108" t="str">
        <f>IF(AND('Mapa final'!$AB$138="Alta",'Mapa final'!$AD$138="Leve"),CONCATENATE("R45C",'Mapa final'!$R$138),"")</f>
        <v/>
      </c>
      <c r="M100" s="48" t="str">
        <f>IF(AND('Mapa final'!$AB$136="Alta",'Mapa final'!$AD$136="Menor"),CONCATENATE("R45C",'Mapa final'!$R$136),"")</f>
        <v/>
      </c>
      <c r="N100" s="49" t="str">
        <f>IF(AND('Mapa final'!$AB$137="Alta",'Mapa final'!$AD$137="Menor"),CONCATENATE("R45C",'Mapa final'!$R$137),"")</f>
        <v/>
      </c>
      <c r="O100" s="108" t="str">
        <f>IF(AND('Mapa final'!$AB$138="Alta",'Mapa final'!$AD$138="Menor"),CONCATENATE("R45C",'Mapa final'!$R$138),"")</f>
        <v/>
      </c>
      <c r="P100" s="102" t="str">
        <f>IF(AND('Mapa final'!$AB$136="Alta",'Mapa final'!$AD$136="Moderado"),CONCATENATE("R45C",'Mapa final'!$R$136),"")</f>
        <v/>
      </c>
      <c r="Q100" s="41" t="str">
        <f>IF(AND('Mapa final'!$AB$137="Alta",'Mapa final'!$AD$137="Moderado"),CONCATENATE("R45C",'Mapa final'!$R$137),"")</f>
        <v/>
      </c>
      <c r="R100" s="103" t="str">
        <f>IF(AND('Mapa final'!$AB$138="Alta",'Mapa final'!$AD$138="Moderado"),CONCATENATE("R45C",'Mapa final'!$R$138),"")</f>
        <v/>
      </c>
      <c r="S100" s="102" t="str">
        <f>IF(AND('Mapa final'!$AB$136="Alta",'Mapa final'!$AD$136="Mayor"),CONCATENATE("R45C",'Mapa final'!$R$136),"")</f>
        <v/>
      </c>
      <c r="T100" s="41" t="str">
        <f>IF(AND('Mapa final'!$AB$137="Alta",'Mapa final'!$AD$137="Mayor"),CONCATENATE("R45C",'Mapa final'!$R$137),"")</f>
        <v/>
      </c>
      <c r="U100" s="103" t="str">
        <f>IF(AND('Mapa final'!$AB$138="Alta",'Mapa final'!$AD$138="Mayor"),CONCATENATE("R45C",'Mapa final'!$R$138),"")</f>
        <v/>
      </c>
      <c r="V100" s="42" t="str">
        <f>IF(AND('Mapa final'!$AB$136="Alta",'Mapa final'!$AD$136="Catastrófico"),CONCATENATE("R45C",'Mapa final'!$R$136),"")</f>
        <v/>
      </c>
      <c r="W100" s="43" t="str">
        <f>IF(AND('Mapa final'!$AB$137="Alta",'Mapa final'!$AD$137="Catastrófico"),CONCATENATE("R45C",'Mapa final'!$R$137),"")</f>
        <v/>
      </c>
      <c r="X100" s="97" t="str">
        <f>IF(AND('Mapa final'!$AB$138="Alta",'Mapa final'!$AD$138="Catastrófico"),CONCATENATE("R45C",'Mapa final'!$R$138),"")</f>
        <v/>
      </c>
      <c r="Y100" s="55"/>
      <c r="Z100" s="287"/>
      <c r="AA100" s="288"/>
      <c r="AB100" s="288"/>
      <c r="AC100" s="288"/>
      <c r="AD100" s="288"/>
      <c r="AE100" s="289"/>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c r="BG100" s="55"/>
      <c r="BH100" s="55"/>
      <c r="BI100" s="55"/>
    </row>
    <row r="101" spans="1:61" ht="15" customHeight="1" x14ac:dyDescent="0.25">
      <c r="A101" s="55"/>
      <c r="B101" s="301"/>
      <c r="C101" s="301"/>
      <c r="D101" s="302"/>
      <c r="E101" s="279"/>
      <c r="F101" s="274"/>
      <c r="G101" s="274"/>
      <c r="H101" s="274"/>
      <c r="I101" s="274"/>
      <c r="J101" s="48" t="str">
        <f>IF(AND('Mapa final'!$AB$139="Alta",'Mapa final'!$AD$139="Leve"),CONCATENATE("R46C",'Mapa final'!$R$139),"")</f>
        <v/>
      </c>
      <c r="K101" s="49" t="str">
        <f>IF(AND('Mapa final'!$AB$140="Alta",'Mapa final'!$AD$140="Leve"),CONCATENATE("R46C",'Mapa final'!$R$140),"")</f>
        <v/>
      </c>
      <c r="L101" s="108" t="str">
        <f>IF(AND('Mapa final'!$AB$141="Alta",'Mapa final'!$AD$141="Leve"),CONCATENATE("R46C",'Mapa final'!$R$141),"")</f>
        <v/>
      </c>
      <c r="M101" s="48" t="str">
        <f>IF(AND('Mapa final'!$AB$139="Alta",'Mapa final'!$AD$139="Menor"),CONCATENATE("R46C",'Mapa final'!$R$139),"")</f>
        <v/>
      </c>
      <c r="N101" s="49" t="str">
        <f>IF(AND('Mapa final'!$AB$140="Alta",'Mapa final'!$AD$140="Menor"),CONCATENATE("R46C",'Mapa final'!$R$140),"")</f>
        <v/>
      </c>
      <c r="O101" s="108" t="str">
        <f>IF(AND('Mapa final'!$AB$141="Alta",'Mapa final'!$AD$141="Menor"),CONCATENATE("R46C",'Mapa final'!$R$141),"")</f>
        <v/>
      </c>
      <c r="P101" s="102" t="str">
        <f>IF(AND('Mapa final'!$AB$139="Alta",'Mapa final'!$AD$139="Moderado"),CONCATENATE("R46C",'Mapa final'!$R$139),"")</f>
        <v/>
      </c>
      <c r="Q101" s="41" t="str">
        <f>IF(AND('Mapa final'!$AB$140="Alta",'Mapa final'!$AD$140="Moderado"),CONCATENATE("R46C",'Mapa final'!$R$140),"")</f>
        <v/>
      </c>
      <c r="R101" s="103" t="str">
        <f>IF(AND('Mapa final'!$AB$141="Alta",'Mapa final'!$AD$141="Moderado"),CONCATENATE("R46C",'Mapa final'!$R$141),"")</f>
        <v/>
      </c>
      <c r="S101" s="102" t="str">
        <f>IF(AND('Mapa final'!$AB$139="Alta",'Mapa final'!$AD$139="Mayor"),CONCATENATE("R46C",'Mapa final'!$R$139),"")</f>
        <v/>
      </c>
      <c r="T101" s="41" t="str">
        <f>IF(AND('Mapa final'!$AB$140="Alta",'Mapa final'!$AD$140="Mayor"),CONCATENATE("R46C",'Mapa final'!$R$140),"")</f>
        <v/>
      </c>
      <c r="U101" s="103" t="str">
        <f>IF(AND('Mapa final'!$AB$141="Alta",'Mapa final'!$AD$141="Mayor"),CONCATENATE("R46C",'Mapa final'!$R$141),"")</f>
        <v/>
      </c>
      <c r="V101" s="42" t="str">
        <f>IF(AND('Mapa final'!$AB$139="Alta",'Mapa final'!$AD$139="Catastrófico"),CONCATENATE("R46C",'Mapa final'!$R$139),"")</f>
        <v/>
      </c>
      <c r="W101" s="43" t="str">
        <f>IF(AND('Mapa final'!$AB$140="Alta",'Mapa final'!$AD$140="Catastrófico"),CONCATENATE("R46C",'Mapa final'!$R$140),"")</f>
        <v/>
      </c>
      <c r="X101" s="97" t="str">
        <f>IF(AND('Mapa final'!$AB$141="Alta",'Mapa final'!$AD$141="Catastrófico"),CONCATENATE("R46C",'Mapa final'!$R$141),"")</f>
        <v/>
      </c>
      <c r="Y101" s="55"/>
      <c r="Z101" s="287"/>
      <c r="AA101" s="288"/>
      <c r="AB101" s="288"/>
      <c r="AC101" s="288"/>
      <c r="AD101" s="288"/>
      <c r="AE101" s="289"/>
      <c r="AF101" s="55"/>
      <c r="AG101" s="55"/>
      <c r="AH101" s="55"/>
      <c r="AI101" s="55"/>
      <c r="AJ101" s="55"/>
      <c r="AK101" s="55"/>
      <c r="AL101" s="55"/>
      <c r="AM101" s="55"/>
      <c r="AN101" s="55"/>
      <c r="AO101" s="55"/>
      <c r="AP101" s="55"/>
      <c r="AQ101" s="55"/>
      <c r="AR101" s="55"/>
      <c r="AS101" s="55"/>
      <c r="AT101" s="55"/>
      <c r="AU101" s="55"/>
      <c r="AV101" s="55"/>
      <c r="AW101" s="55"/>
      <c r="AX101" s="55"/>
      <c r="AY101" s="55"/>
      <c r="AZ101" s="55"/>
      <c r="BA101" s="55"/>
      <c r="BB101" s="55"/>
      <c r="BC101" s="55"/>
      <c r="BD101" s="55"/>
      <c r="BE101" s="55"/>
      <c r="BF101" s="55"/>
      <c r="BG101" s="55"/>
      <c r="BH101" s="55"/>
      <c r="BI101" s="55"/>
    </row>
    <row r="102" spans="1:61" ht="15" customHeight="1" x14ac:dyDescent="0.25">
      <c r="A102" s="55"/>
      <c r="B102" s="301"/>
      <c r="C102" s="301"/>
      <c r="D102" s="302"/>
      <c r="E102" s="279"/>
      <c r="F102" s="274"/>
      <c r="G102" s="274"/>
      <c r="H102" s="274"/>
      <c r="I102" s="274"/>
      <c r="J102" s="48" t="str">
        <f>IF(AND('Mapa final'!$AB$142="Alta",'Mapa final'!$AD$142="Leve"),CONCATENATE("R47C",'Mapa final'!$R$142),"")</f>
        <v/>
      </c>
      <c r="K102" s="49" t="str">
        <f>IF(AND('Mapa final'!$AB$143="Alta",'Mapa final'!$AD$143="Leve"),CONCATENATE("R47C",'Mapa final'!$R$143),"")</f>
        <v/>
      </c>
      <c r="L102" s="108" t="str">
        <f>IF(AND('Mapa final'!$AB$144="Alta",'Mapa final'!$AD$144="Leve"),CONCATENATE("R47C",'Mapa final'!$R$144),"")</f>
        <v/>
      </c>
      <c r="M102" s="48" t="str">
        <f>IF(AND('Mapa final'!$AB$142="Alta",'Mapa final'!$AD$142="Menor"),CONCATENATE("R47C",'Mapa final'!$R$142),"")</f>
        <v/>
      </c>
      <c r="N102" s="49" t="str">
        <f>IF(AND('Mapa final'!$AB$143="Alta",'Mapa final'!$AD$143="Menor"),CONCATENATE("R47C",'Mapa final'!$R$143),"")</f>
        <v/>
      </c>
      <c r="O102" s="108" t="str">
        <f>IF(AND('Mapa final'!$AB$144="Alta",'Mapa final'!$AD$144="Menor"),CONCATENATE("R47C",'Mapa final'!$R$144),"")</f>
        <v/>
      </c>
      <c r="P102" s="102" t="str">
        <f>IF(AND('Mapa final'!$AB$142="Alta",'Mapa final'!$AD$142="Moderado"),CONCATENATE("R47C",'Mapa final'!$R$142),"")</f>
        <v/>
      </c>
      <c r="Q102" s="41" t="str">
        <f>IF(AND('Mapa final'!$AB$143="Alta",'Mapa final'!$AD$143="Moderado"),CONCATENATE("R47C",'Mapa final'!$R$143),"")</f>
        <v/>
      </c>
      <c r="R102" s="103" t="str">
        <f>IF(AND('Mapa final'!$AB$144="Alta",'Mapa final'!$AD$144="Moderado"),CONCATENATE("R47C",'Mapa final'!$R$144),"")</f>
        <v/>
      </c>
      <c r="S102" s="102" t="str">
        <f>IF(AND('Mapa final'!$AB$142="Alta",'Mapa final'!$AD$142="Mayor"),CONCATENATE("R47C",'Mapa final'!$R$142),"")</f>
        <v/>
      </c>
      <c r="T102" s="41" t="str">
        <f>IF(AND('Mapa final'!$AB$143="Alta",'Mapa final'!$AD$143="Mayor"),CONCATENATE("R47C",'Mapa final'!$R$143),"")</f>
        <v/>
      </c>
      <c r="U102" s="103" t="str">
        <f>IF(AND('Mapa final'!$AB$144="Alta",'Mapa final'!$AD$144="Mayor"),CONCATENATE("R47C",'Mapa final'!$R$144),"")</f>
        <v/>
      </c>
      <c r="V102" s="42" t="str">
        <f>IF(AND('Mapa final'!$AB$142="Alta",'Mapa final'!$AD$142="Catastrófico"),CONCATENATE("R47C",'Mapa final'!$R$142),"")</f>
        <v/>
      </c>
      <c r="W102" s="43" t="str">
        <f>IF(AND('Mapa final'!$AB$143="Alta",'Mapa final'!$AD$143="Catastrófico"),CONCATENATE("R47C",'Mapa final'!$R$143),"")</f>
        <v/>
      </c>
      <c r="X102" s="97" t="str">
        <f>IF(AND('Mapa final'!$AB$144="Alta",'Mapa final'!$AD$144="Catastrófico"),CONCATENATE("R47C",'Mapa final'!$R$144),"")</f>
        <v/>
      </c>
      <c r="Y102" s="55"/>
      <c r="Z102" s="287"/>
      <c r="AA102" s="288"/>
      <c r="AB102" s="288"/>
      <c r="AC102" s="288"/>
      <c r="AD102" s="288"/>
      <c r="AE102" s="289"/>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c r="BF102" s="55"/>
      <c r="BG102" s="55"/>
      <c r="BH102" s="55"/>
      <c r="BI102" s="55"/>
    </row>
    <row r="103" spans="1:61" ht="15" customHeight="1" x14ac:dyDescent="0.25">
      <c r="A103" s="55"/>
      <c r="B103" s="301"/>
      <c r="C103" s="301"/>
      <c r="D103" s="302"/>
      <c r="E103" s="279"/>
      <c r="F103" s="274"/>
      <c r="G103" s="274"/>
      <c r="H103" s="274"/>
      <c r="I103" s="274"/>
      <c r="J103" s="48" t="str">
        <f>IF(AND('Mapa final'!$AB$145="Alta",'Mapa final'!$AD$145="Leve"),CONCATENATE("R48C",'Mapa final'!$R$145),"")</f>
        <v/>
      </c>
      <c r="K103" s="49" t="str">
        <f>IF(AND('Mapa final'!$AB$146="Alta",'Mapa final'!$AD$146="Leve"),CONCATENATE("R48C",'Mapa final'!$R$146),"")</f>
        <v/>
      </c>
      <c r="L103" s="108" t="str">
        <f>IF(AND('Mapa final'!$AB$147="Alta",'Mapa final'!$AD$147="Leve"),CONCATENATE("R48C",'Mapa final'!$R$147),"")</f>
        <v/>
      </c>
      <c r="M103" s="48" t="str">
        <f>IF(AND('Mapa final'!$AB$145="Alta",'Mapa final'!$AD$145="Menor"),CONCATENATE("R48C",'Mapa final'!$R$145),"")</f>
        <v/>
      </c>
      <c r="N103" s="49" t="str">
        <f>IF(AND('Mapa final'!$AB$146="Alta",'Mapa final'!$AD$146="Menor"),CONCATENATE("R48C",'Mapa final'!$R$146),"")</f>
        <v/>
      </c>
      <c r="O103" s="108" t="str">
        <f>IF(AND('Mapa final'!$AB$147="Alta",'Mapa final'!$AD$147="Menor"),CONCATENATE("R48C",'Mapa final'!$R$147),"")</f>
        <v/>
      </c>
      <c r="P103" s="102" t="str">
        <f>IF(AND('Mapa final'!$AB$145="Alta",'Mapa final'!$AD$145="Moderado"),CONCATENATE("R48C",'Mapa final'!$R$145),"")</f>
        <v/>
      </c>
      <c r="Q103" s="41" t="str">
        <f>IF(AND('Mapa final'!$AB$146="Alta",'Mapa final'!$AD$146="Moderado"),CONCATENATE("R48C",'Mapa final'!$R$146),"")</f>
        <v/>
      </c>
      <c r="R103" s="103" t="str">
        <f>IF(AND('Mapa final'!$AB$147="Alta",'Mapa final'!$AD$147="Moderado"),CONCATENATE("R48C",'Mapa final'!$R$147),"")</f>
        <v/>
      </c>
      <c r="S103" s="102" t="str">
        <f>IF(AND('Mapa final'!$AB$145="Alta",'Mapa final'!$AD$145="Mayor"),CONCATENATE("R48C",'Mapa final'!$R$145),"")</f>
        <v/>
      </c>
      <c r="T103" s="41" t="str">
        <f>IF(AND('Mapa final'!$AB$146="Alta",'Mapa final'!$AD$146="Mayor"),CONCATENATE("R48C",'Mapa final'!$R$146),"")</f>
        <v/>
      </c>
      <c r="U103" s="103" t="str">
        <f>IF(AND('Mapa final'!$AB$147="Alta",'Mapa final'!$AD$147="Mayor"),CONCATENATE("R48C",'Mapa final'!$R$147),"")</f>
        <v/>
      </c>
      <c r="V103" s="42" t="str">
        <f>IF(AND('Mapa final'!$AB$145="Alta",'Mapa final'!$AD$145="Catastrófico"),CONCATENATE("R48C",'Mapa final'!$R$145),"")</f>
        <v/>
      </c>
      <c r="W103" s="43" t="str">
        <f>IF(AND('Mapa final'!$AB$146="Alta",'Mapa final'!$AD$146="Catastrófico"),CONCATENATE("R48C",'Mapa final'!$R$146),"")</f>
        <v/>
      </c>
      <c r="X103" s="97" t="str">
        <f>IF(AND('Mapa final'!$AB$147="Alta",'Mapa final'!$AD$147="Catastrófico"),CONCATENATE("R48C",'Mapa final'!$R$147),"")</f>
        <v/>
      </c>
      <c r="Y103" s="55"/>
      <c r="Z103" s="287"/>
      <c r="AA103" s="288"/>
      <c r="AB103" s="288"/>
      <c r="AC103" s="288"/>
      <c r="AD103" s="288"/>
      <c r="AE103" s="289"/>
      <c r="AF103" s="55"/>
      <c r="AG103" s="55"/>
      <c r="AH103" s="55"/>
      <c r="AI103" s="55"/>
      <c r="AJ103" s="55"/>
      <c r="AK103" s="55"/>
      <c r="AL103" s="55"/>
      <c r="AM103" s="55"/>
      <c r="AN103" s="55"/>
      <c r="AO103" s="55"/>
      <c r="AP103" s="55"/>
      <c r="AQ103" s="55"/>
      <c r="AR103" s="55"/>
      <c r="AS103" s="55"/>
      <c r="AT103" s="55"/>
      <c r="AU103" s="55"/>
      <c r="AV103" s="55"/>
      <c r="AW103" s="55"/>
      <c r="AX103" s="55"/>
      <c r="AY103" s="55"/>
      <c r="AZ103" s="55"/>
      <c r="BA103" s="55"/>
      <c r="BB103" s="55"/>
      <c r="BC103" s="55"/>
      <c r="BD103" s="55"/>
      <c r="BE103" s="55"/>
      <c r="BF103" s="55"/>
      <c r="BG103" s="55"/>
      <c r="BH103" s="55"/>
      <c r="BI103" s="55"/>
    </row>
    <row r="104" spans="1:61" ht="15" customHeight="1" x14ac:dyDescent="0.25">
      <c r="A104" s="55"/>
      <c r="B104" s="301"/>
      <c r="C104" s="301"/>
      <c r="D104" s="302"/>
      <c r="E104" s="279"/>
      <c r="F104" s="274"/>
      <c r="G104" s="274"/>
      <c r="H104" s="274"/>
      <c r="I104" s="274"/>
      <c r="J104" s="48" t="str">
        <f>IF(AND('Mapa final'!$AB$148="Alta",'Mapa final'!$AD$148="Leve"),CONCATENATE("R49C",'Mapa final'!$R$148),"")</f>
        <v/>
      </c>
      <c r="K104" s="49" t="str">
        <f>IF(AND('Mapa final'!$AB$149="Alta",'Mapa final'!$AD$149="Leve"),CONCATENATE("R49C",'Mapa final'!$R$149),"")</f>
        <v/>
      </c>
      <c r="L104" s="108" t="str">
        <f>IF(AND('Mapa final'!$AB$150="Alta",'Mapa final'!$AD$150="Leve"),CONCATENATE("R49C",'Mapa final'!$R$150),"")</f>
        <v/>
      </c>
      <c r="M104" s="48" t="str">
        <f>IF(AND('Mapa final'!$AB$148="Alta",'Mapa final'!$AD$148="Menor"),CONCATENATE("R49C",'Mapa final'!$R$148),"")</f>
        <v/>
      </c>
      <c r="N104" s="49" t="str">
        <f>IF(AND('Mapa final'!$AB$149="Alta",'Mapa final'!$AD$149="Menor"),CONCATENATE("R49C",'Mapa final'!$R$149),"")</f>
        <v/>
      </c>
      <c r="O104" s="108" t="str">
        <f>IF(AND('Mapa final'!$AB$150="Alta",'Mapa final'!$AD$150="Menor"),CONCATENATE("R49C",'Mapa final'!$R$150),"")</f>
        <v/>
      </c>
      <c r="P104" s="102" t="str">
        <f>IF(AND('Mapa final'!$AB$148="Alta",'Mapa final'!$AD$148="Moderado"),CONCATENATE("R49C",'Mapa final'!$R$148),"")</f>
        <v/>
      </c>
      <c r="Q104" s="41" t="str">
        <f>IF(AND('Mapa final'!$AB$149="Alta",'Mapa final'!$AD$149="Moderado"),CONCATENATE("R49C",'Mapa final'!$R$149),"")</f>
        <v/>
      </c>
      <c r="R104" s="103" t="str">
        <f>IF(AND('Mapa final'!$AB$150="Alta",'Mapa final'!$AD$150="Moderado"),CONCATENATE("R49C",'Mapa final'!$R$150),"")</f>
        <v/>
      </c>
      <c r="S104" s="102" t="str">
        <f>IF(AND('Mapa final'!$AB$148="Alta",'Mapa final'!$AD$148="Mayor"),CONCATENATE("R49C",'Mapa final'!$R$148),"")</f>
        <v/>
      </c>
      <c r="T104" s="41" t="str">
        <f>IF(AND('Mapa final'!$AB$149="Alta",'Mapa final'!$AD$149="Mayor"),CONCATENATE("R49C",'Mapa final'!$R$149),"")</f>
        <v/>
      </c>
      <c r="U104" s="103" t="str">
        <f>IF(AND('Mapa final'!$AB$150="Alta",'Mapa final'!$AD$150="Mayor"),CONCATENATE("R49C",'Mapa final'!$R$150),"")</f>
        <v/>
      </c>
      <c r="V104" s="42" t="str">
        <f>IF(AND('Mapa final'!$AB$148="Alta",'Mapa final'!$AD$148="Catastrófico"),CONCATENATE("R49C",'Mapa final'!$R$148),"")</f>
        <v/>
      </c>
      <c r="W104" s="43" t="str">
        <f>IF(AND('Mapa final'!$AB$149="Alta",'Mapa final'!$AD$149="Catastrófico"),CONCATENATE("R49C",'Mapa final'!$R$149),"")</f>
        <v/>
      </c>
      <c r="X104" s="97" t="str">
        <f>IF(AND('Mapa final'!$AB$150="Alta",'Mapa final'!$AD$150="Catastrófico"),CONCATENATE("R49C",'Mapa final'!$R$150),"")</f>
        <v/>
      </c>
      <c r="Y104" s="55"/>
      <c r="Z104" s="287"/>
      <c r="AA104" s="288"/>
      <c r="AB104" s="288"/>
      <c r="AC104" s="288"/>
      <c r="AD104" s="288"/>
      <c r="AE104" s="289"/>
      <c r="AF104" s="55"/>
      <c r="AG104" s="55"/>
      <c r="AH104" s="55"/>
      <c r="AI104" s="55"/>
      <c r="AJ104" s="55"/>
      <c r="AK104" s="55"/>
      <c r="AL104" s="55"/>
      <c r="AM104" s="55"/>
      <c r="AN104" s="55"/>
      <c r="AO104" s="55"/>
      <c r="AP104" s="55"/>
      <c r="AQ104" s="55"/>
      <c r="AR104" s="55"/>
      <c r="AS104" s="55"/>
      <c r="AT104" s="55"/>
      <c r="AU104" s="55"/>
      <c r="AV104" s="55"/>
      <c r="AW104" s="55"/>
      <c r="AX104" s="55"/>
      <c r="AY104" s="55"/>
      <c r="AZ104" s="55"/>
      <c r="BA104" s="55"/>
      <c r="BB104" s="55"/>
      <c r="BC104" s="55"/>
      <c r="BD104" s="55"/>
      <c r="BE104" s="55"/>
      <c r="BF104" s="55"/>
      <c r="BG104" s="55"/>
      <c r="BH104" s="55"/>
      <c r="BI104" s="55"/>
    </row>
    <row r="105" spans="1:61" ht="15" customHeight="1" thickBot="1" x14ac:dyDescent="0.3">
      <c r="A105" s="55"/>
      <c r="B105" s="301"/>
      <c r="C105" s="301"/>
      <c r="D105" s="302"/>
      <c r="E105" s="279"/>
      <c r="F105" s="274"/>
      <c r="G105" s="274"/>
      <c r="H105" s="274"/>
      <c r="I105" s="274"/>
      <c r="J105" s="50" t="str">
        <f>IF(AND('Mapa final'!$AB$151="Alta",'Mapa final'!$AD$151="Leve"),CONCATENATE("R50C",'Mapa final'!$R$151),"")</f>
        <v/>
      </c>
      <c r="K105" s="51" t="str">
        <f>IF(AND('Mapa final'!$AB$152="Alta",'Mapa final'!$AD$152="Leve"),CONCATENATE("R50C",'Mapa final'!$R$152),"")</f>
        <v/>
      </c>
      <c r="L105" s="109" t="str">
        <f>IF(AND('Mapa final'!$AB$153="Alta",'Mapa final'!$AD$153="Leve"),CONCATENATE("R50C",'Mapa final'!$R$153),"")</f>
        <v/>
      </c>
      <c r="M105" s="50" t="str">
        <f>IF(AND('Mapa final'!$AB$151="Alta",'Mapa final'!$AD$151="Menor"),CONCATENATE("R50C",'Mapa final'!$R$151),"")</f>
        <v/>
      </c>
      <c r="N105" s="51" t="str">
        <f>IF(AND('Mapa final'!$AB$152="Alta",'Mapa final'!$AD$152="Menor"),CONCATENATE("R50C",'Mapa final'!$R$152),"")</f>
        <v/>
      </c>
      <c r="O105" s="109" t="str">
        <f>IF(AND('Mapa final'!$AB$153="Alta",'Mapa final'!$AD$153="Menor"),CONCATENATE("R50C",'Mapa final'!$R$153),"")</f>
        <v/>
      </c>
      <c r="P105" s="102" t="str">
        <f>IF(AND('Mapa final'!$AB$151="Alta",'Mapa final'!$AD$151="Moderado"),CONCATENATE("R50C",'Mapa final'!$R$151),"")</f>
        <v/>
      </c>
      <c r="Q105" s="41" t="str">
        <f>IF(AND('Mapa final'!$AB$152="Alta",'Mapa final'!$AD$152="Moderado"),CONCATENATE("R50C",'Mapa final'!$R$152),"")</f>
        <v/>
      </c>
      <c r="R105" s="103" t="str">
        <f>IF(AND('Mapa final'!$AB$153="Alta",'Mapa final'!$AD$153="Moderado"),CONCATENATE("R50C",'Mapa final'!$R$153),"")</f>
        <v/>
      </c>
      <c r="S105" s="104" t="str">
        <f>IF(AND('Mapa final'!$AB$151="Alta",'Mapa final'!$AD$151="Mayor"),CONCATENATE("R50C",'Mapa final'!$R$151),"")</f>
        <v/>
      </c>
      <c r="T105" s="105" t="str">
        <f>IF(AND('Mapa final'!$AB$152="Alta",'Mapa final'!$AD$152="Mayor"),CONCATENATE("R50C",'Mapa final'!$R$152),"")</f>
        <v/>
      </c>
      <c r="U105" s="106" t="str">
        <f>IF(AND('Mapa final'!$AB$153="Alta",'Mapa final'!$AD$153="Mayor"),CONCATENATE("R50C",'Mapa final'!$R$153),"")</f>
        <v/>
      </c>
      <c r="V105" s="44" t="str">
        <f>IF(AND('Mapa final'!$AB$151="Alta",'Mapa final'!$AD$151="Catastrófico"),CONCATENATE("R50C",'Mapa final'!$R$151),"")</f>
        <v/>
      </c>
      <c r="W105" s="45" t="str">
        <f>IF(AND('Mapa final'!$AB$152="Alta",'Mapa final'!$AD$152="Catastrófico"),CONCATENATE("R50C",'Mapa final'!$R$152),"")</f>
        <v/>
      </c>
      <c r="X105" s="98" t="str">
        <f>IF(AND('Mapa final'!$AB$153="Alta",'Mapa final'!$AD$153="Catastrófico"),CONCATENATE("R50C",'Mapa final'!$R$153),"")</f>
        <v/>
      </c>
      <c r="Y105" s="55"/>
      <c r="Z105" s="287"/>
      <c r="AA105" s="288"/>
      <c r="AB105" s="288"/>
      <c r="AC105" s="288"/>
      <c r="AD105" s="288"/>
      <c r="AE105" s="289"/>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c r="BI105" s="55"/>
    </row>
    <row r="106" spans="1:61" ht="15" customHeight="1" x14ac:dyDescent="0.25">
      <c r="A106" s="55"/>
      <c r="B106" s="301"/>
      <c r="C106" s="301"/>
      <c r="D106" s="302"/>
      <c r="E106" s="290" t="s">
        <v>108</v>
      </c>
      <c r="F106" s="291"/>
      <c r="G106" s="291"/>
      <c r="H106" s="291"/>
      <c r="I106" s="291"/>
      <c r="J106" s="46" t="str">
        <f>IF(AND('Mapa final'!$AB$7="Media",'Mapa final'!$AD$7="Leve"),CONCATENATE("R1C",'Mapa final'!$R$7),"")</f>
        <v/>
      </c>
      <c r="K106" s="47" t="str">
        <f>IF(AND('Mapa final'!$AB$8="Media",'Mapa final'!$AD$8="Leve"),CONCATENATE("R1C",'Mapa final'!$R$8),"")</f>
        <v/>
      </c>
      <c r="L106" s="107" t="str">
        <f>IF(AND('Mapa final'!$AB$9="Media",'Mapa final'!$AD$9="Leve"),CONCATENATE("R1C",'Mapa final'!$R$9),"")</f>
        <v/>
      </c>
      <c r="M106" s="46" t="str">
        <f>IF(AND('Mapa final'!$AB$7="Media",'Mapa final'!$AD$7="Menor"),CONCATENATE("R1C",'Mapa final'!$R$7),"")</f>
        <v/>
      </c>
      <c r="N106" s="47" t="str">
        <f>IF(AND('Mapa final'!$AB$8="Media",'Mapa final'!$AD$8="Menor"),CONCATENATE("R1C",'Mapa final'!$R$8),"")</f>
        <v/>
      </c>
      <c r="O106" s="107" t="str">
        <f>IF(AND('Mapa final'!$AB$9="Media",'Mapa final'!$AD$9="Menor"),CONCATENATE("R1C",'Mapa final'!$R$9),"")</f>
        <v/>
      </c>
      <c r="P106" s="46" t="str">
        <f>IF(AND('Mapa final'!$AB$7="Media",'Mapa final'!$AD$7="Moderado"),CONCATENATE("R1C",'Mapa final'!$R$7),"")</f>
        <v/>
      </c>
      <c r="Q106" s="47" t="str">
        <f>IF(AND('Mapa final'!$AB$8="Media",'Mapa final'!$AD$8="Moderado"),CONCATENATE("R1C",'Mapa final'!$R$8),"")</f>
        <v/>
      </c>
      <c r="R106" s="107" t="str">
        <f>IF(AND('Mapa final'!$AB$9="Media",'Mapa final'!$AD$9="Moderado"),CONCATENATE("R1C",'Mapa final'!$R$9),"")</f>
        <v/>
      </c>
      <c r="S106" s="99" t="str">
        <f>IF(AND('Mapa final'!$AB$7="Media",'Mapa final'!$AD$7="Mayor"),CONCATENATE("R1C",'Mapa final'!$R$7),"")</f>
        <v/>
      </c>
      <c r="T106" s="100" t="str">
        <f>IF(AND('Mapa final'!$AB$8="Media",'Mapa final'!$AD$8="Mayor"),CONCATENATE("R1C",'Mapa final'!$R$8),"")</f>
        <v/>
      </c>
      <c r="U106" s="101" t="str">
        <f>IF(AND('Mapa final'!$AB$9="Media",'Mapa final'!$AD$9="Mayor"),CONCATENATE("R1C",'Mapa final'!$R$9),"")</f>
        <v/>
      </c>
      <c r="V106" s="39" t="str">
        <f>IF(AND('Mapa final'!$AB$7="Media",'Mapa final'!$AD$7="Catastrófico"),CONCATENATE("R1C",'Mapa final'!$R$7),"")</f>
        <v/>
      </c>
      <c r="W106" s="40" t="str">
        <f>IF(AND('Mapa final'!$AB$8="Media",'Mapa final'!$AD$8="Catastrófico"),CONCATENATE("R1C",'Mapa final'!$R$8),"")</f>
        <v/>
      </c>
      <c r="X106" s="96" t="str">
        <f>IF(AND('Mapa final'!$AB$9="Media",'Mapa final'!$AD$9="Catastrófico"),CONCATENATE("R1C",'Mapa final'!$R$9),"")</f>
        <v/>
      </c>
      <c r="Y106" s="55"/>
      <c r="Z106" s="309" t="s">
        <v>75</v>
      </c>
      <c r="AA106" s="310"/>
      <c r="AB106" s="310"/>
      <c r="AC106" s="310"/>
      <c r="AD106" s="310"/>
      <c r="AE106" s="311"/>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c r="BI106" s="55"/>
    </row>
    <row r="107" spans="1:61" ht="15" customHeight="1" x14ac:dyDescent="0.25">
      <c r="A107" s="55"/>
      <c r="B107" s="301"/>
      <c r="C107" s="301"/>
      <c r="D107" s="302"/>
      <c r="E107" s="278"/>
      <c r="F107" s="274"/>
      <c r="G107" s="274"/>
      <c r="H107" s="274"/>
      <c r="I107" s="274"/>
      <c r="J107" s="48" t="str">
        <f>IF(AND('Mapa final'!$AB$10="Media",'Mapa final'!$AD$10="Leve"),CONCATENATE("R2C",'Mapa final'!$R$10),"")</f>
        <v/>
      </c>
      <c r="K107" s="49" t="str">
        <f>IF(AND('Mapa final'!$AB$11="Media",'Mapa final'!$AD$11="Leve"),CONCATENATE("R2C",'Mapa final'!$R$11),"")</f>
        <v/>
      </c>
      <c r="L107" s="108" t="str">
        <f>IF(AND('Mapa final'!$AB$12="Media",'Mapa final'!$AD$12="Leve"),CONCATENATE("R2C",'Mapa final'!$R$12),"")</f>
        <v/>
      </c>
      <c r="M107" s="48" t="str">
        <f>IF(AND('Mapa final'!$AB$10="Media",'Mapa final'!$AD$10="Menor"),CONCATENATE("R2C",'Mapa final'!$R$10),"")</f>
        <v/>
      </c>
      <c r="N107" s="49" t="str">
        <f>IF(AND('Mapa final'!$AB$11="Media",'Mapa final'!$AD$11="Menor"),CONCATENATE("R2C",'Mapa final'!$R$11),"")</f>
        <v/>
      </c>
      <c r="O107" s="108" t="str">
        <f>IF(AND('Mapa final'!$AB$12="Media",'Mapa final'!$AD$12="Menor"),CONCATENATE("R2C",'Mapa final'!$R$12),"")</f>
        <v/>
      </c>
      <c r="P107" s="48" t="str">
        <f>IF(AND('Mapa final'!$AB$10="Media",'Mapa final'!$AD$10="Moderado"),CONCATENATE("R2C",'Mapa final'!$R$10),"")</f>
        <v/>
      </c>
      <c r="Q107" s="49" t="str">
        <f>IF(AND('Mapa final'!$AB$11="Media",'Mapa final'!$AD$11="Moderado"),CONCATENATE("R2C",'Mapa final'!$R$11),"")</f>
        <v/>
      </c>
      <c r="R107" s="108" t="str">
        <f>IF(AND('Mapa final'!$AB$12="Media",'Mapa final'!$AD$12="Moderado"),CONCATENATE("R2C",'Mapa final'!$R$12),"")</f>
        <v/>
      </c>
      <c r="S107" s="102" t="str">
        <f>IF(AND('Mapa final'!$AB$10="Media",'Mapa final'!$AD$10="Mayor"),CONCATENATE("R2C",'Mapa final'!$R$10),"")</f>
        <v/>
      </c>
      <c r="T107" s="41" t="str">
        <f>IF(AND('Mapa final'!$AB$11="Media",'Mapa final'!$AD$11="Mayor"),CONCATENATE("R2C",'Mapa final'!$R$11),"")</f>
        <v/>
      </c>
      <c r="U107" s="103" t="str">
        <f>IF(AND('Mapa final'!$AB$12="Media",'Mapa final'!$AD$12="Mayor"),CONCATENATE("R2C",'Mapa final'!$R$12),"")</f>
        <v/>
      </c>
      <c r="V107" s="42" t="str">
        <f>IF(AND('Mapa final'!$AB$10="Media",'Mapa final'!$AD$10="Catastrófico"),CONCATENATE("R2C",'Mapa final'!$R$10),"")</f>
        <v/>
      </c>
      <c r="W107" s="43" t="str">
        <f>IF(AND('Mapa final'!$AB$11="Media",'Mapa final'!$AD$11="Catastrófico"),CONCATENATE("R2C",'Mapa final'!$R$11),"")</f>
        <v/>
      </c>
      <c r="X107" s="97" t="str">
        <f>IF(AND('Mapa final'!$AB$12="Media",'Mapa final'!$AD$12="Catastrófico"),CONCATENATE("R2C",'Mapa final'!$R$12),"")</f>
        <v/>
      </c>
      <c r="Y107" s="55"/>
      <c r="Z107" s="312"/>
      <c r="AA107" s="313"/>
      <c r="AB107" s="313"/>
      <c r="AC107" s="313"/>
      <c r="AD107" s="313"/>
      <c r="AE107" s="314"/>
      <c r="AF107" s="55"/>
      <c r="AG107" s="55"/>
      <c r="AH107" s="55"/>
      <c r="AI107" s="55"/>
      <c r="AJ107" s="55"/>
      <c r="AK107" s="55"/>
      <c r="AL107" s="55"/>
      <c r="AM107" s="55"/>
      <c r="AN107" s="55"/>
      <c r="AO107" s="55"/>
      <c r="AP107" s="55"/>
      <c r="AQ107" s="55"/>
      <c r="AR107" s="55"/>
      <c r="AS107" s="55"/>
      <c r="AT107" s="55"/>
      <c r="AU107" s="55"/>
      <c r="AV107" s="55"/>
      <c r="AW107" s="55"/>
      <c r="AX107" s="55"/>
      <c r="AY107" s="55"/>
      <c r="AZ107" s="55"/>
      <c r="BA107" s="55"/>
      <c r="BB107" s="55"/>
      <c r="BC107" s="55"/>
      <c r="BD107" s="55"/>
      <c r="BE107" s="55"/>
      <c r="BF107" s="55"/>
      <c r="BG107" s="55"/>
      <c r="BH107" s="55"/>
      <c r="BI107" s="55"/>
    </row>
    <row r="108" spans="1:61" ht="15" customHeight="1" x14ac:dyDescent="0.25">
      <c r="A108" s="55"/>
      <c r="B108" s="301"/>
      <c r="C108" s="301"/>
      <c r="D108" s="302"/>
      <c r="E108" s="279"/>
      <c r="F108" s="274"/>
      <c r="G108" s="274"/>
      <c r="H108" s="274"/>
      <c r="I108" s="274"/>
      <c r="J108" s="48" t="str">
        <f>IF(AND('Mapa final'!$AB$13="Media",'Mapa final'!$AD$13="Leve"),CONCATENATE("R3C",'Mapa final'!$R$13),"")</f>
        <v/>
      </c>
      <c r="K108" s="49" t="str">
        <f>IF(AND('Mapa final'!$AB$14="Media",'Mapa final'!$AD$14="Leve"),CONCATENATE("R3C",'Mapa final'!$R$14),"")</f>
        <v/>
      </c>
      <c r="L108" s="108" t="str">
        <f>IF(AND('Mapa final'!$AB$15="Media",'Mapa final'!$AD$15="Leve"),CONCATENATE("R3C",'Mapa final'!$R$15),"")</f>
        <v/>
      </c>
      <c r="M108" s="48" t="str">
        <f>IF(AND('Mapa final'!$AB$13="Media",'Mapa final'!$AD$13="Menor"),CONCATENATE("R3C",'Mapa final'!$R$13),"")</f>
        <v/>
      </c>
      <c r="N108" s="49" t="str">
        <f>IF(AND('Mapa final'!$AB$14="Media",'Mapa final'!$AD$14="Menor"),CONCATENATE("R3C",'Mapa final'!$R$14),"")</f>
        <v/>
      </c>
      <c r="O108" s="108" t="str">
        <f>IF(AND('Mapa final'!$AB$15="Media",'Mapa final'!$AD$15="Menor"),CONCATENATE("R3C",'Mapa final'!$R$15),"")</f>
        <v/>
      </c>
      <c r="P108" s="48" t="str">
        <f>IF(AND('Mapa final'!$AB$13="Media",'Mapa final'!$AD$13="Moderado"),CONCATENATE("R3C",'Mapa final'!$R$13),"")</f>
        <v>R3C1</v>
      </c>
      <c r="Q108" s="49" t="str">
        <f>IF(AND('Mapa final'!$AB$14="Media",'Mapa final'!$AD$14="Moderado"),CONCATENATE("R3C",'Mapa final'!$R$14),"")</f>
        <v/>
      </c>
      <c r="R108" s="108" t="str">
        <f>IF(AND('Mapa final'!$AB$15="Media",'Mapa final'!$AD$15="Moderado"),CONCATENATE("R3C",'Mapa final'!$R$15),"")</f>
        <v/>
      </c>
      <c r="S108" s="102" t="str">
        <f>IF(AND('Mapa final'!$AB$13="Media",'Mapa final'!$AD$13="Mayor"),CONCATENATE("R3C",'Mapa final'!$R$13),"")</f>
        <v/>
      </c>
      <c r="T108" s="41" t="str">
        <f>IF(AND('Mapa final'!$AB$14="Media",'Mapa final'!$AD$14="Mayor"),CONCATENATE("R3C",'Mapa final'!$R$14),"")</f>
        <v/>
      </c>
      <c r="U108" s="103" t="str">
        <f>IF(AND('Mapa final'!$AB$15="Media",'Mapa final'!$AD$15="Mayor"),CONCATENATE("R3C",'Mapa final'!$R$15),"")</f>
        <v/>
      </c>
      <c r="V108" s="42" t="str">
        <f>IF(AND('Mapa final'!$AB$13="Media",'Mapa final'!$AD$13="Catastrófico"),CONCATENATE("R3C",'Mapa final'!$R$13),"")</f>
        <v/>
      </c>
      <c r="W108" s="43" t="str">
        <f>IF(AND('Mapa final'!$AB$14="Media",'Mapa final'!$AD$14="Catastrófico"),CONCATENATE("R3C",'Mapa final'!$R$14),"")</f>
        <v/>
      </c>
      <c r="X108" s="97" t="str">
        <f>IF(AND('Mapa final'!$AB$15="Media",'Mapa final'!$AD$15="Catastrófico"),CONCATENATE("R3C",'Mapa final'!$R$15),"")</f>
        <v/>
      </c>
      <c r="Y108" s="55"/>
      <c r="Z108" s="312"/>
      <c r="AA108" s="313"/>
      <c r="AB108" s="313"/>
      <c r="AC108" s="313"/>
      <c r="AD108" s="313"/>
      <c r="AE108" s="314"/>
      <c r="AF108" s="55"/>
      <c r="AG108" s="55"/>
      <c r="AH108" s="55"/>
      <c r="AI108" s="55"/>
      <c r="AJ108" s="55"/>
      <c r="AK108" s="55"/>
      <c r="AL108" s="55"/>
      <c r="AM108" s="55"/>
      <c r="AN108" s="55"/>
      <c r="AO108" s="55"/>
      <c r="AP108" s="55"/>
      <c r="AQ108" s="55"/>
      <c r="AR108" s="55"/>
      <c r="AS108" s="55"/>
      <c r="AT108" s="55"/>
      <c r="AU108" s="55"/>
      <c r="AV108" s="55"/>
      <c r="AW108" s="55"/>
      <c r="AX108" s="55"/>
      <c r="AY108" s="55"/>
      <c r="AZ108" s="55"/>
      <c r="BA108" s="55"/>
      <c r="BB108" s="55"/>
      <c r="BC108" s="55"/>
      <c r="BD108" s="55"/>
      <c r="BE108" s="55"/>
      <c r="BF108" s="55"/>
      <c r="BG108" s="55"/>
      <c r="BH108" s="55"/>
      <c r="BI108" s="55"/>
    </row>
    <row r="109" spans="1:61" ht="15" customHeight="1" x14ac:dyDescent="0.25">
      <c r="A109" s="55"/>
      <c r="B109" s="301"/>
      <c r="C109" s="301"/>
      <c r="D109" s="302"/>
      <c r="E109" s="279"/>
      <c r="F109" s="274"/>
      <c r="G109" s="274"/>
      <c r="H109" s="274"/>
      <c r="I109" s="274"/>
      <c r="J109" s="48" t="e">
        <f>IF(AND('Mapa final'!#REF!="Media",'Mapa final'!#REF!="Leve"),CONCATENATE("R4C",'Mapa final'!#REF!),"")</f>
        <v>#REF!</v>
      </c>
      <c r="K109" s="49" t="e">
        <f>IF(AND('Mapa final'!#REF!="Media",'Mapa final'!#REF!="Leve"),CONCATENATE("R4C",'Mapa final'!#REF!),"")</f>
        <v>#REF!</v>
      </c>
      <c r="L109" s="108" t="e">
        <f>IF(AND('Mapa final'!#REF!="Media",'Mapa final'!#REF!="Leve"),CONCATENATE("R4C",'Mapa final'!#REF!),"")</f>
        <v>#REF!</v>
      </c>
      <c r="M109" s="48" t="e">
        <f>IF(AND('Mapa final'!#REF!="Media",'Mapa final'!#REF!="Menor"),CONCATENATE("R4C",'Mapa final'!#REF!),"")</f>
        <v>#REF!</v>
      </c>
      <c r="N109" s="49" t="e">
        <f>IF(AND('Mapa final'!#REF!="Media",'Mapa final'!#REF!="Menor"),CONCATENATE("R4C",'Mapa final'!#REF!),"")</f>
        <v>#REF!</v>
      </c>
      <c r="O109" s="108" t="e">
        <f>IF(AND('Mapa final'!#REF!="Media",'Mapa final'!#REF!="Menor"),CONCATENATE("R4C",'Mapa final'!#REF!),"")</f>
        <v>#REF!</v>
      </c>
      <c r="P109" s="48" t="e">
        <f>IF(AND('Mapa final'!#REF!="Media",'Mapa final'!#REF!="Moderado"),CONCATENATE("R4C",'Mapa final'!#REF!),"")</f>
        <v>#REF!</v>
      </c>
      <c r="Q109" s="49" t="e">
        <f>IF(AND('Mapa final'!#REF!="Media",'Mapa final'!#REF!="Moderado"),CONCATENATE("R4C",'Mapa final'!#REF!),"")</f>
        <v>#REF!</v>
      </c>
      <c r="R109" s="108" t="e">
        <f>IF(AND('Mapa final'!#REF!="Media",'Mapa final'!#REF!="Moderado"),CONCATENATE("R4C",'Mapa final'!#REF!),"")</f>
        <v>#REF!</v>
      </c>
      <c r="S109" s="102" t="e">
        <f>IF(AND('Mapa final'!#REF!="Media",'Mapa final'!#REF!="Mayor"),CONCATENATE("R4C",'Mapa final'!#REF!),"")</f>
        <v>#REF!</v>
      </c>
      <c r="T109" s="41" t="e">
        <f>IF(AND('Mapa final'!#REF!="Media",'Mapa final'!#REF!="Mayor"),CONCATENATE("R4C",'Mapa final'!#REF!),"")</f>
        <v>#REF!</v>
      </c>
      <c r="U109" s="103" t="e">
        <f>IF(AND('Mapa final'!#REF!="Media",'Mapa final'!#REF!="Mayor"),CONCATENATE("R4C",'Mapa final'!#REF!),"")</f>
        <v>#REF!</v>
      </c>
      <c r="V109" s="42" t="e">
        <f>IF(AND('Mapa final'!#REF!="Media",'Mapa final'!#REF!="Catastrófico"),CONCATENATE("R4C",'Mapa final'!#REF!),"")</f>
        <v>#REF!</v>
      </c>
      <c r="W109" s="43" t="e">
        <f>IF(AND('Mapa final'!#REF!="Media",'Mapa final'!#REF!="Catastrófico"),CONCATENATE("R4C",'Mapa final'!#REF!),"")</f>
        <v>#REF!</v>
      </c>
      <c r="X109" s="97" t="e">
        <f>IF(AND('Mapa final'!#REF!="Media",'Mapa final'!#REF!="Catastrófico"),CONCATENATE("R4C",'Mapa final'!#REF!),"")</f>
        <v>#REF!</v>
      </c>
      <c r="Y109" s="55"/>
      <c r="Z109" s="312"/>
      <c r="AA109" s="313"/>
      <c r="AB109" s="313"/>
      <c r="AC109" s="313"/>
      <c r="AD109" s="313"/>
      <c r="AE109" s="314"/>
      <c r="AF109" s="55"/>
      <c r="AG109" s="55"/>
      <c r="AH109" s="55"/>
      <c r="AI109" s="55"/>
      <c r="AJ109" s="55"/>
      <c r="AK109" s="55"/>
      <c r="AL109" s="55"/>
      <c r="AM109" s="55"/>
      <c r="AN109" s="55"/>
      <c r="AO109" s="55"/>
      <c r="AP109" s="55"/>
      <c r="AQ109" s="55"/>
      <c r="AR109" s="55"/>
      <c r="AS109" s="55"/>
      <c r="AT109" s="55"/>
      <c r="AU109" s="55"/>
      <c r="AV109" s="55"/>
      <c r="AW109" s="55"/>
      <c r="AX109" s="55"/>
      <c r="AY109" s="55"/>
      <c r="AZ109" s="55"/>
      <c r="BA109" s="55"/>
      <c r="BB109" s="55"/>
      <c r="BC109" s="55"/>
      <c r="BD109" s="55"/>
      <c r="BE109" s="55"/>
      <c r="BF109" s="55"/>
      <c r="BG109" s="55"/>
      <c r="BH109" s="55"/>
      <c r="BI109" s="55"/>
    </row>
    <row r="110" spans="1:61" ht="15" customHeight="1" x14ac:dyDescent="0.25">
      <c r="A110" s="55"/>
      <c r="B110" s="301"/>
      <c r="C110" s="301"/>
      <c r="D110" s="302"/>
      <c r="E110" s="279"/>
      <c r="F110" s="274"/>
      <c r="G110" s="274"/>
      <c r="H110" s="274"/>
      <c r="I110" s="274"/>
      <c r="J110" s="48" t="str">
        <f>IF(AND('Mapa final'!$AB$16="Media",'Mapa final'!$AD$16="Leve"),CONCATENATE("R5C",'Mapa final'!$R$16),"")</f>
        <v/>
      </c>
      <c r="K110" s="49" t="str">
        <f>IF(AND('Mapa final'!$AB$17="Media",'Mapa final'!$AD$17="Leve"),CONCATENATE("R5C",'Mapa final'!$R$17),"")</f>
        <v/>
      </c>
      <c r="L110" s="108" t="str">
        <f>IF(AND('Mapa final'!$AB$18="Media",'Mapa final'!$AD$18="Leve"),CONCATENATE("R5C",'Mapa final'!$R$18),"")</f>
        <v/>
      </c>
      <c r="M110" s="48" t="str">
        <f>IF(AND('Mapa final'!$AB$16="Media",'Mapa final'!$AD$16="Menor"),CONCATENATE("R5C",'Mapa final'!$R$16),"")</f>
        <v/>
      </c>
      <c r="N110" s="49" t="str">
        <f>IF(AND('Mapa final'!$AB$17="Media",'Mapa final'!$AD$17="Menor"),CONCATENATE("R5C",'Mapa final'!$R$17),"")</f>
        <v/>
      </c>
      <c r="O110" s="108" t="str">
        <f>IF(AND('Mapa final'!$AB$18="Media",'Mapa final'!$AD$18="Menor"),CONCATENATE("R5C",'Mapa final'!$R$18),"")</f>
        <v/>
      </c>
      <c r="P110" s="48" t="str">
        <f>IF(AND('Mapa final'!$AB$16="Media",'Mapa final'!$AD$16="Moderado"),CONCATENATE("R5C",'Mapa final'!$R$16),"")</f>
        <v>R5C1</v>
      </c>
      <c r="Q110" s="49" t="str">
        <f>IF(AND('Mapa final'!$AB$17="Media",'Mapa final'!$AD$17="Moderado"),CONCATENATE("R5C",'Mapa final'!$R$17),"")</f>
        <v/>
      </c>
      <c r="R110" s="108" t="str">
        <f>IF(AND('Mapa final'!$AB$18="Media",'Mapa final'!$AD$18="Moderado"),CONCATENATE("R5C",'Mapa final'!$R$18),"")</f>
        <v/>
      </c>
      <c r="S110" s="102" t="str">
        <f>IF(AND('Mapa final'!$AB$16="Media",'Mapa final'!$AD$16="Mayor"),CONCATENATE("R5C",'Mapa final'!$R$16),"")</f>
        <v/>
      </c>
      <c r="T110" s="41" t="str">
        <f>IF(AND('Mapa final'!$AB$17="Media",'Mapa final'!$AD$17="Mayor"),CONCATENATE("R5C",'Mapa final'!$R$17),"")</f>
        <v/>
      </c>
      <c r="U110" s="103" t="str">
        <f>IF(AND('Mapa final'!$AB$18="Media",'Mapa final'!$AD$18="Mayor"),CONCATENATE("R5C",'Mapa final'!$R$18),"")</f>
        <v/>
      </c>
      <c r="V110" s="42" t="str">
        <f>IF(AND('Mapa final'!$AB$16="Media",'Mapa final'!$AD$16="Catastrófico"),CONCATENATE("R5C",'Mapa final'!$R$16),"")</f>
        <v/>
      </c>
      <c r="W110" s="43" t="str">
        <f>IF(AND('Mapa final'!$AB$17="Media",'Mapa final'!$AD$17="Catastrófico"),CONCATENATE("R5C",'Mapa final'!$R$17),"")</f>
        <v/>
      </c>
      <c r="X110" s="97" t="str">
        <f>IF(AND('Mapa final'!$AB$18="Media",'Mapa final'!$AD$18="Catastrófico"),CONCATENATE("R5C",'Mapa final'!$R$18),"")</f>
        <v/>
      </c>
      <c r="Y110" s="55"/>
      <c r="Z110" s="312"/>
      <c r="AA110" s="313"/>
      <c r="AB110" s="313"/>
      <c r="AC110" s="313"/>
      <c r="AD110" s="313"/>
      <c r="AE110" s="314"/>
      <c r="AF110" s="55"/>
      <c r="AG110" s="55"/>
      <c r="AH110" s="55"/>
      <c r="AI110" s="55"/>
      <c r="AJ110" s="55"/>
      <c r="AK110" s="55"/>
      <c r="AL110" s="55"/>
      <c r="AM110" s="55"/>
      <c r="AN110" s="55"/>
      <c r="AO110" s="55"/>
      <c r="AP110" s="55"/>
      <c r="AQ110" s="55"/>
      <c r="AR110" s="55"/>
      <c r="AS110" s="55"/>
      <c r="AT110" s="55"/>
      <c r="AU110" s="55"/>
      <c r="AV110" s="55"/>
      <c r="AW110" s="55"/>
      <c r="AX110" s="55"/>
      <c r="AY110" s="55"/>
      <c r="AZ110" s="55"/>
      <c r="BA110" s="55"/>
      <c r="BB110" s="55"/>
      <c r="BC110" s="55"/>
      <c r="BD110" s="55"/>
      <c r="BE110" s="55"/>
      <c r="BF110" s="55"/>
      <c r="BG110" s="55"/>
      <c r="BH110" s="55"/>
      <c r="BI110" s="55"/>
    </row>
    <row r="111" spans="1:61" ht="15" customHeight="1" x14ac:dyDescent="0.25">
      <c r="A111" s="55"/>
      <c r="B111" s="301"/>
      <c r="C111" s="301"/>
      <c r="D111" s="302"/>
      <c r="E111" s="279"/>
      <c r="F111" s="274"/>
      <c r="G111" s="274"/>
      <c r="H111" s="274"/>
      <c r="I111" s="274"/>
      <c r="J111" s="48" t="str">
        <f>IF(AND('Mapa final'!$AB$19="Media",'Mapa final'!$AD$19="Leve"),CONCATENATE("R6C",'Mapa final'!$R$19),"")</f>
        <v/>
      </c>
      <c r="K111" s="49" t="str">
        <f>IF(AND('Mapa final'!$AB$20="Media",'Mapa final'!$AD$20="Leve"),CONCATENATE("R6C",'Mapa final'!$R$20),"")</f>
        <v/>
      </c>
      <c r="L111" s="108" t="str">
        <f>IF(AND('Mapa final'!$AB$21="Media",'Mapa final'!$AD$21="Leve"),CONCATENATE("R6C",'Mapa final'!$R$21),"")</f>
        <v/>
      </c>
      <c r="M111" s="48" t="str">
        <f>IF(AND('Mapa final'!$AB$19="Media",'Mapa final'!$AD$19="Menor"),CONCATENATE("R6C",'Mapa final'!$R$19),"")</f>
        <v/>
      </c>
      <c r="N111" s="49" t="str">
        <f>IF(AND('Mapa final'!$AB$20="Media",'Mapa final'!$AD$20="Menor"),CONCATENATE("R6C",'Mapa final'!$R$20),"")</f>
        <v/>
      </c>
      <c r="O111" s="108" t="str">
        <f>IF(AND('Mapa final'!$AB$21="Media",'Mapa final'!$AD$21="Menor"),CONCATENATE("R6C",'Mapa final'!$R$21),"")</f>
        <v/>
      </c>
      <c r="P111" s="48" t="str">
        <f>IF(AND('Mapa final'!$AB$19="Media",'Mapa final'!$AD$19="Moderado"),CONCATENATE("R6C",'Mapa final'!$R$19),"")</f>
        <v/>
      </c>
      <c r="Q111" s="49" t="str">
        <f>IF(AND('Mapa final'!$AB$20="Media",'Mapa final'!$AD$20="Moderado"),CONCATENATE("R6C",'Mapa final'!$R$20),"")</f>
        <v/>
      </c>
      <c r="R111" s="108" t="str">
        <f>IF(AND('Mapa final'!$AB$21="Media",'Mapa final'!$AD$21="Moderado"),CONCATENATE("R6C",'Mapa final'!$R$21),"")</f>
        <v/>
      </c>
      <c r="S111" s="102" t="str">
        <f>IF(AND('Mapa final'!$AB$19="Media",'Mapa final'!$AD$19="Mayor"),CONCATENATE("R6C",'Mapa final'!$R$19),"")</f>
        <v/>
      </c>
      <c r="T111" s="41" t="str">
        <f>IF(AND('Mapa final'!$AB$20="Media",'Mapa final'!$AD$20="Mayor"),CONCATENATE("R6C",'Mapa final'!$R$20),"")</f>
        <v/>
      </c>
      <c r="U111" s="103" t="str">
        <f>IF(AND('Mapa final'!$AB$21="Media",'Mapa final'!$AD$21="Mayor"),CONCATENATE("R6C",'Mapa final'!$R$21),"")</f>
        <v/>
      </c>
      <c r="V111" s="42" t="str">
        <f>IF(AND('Mapa final'!$AB$19="Media",'Mapa final'!$AD$19="Catastrófico"),CONCATENATE("R6C",'Mapa final'!$R$19),"")</f>
        <v/>
      </c>
      <c r="W111" s="43" t="str">
        <f>IF(AND('Mapa final'!$AB$20="Media",'Mapa final'!$AD$20="Catastrófico"),CONCATENATE("R6C",'Mapa final'!$R$20),"")</f>
        <v/>
      </c>
      <c r="X111" s="97" t="str">
        <f>IF(AND('Mapa final'!$AB$21="Media",'Mapa final'!$AD$21="Catastrófico"),CONCATENATE("R6C",'Mapa final'!$R$21),"")</f>
        <v/>
      </c>
      <c r="Y111" s="55"/>
      <c r="Z111" s="312"/>
      <c r="AA111" s="313"/>
      <c r="AB111" s="313"/>
      <c r="AC111" s="313"/>
      <c r="AD111" s="313"/>
      <c r="AE111" s="314"/>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c r="BI111" s="55"/>
    </row>
    <row r="112" spans="1:61" ht="15" customHeight="1" x14ac:dyDescent="0.25">
      <c r="A112" s="55"/>
      <c r="B112" s="301"/>
      <c r="C112" s="301"/>
      <c r="D112" s="302"/>
      <c r="E112" s="279"/>
      <c r="F112" s="274"/>
      <c r="G112" s="274"/>
      <c r="H112" s="274"/>
      <c r="I112" s="274"/>
      <c r="J112" s="48" t="str">
        <f>IF(AND('Mapa final'!$AB$22="Media",'Mapa final'!$AD$22="Leve"),CONCATENATE("R7C",'Mapa final'!$R$22),"")</f>
        <v/>
      </c>
      <c r="K112" s="49" t="str">
        <f>IF(AND('Mapa final'!$AB$23="Media",'Mapa final'!$AD$23="Leve"),CONCATENATE("R7C",'Mapa final'!$R$23),"")</f>
        <v/>
      </c>
      <c r="L112" s="108" t="str">
        <f>IF(AND('Mapa final'!$AB$24="Media",'Mapa final'!$AD$24="Leve"),CONCATENATE("R7C",'Mapa final'!$R$24),"")</f>
        <v/>
      </c>
      <c r="M112" s="48" t="str">
        <f>IF(AND('Mapa final'!$AB$22="Media",'Mapa final'!$AD$22="Menor"),CONCATENATE("R7C",'Mapa final'!$R$22),"")</f>
        <v/>
      </c>
      <c r="N112" s="49" t="str">
        <f>IF(AND('Mapa final'!$AB$23="Media",'Mapa final'!$AD$23="Menor"),CONCATENATE("R7C",'Mapa final'!$R$23),"")</f>
        <v/>
      </c>
      <c r="O112" s="108" t="str">
        <f>IF(AND('Mapa final'!$AB$24="Media",'Mapa final'!$AD$24="Menor"),CONCATENATE("R7C",'Mapa final'!$R$24),"")</f>
        <v/>
      </c>
      <c r="P112" s="48" t="str">
        <f>IF(AND('Mapa final'!$AB$22="Media",'Mapa final'!$AD$22="Moderado"),CONCATENATE("R7C",'Mapa final'!$R$22),"")</f>
        <v/>
      </c>
      <c r="Q112" s="49" t="str">
        <f>IF(AND('Mapa final'!$AB$23="Media",'Mapa final'!$AD$23="Moderado"),CONCATENATE("R7C",'Mapa final'!$R$23),"")</f>
        <v/>
      </c>
      <c r="R112" s="108" t="str">
        <f>IF(AND('Mapa final'!$AB$24="Media",'Mapa final'!$AD$24="Moderado"),CONCATENATE("R7C",'Mapa final'!$R$24),"")</f>
        <v/>
      </c>
      <c r="S112" s="102" t="str">
        <f>IF(AND('Mapa final'!$AB$22="Media",'Mapa final'!$AD$22="Mayor"),CONCATENATE("R7C",'Mapa final'!$R$22),"")</f>
        <v/>
      </c>
      <c r="T112" s="41" t="str">
        <f>IF(AND('Mapa final'!$AB$23="Media",'Mapa final'!$AD$23="Mayor"),CONCATENATE("R7C",'Mapa final'!$R$23),"")</f>
        <v/>
      </c>
      <c r="U112" s="103" t="str">
        <f>IF(AND('Mapa final'!$AB$24="Media",'Mapa final'!$AD$24="Mayor"),CONCATENATE("R7C",'Mapa final'!$R$24),"")</f>
        <v/>
      </c>
      <c r="V112" s="42" t="str">
        <f>IF(AND('Mapa final'!$AB$22="Media",'Mapa final'!$AD$22="Catastrófico"),CONCATENATE("R7C",'Mapa final'!$R$22),"")</f>
        <v/>
      </c>
      <c r="W112" s="43" t="str">
        <f>IF(AND('Mapa final'!$AB$23="Media",'Mapa final'!$AD$23="Catastrófico"),CONCATENATE("R7C",'Mapa final'!$R$23),"")</f>
        <v/>
      </c>
      <c r="X112" s="97" t="str">
        <f>IF(AND('Mapa final'!$AB$24="Media",'Mapa final'!$AD$24="Catastrófico"),CONCATENATE("R7C",'Mapa final'!$R$24),"")</f>
        <v/>
      </c>
      <c r="Y112" s="55"/>
      <c r="Z112" s="312"/>
      <c r="AA112" s="313"/>
      <c r="AB112" s="313"/>
      <c r="AC112" s="313"/>
      <c r="AD112" s="313"/>
      <c r="AE112" s="314"/>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c r="BI112" s="55"/>
    </row>
    <row r="113" spans="1:61" ht="15" customHeight="1" x14ac:dyDescent="0.25">
      <c r="A113" s="55"/>
      <c r="B113" s="301"/>
      <c r="C113" s="301"/>
      <c r="D113" s="302"/>
      <c r="E113" s="279"/>
      <c r="F113" s="274"/>
      <c r="G113" s="274"/>
      <c r="H113" s="274"/>
      <c r="I113" s="274"/>
      <c r="J113" s="48" t="str">
        <f>IF(AND('Mapa final'!$AB$25="Media",'Mapa final'!$AD$25="Leve"),CONCATENATE("R8C",'Mapa final'!$R$25),"")</f>
        <v/>
      </c>
      <c r="K113" s="49" t="str">
        <f>IF(AND('Mapa final'!$AB$26="Media",'Mapa final'!$AD$26="Leve"),CONCATENATE("R8C",'Mapa final'!$R$26),"")</f>
        <v/>
      </c>
      <c r="L113" s="108" t="str">
        <f>IF(AND('Mapa final'!$AB$27="Media",'Mapa final'!$AD$27="Leve"),CONCATENATE("R8C",'Mapa final'!$R$27),"")</f>
        <v/>
      </c>
      <c r="M113" s="48" t="str">
        <f>IF(AND('Mapa final'!$AB$25="Media",'Mapa final'!$AD$25="Menor"),CONCATENATE("R8C",'Mapa final'!$R$25),"")</f>
        <v/>
      </c>
      <c r="N113" s="49" t="str">
        <f>IF(AND('Mapa final'!$AB$26="Media",'Mapa final'!$AD$26="Menor"),CONCATENATE("R8C",'Mapa final'!$R$26),"")</f>
        <v/>
      </c>
      <c r="O113" s="108" t="str">
        <f>IF(AND('Mapa final'!$AB$27="Media",'Mapa final'!$AD$27="Menor"),CONCATENATE("R8C",'Mapa final'!$R$27),"")</f>
        <v/>
      </c>
      <c r="P113" s="48" t="str">
        <f>IF(AND('Mapa final'!$AB$25="Media",'Mapa final'!$AD$25="Moderado"),CONCATENATE("R8C",'Mapa final'!$R$25),"")</f>
        <v>R8C1</v>
      </c>
      <c r="Q113" s="49" t="str">
        <f>IF(AND('Mapa final'!$AB$26="Media",'Mapa final'!$AD$26="Moderado"),CONCATENATE("R8C",'Mapa final'!$R$26),"")</f>
        <v/>
      </c>
      <c r="R113" s="108" t="str">
        <f>IF(AND('Mapa final'!$AB$27="Media",'Mapa final'!$AD$27="Moderado"),CONCATENATE("R8C",'Mapa final'!$R$27),"")</f>
        <v/>
      </c>
      <c r="S113" s="102" t="str">
        <f>IF(AND('Mapa final'!$AB$25="Media",'Mapa final'!$AD$25="Mayor"),CONCATENATE("R8C",'Mapa final'!$R$25),"")</f>
        <v/>
      </c>
      <c r="T113" s="41" t="str">
        <f>IF(AND('Mapa final'!$AB$26="Media",'Mapa final'!$AD$26="Mayor"),CONCATENATE("R8C",'Mapa final'!$R$26),"")</f>
        <v/>
      </c>
      <c r="U113" s="103" t="str">
        <f>IF(AND('Mapa final'!$AB$27="Media",'Mapa final'!$AD$27="Mayor"),CONCATENATE("R8C",'Mapa final'!$R$27),"")</f>
        <v/>
      </c>
      <c r="V113" s="42" t="str">
        <f>IF(AND('Mapa final'!$AB$25="Media",'Mapa final'!$AD$25="Catastrófico"),CONCATENATE("R8C",'Mapa final'!$R$25),"")</f>
        <v/>
      </c>
      <c r="W113" s="43" t="str">
        <f>IF(AND('Mapa final'!$AB$26="Media",'Mapa final'!$AD$26="Catastrófico"),CONCATENATE("R8C",'Mapa final'!$R$26),"")</f>
        <v/>
      </c>
      <c r="X113" s="97" t="str">
        <f>IF(AND('Mapa final'!$AB$27="Media",'Mapa final'!$AD$27="Catastrófico"),CONCATENATE("R8C",'Mapa final'!$R$27),"")</f>
        <v/>
      </c>
      <c r="Y113" s="55"/>
      <c r="Z113" s="312"/>
      <c r="AA113" s="313"/>
      <c r="AB113" s="313"/>
      <c r="AC113" s="313"/>
      <c r="AD113" s="313"/>
      <c r="AE113" s="314"/>
      <c r="AF113" s="55"/>
      <c r="AG113" s="55"/>
      <c r="AH113" s="55"/>
      <c r="AI113" s="55"/>
      <c r="AJ113" s="55"/>
      <c r="AK113" s="55"/>
      <c r="AL113" s="55"/>
      <c r="AM113" s="55"/>
      <c r="AN113" s="55"/>
      <c r="AO113" s="55"/>
      <c r="AP113" s="55"/>
      <c r="AQ113" s="55"/>
      <c r="AR113" s="55"/>
      <c r="AS113" s="55"/>
      <c r="AT113" s="55"/>
      <c r="AU113" s="55"/>
      <c r="AV113" s="55"/>
      <c r="AW113" s="55"/>
      <c r="AX113" s="55"/>
      <c r="AY113" s="55"/>
      <c r="AZ113" s="55"/>
      <c r="BA113" s="55"/>
      <c r="BB113" s="55"/>
      <c r="BC113" s="55"/>
      <c r="BD113" s="55"/>
      <c r="BE113" s="55"/>
      <c r="BF113" s="55"/>
      <c r="BG113" s="55"/>
      <c r="BH113" s="55"/>
      <c r="BI113" s="55"/>
    </row>
    <row r="114" spans="1:61" ht="15" customHeight="1" x14ac:dyDescent="0.25">
      <c r="A114" s="55"/>
      <c r="B114" s="301"/>
      <c r="C114" s="301"/>
      <c r="D114" s="302"/>
      <c r="E114" s="279"/>
      <c r="F114" s="274"/>
      <c r="G114" s="274"/>
      <c r="H114" s="274"/>
      <c r="I114" s="274"/>
      <c r="J114" s="48" t="str">
        <f>IF(AND('Mapa final'!$AB$28="Media",'Mapa final'!$AD$28="Leve"),CONCATENATE("R9C",'Mapa final'!$R$28),"")</f>
        <v/>
      </c>
      <c r="K114" s="49" t="str">
        <f>IF(AND('Mapa final'!$AB$29="Media",'Mapa final'!$AD$29="Leve"),CONCATENATE("R9C",'Mapa final'!$R$29),"")</f>
        <v/>
      </c>
      <c r="L114" s="108" t="str">
        <f>IF(AND('Mapa final'!$AB$30="Media",'Mapa final'!$AD$30="Leve"),CONCATENATE("R9C",'Mapa final'!$R$30),"")</f>
        <v/>
      </c>
      <c r="M114" s="48" t="str">
        <f>IF(AND('Mapa final'!$AB$28="Media",'Mapa final'!$AD$28="Menor"),CONCATENATE("R9C",'Mapa final'!$R$28),"")</f>
        <v/>
      </c>
      <c r="N114" s="49" t="str">
        <f>IF(AND('Mapa final'!$AB$29="Media",'Mapa final'!$AD$29="Menor"),CONCATENATE("R9C",'Mapa final'!$R$29),"")</f>
        <v/>
      </c>
      <c r="O114" s="108" t="str">
        <f>IF(AND('Mapa final'!$AB$30="Media",'Mapa final'!$AD$30="Menor"),CONCATENATE("R9C",'Mapa final'!$R$30),"")</f>
        <v/>
      </c>
      <c r="P114" s="48" t="str">
        <f>IF(AND('Mapa final'!$AB$28="Media",'Mapa final'!$AD$28="Moderado"),CONCATENATE("R9C",'Mapa final'!$R$28),"")</f>
        <v/>
      </c>
      <c r="Q114" s="49" t="str">
        <f>IF(AND('Mapa final'!$AB$29="Media",'Mapa final'!$AD$29="Moderado"),CONCATENATE("R9C",'Mapa final'!$R$29),"")</f>
        <v/>
      </c>
      <c r="R114" s="108" t="str">
        <f>IF(AND('Mapa final'!$AB$30="Media",'Mapa final'!$AD$30="Moderado"),CONCATENATE("R9C",'Mapa final'!$R$30),"")</f>
        <v/>
      </c>
      <c r="S114" s="102" t="str">
        <f>IF(AND('Mapa final'!$AB$28="Media",'Mapa final'!$AD$28="Mayor"),CONCATENATE("R9C",'Mapa final'!$R$28),"")</f>
        <v>R9C1</v>
      </c>
      <c r="T114" s="41" t="str">
        <f>IF(AND('Mapa final'!$AB$29="Media",'Mapa final'!$AD$29="Mayor"),CONCATENATE("R9C",'Mapa final'!$R$29),"")</f>
        <v/>
      </c>
      <c r="U114" s="103" t="str">
        <f>IF(AND('Mapa final'!$AB$30="Media",'Mapa final'!$AD$30="Mayor"),CONCATENATE("R9C",'Mapa final'!$R$30),"")</f>
        <v/>
      </c>
      <c r="V114" s="42" t="str">
        <f>IF(AND('Mapa final'!$AB$28="Media",'Mapa final'!$AD$28="Catastrófico"),CONCATENATE("R9C",'Mapa final'!$R$28),"")</f>
        <v/>
      </c>
      <c r="W114" s="43" t="str">
        <f>IF(AND('Mapa final'!$AB$29="Media",'Mapa final'!$AD$29="Catastrófico"),CONCATENATE("R9C",'Mapa final'!$R$29),"")</f>
        <v/>
      </c>
      <c r="X114" s="97" t="str">
        <f>IF(AND('Mapa final'!$AB$30="Media",'Mapa final'!$AD$30="Catastrófico"),CONCATENATE("R9C",'Mapa final'!$R$30),"")</f>
        <v/>
      </c>
      <c r="Y114" s="55"/>
      <c r="Z114" s="312"/>
      <c r="AA114" s="313"/>
      <c r="AB114" s="313"/>
      <c r="AC114" s="313"/>
      <c r="AD114" s="313"/>
      <c r="AE114" s="314"/>
      <c r="AF114" s="55"/>
      <c r="AG114" s="55"/>
      <c r="AH114" s="55"/>
      <c r="AI114" s="55"/>
      <c r="AJ114" s="55"/>
      <c r="AK114" s="55"/>
      <c r="AL114" s="55"/>
      <c r="AM114" s="55"/>
      <c r="AN114" s="55"/>
      <c r="AO114" s="55"/>
      <c r="AP114" s="55"/>
      <c r="AQ114" s="55"/>
      <c r="AR114" s="55"/>
      <c r="AS114" s="55"/>
      <c r="AT114" s="55"/>
      <c r="AU114" s="55"/>
      <c r="AV114" s="55"/>
      <c r="AW114" s="55"/>
      <c r="AX114" s="55"/>
      <c r="AY114" s="55"/>
      <c r="AZ114" s="55"/>
      <c r="BA114" s="55"/>
      <c r="BB114" s="55"/>
      <c r="BC114" s="55"/>
      <c r="BD114" s="55"/>
      <c r="BE114" s="55"/>
      <c r="BF114" s="55"/>
      <c r="BG114" s="55"/>
      <c r="BH114" s="55"/>
      <c r="BI114" s="55"/>
    </row>
    <row r="115" spans="1:61" ht="15" customHeight="1" x14ac:dyDescent="0.25">
      <c r="A115" s="55"/>
      <c r="B115" s="301"/>
      <c r="C115" s="301"/>
      <c r="D115" s="302"/>
      <c r="E115" s="279"/>
      <c r="F115" s="274"/>
      <c r="G115" s="274"/>
      <c r="H115" s="274"/>
      <c r="I115" s="274"/>
      <c r="J115" s="48" t="str">
        <f>IF(AND('Mapa final'!$AB$31="Media",'Mapa final'!$AD$31="Leve"),CONCATENATE("R10C",'Mapa final'!$R$31),"")</f>
        <v/>
      </c>
      <c r="K115" s="49" t="str">
        <f>IF(AND('Mapa final'!$AB$32="Media",'Mapa final'!$AD$32="Leve"),CONCATENATE("R10C",'Mapa final'!$R$32),"")</f>
        <v/>
      </c>
      <c r="L115" s="108" t="str">
        <f>IF(AND('Mapa final'!$AB$33="Media",'Mapa final'!$AD$33="Leve"),CONCATENATE("R10C",'Mapa final'!$R$33),"")</f>
        <v/>
      </c>
      <c r="M115" s="48" t="str">
        <f>IF(AND('Mapa final'!$AB$31="Media",'Mapa final'!$AD$31="Menor"),CONCATENATE("R10C",'Mapa final'!$R$31),"")</f>
        <v/>
      </c>
      <c r="N115" s="49" t="str">
        <f>IF(AND('Mapa final'!$AB$32="Media",'Mapa final'!$AD$32="Menor"),CONCATENATE("R10C",'Mapa final'!$R$32),"")</f>
        <v/>
      </c>
      <c r="O115" s="108" t="str">
        <f>IF(AND('Mapa final'!$AB$33="Media",'Mapa final'!$AD$33="Menor"),CONCATENATE("R10C",'Mapa final'!$R$33),"")</f>
        <v/>
      </c>
      <c r="P115" s="48" t="str">
        <f>IF(AND('Mapa final'!$AB$31="Media",'Mapa final'!$AD$31="Moderado"),CONCATENATE("R10C",'Mapa final'!$R$31),"")</f>
        <v>R10C1</v>
      </c>
      <c r="Q115" s="49" t="str">
        <f>IF(AND('Mapa final'!$AB$32="Media",'Mapa final'!$AD$32="Moderado"),CONCATENATE("R10C",'Mapa final'!$R$32),"")</f>
        <v/>
      </c>
      <c r="R115" s="108" t="str">
        <f>IF(AND('Mapa final'!$AB$33="Media",'Mapa final'!$AD$33="Moderado"),CONCATENATE("R10C",'Mapa final'!$R$33),"")</f>
        <v/>
      </c>
      <c r="S115" s="102" t="str">
        <f>IF(AND('Mapa final'!$AB$31="Media",'Mapa final'!$AD$31="Mayor"),CONCATENATE("R10C",'Mapa final'!$R$31),"")</f>
        <v/>
      </c>
      <c r="T115" s="41" t="str">
        <f>IF(AND('Mapa final'!$AB$32="Media",'Mapa final'!$AD$32="Mayor"),CONCATENATE("R10C",'Mapa final'!$R$32),"")</f>
        <v/>
      </c>
      <c r="U115" s="103" t="str">
        <f>IF(AND('Mapa final'!$AB$33="Media",'Mapa final'!$AD$33="Mayor"),CONCATENATE("R10C",'Mapa final'!$R$33),"")</f>
        <v/>
      </c>
      <c r="V115" s="42" t="str">
        <f>IF(AND('Mapa final'!$AB$31="Media",'Mapa final'!$AD$31="Catastrófico"),CONCATENATE("R10C",'Mapa final'!$R$31),"")</f>
        <v/>
      </c>
      <c r="W115" s="43" t="str">
        <f>IF(AND('Mapa final'!$AB$32="Media",'Mapa final'!$AD$32="Catastrófico"),CONCATENATE("R10C",'Mapa final'!$R$32),"")</f>
        <v/>
      </c>
      <c r="X115" s="97" t="str">
        <f>IF(AND('Mapa final'!$AB$33="Media",'Mapa final'!$AD$33="Catastrófico"),CONCATENATE("R10C",'Mapa final'!$R$33),"")</f>
        <v/>
      </c>
      <c r="Y115" s="55"/>
      <c r="Z115" s="312"/>
      <c r="AA115" s="313"/>
      <c r="AB115" s="313"/>
      <c r="AC115" s="313"/>
      <c r="AD115" s="313"/>
      <c r="AE115" s="314"/>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c r="BI115" s="55"/>
    </row>
    <row r="116" spans="1:61" ht="15" customHeight="1" x14ac:dyDescent="0.25">
      <c r="A116" s="55"/>
      <c r="B116" s="301"/>
      <c r="C116" s="301"/>
      <c r="D116" s="302"/>
      <c r="E116" s="279"/>
      <c r="F116" s="274"/>
      <c r="G116" s="274"/>
      <c r="H116" s="274"/>
      <c r="I116" s="274"/>
      <c r="J116" s="48" t="str">
        <f>IF(AND('Mapa final'!$AB$34="Media",'Mapa final'!$AD$34="Leve"),CONCATENATE("R11C",'Mapa final'!$R$34),"")</f>
        <v/>
      </c>
      <c r="K116" s="49" t="str">
        <f>IF(AND('Mapa final'!$AB$35="Media",'Mapa final'!$AD$35="Leve"),CONCATENATE("R11C",'Mapa final'!$R$35),"")</f>
        <v/>
      </c>
      <c r="L116" s="108" t="str">
        <f>IF(AND('Mapa final'!$AB$36="Media",'Mapa final'!$AD$36="Leve"),CONCATENATE("R11C",'Mapa final'!$R$36),"")</f>
        <v/>
      </c>
      <c r="M116" s="48" t="str">
        <f>IF(AND('Mapa final'!$AB$34="Media",'Mapa final'!$AD$34="Menor"),CONCATENATE("R11C",'Mapa final'!$R$34),"")</f>
        <v/>
      </c>
      <c r="N116" s="49" t="str">
        <f>IF(AND('Mapa final'!$AB$35="Media",'Mapa final'!$AD$35="Menor"),CONCATENATE("R11C",'Mapa final'!$R$35),"")</f>
        <v/>
      </c>
      <c r="O116" s="108" t="str">
        <f>IF(AND('Mapa final'!$AB$36="Media",'Mapa final'!$AD$36="Menor"),CONCATENATE("R11C",'Mapa final'!$R$36),"")</f>
        <v/>
      </c>
      <c r="P116" s="48" t="str">
        <f>IF(AND('Mapa final'!$AB$34="Media",'Mapa final'!$AD$34="Moderado"),CONCATENATE("R11C",'Mapa final'!$R$34),"")</f>
        <v/>
      </c>
      <c r="Q116" s="49" t="str">
        <f>IF(AND('Mapa final'!$AB$35="Media",'Mapa final'!$AD$35="Moderado"),CONCATENATE("R11C",'Mapa final'!$R$35),"")</f>
        <v/>
      </c>
      <c r="R116" s="108" t="str">
        <f>IF(AND('Mapa final'!$AB$36="Media",'Mapa final'!$AD$36="Moderado"),CONCATENATE("R11C",'Mapa final'!$R$36),"")</f>
        <v/>
      </c>
      <c r="S116" s="102" t="str">
        <f>IF(AND('Mapa final'!$AB$34="Media",'Mapa final'!$AD$34="Mayor"),CONCATENATE("R11C",'Mapa final'!$R$34),"")</f>
        <v/>
      </c>
      <c r="T116" s="41" t="str">
        <f>IF(AND('Mapa final'!$AB$35="Media",'Mapa final'!$AD$35="Mayor"),CONCATENATE("R11C",'Mapa final'!$R$35),"")</f>
        <v/>
      </c>
      <c r="U116" s="103" t="str">
        <f>IF(AND('Mapa final'!$AB$36="Media",'Mapa final'!$AD$36="Mayor"),CONCATENATE("R11C",'Mapa final'!$R$36),"")</f>
        <v/>
      </c>
      <c r="V116" s="42" t="str">
        <f>IF(AND('Mapa final'!$AB$34="Media",'Mapa final'!$AD$34="Catastrófico"),CONCATENATE("R11C",'Mapa final'!$R$34),"")</f>
        <v/>
      </c>
      <c r="W116" s="43" t="str">
        <f>IF(AND('Mapa final'!$AB$35="Media",'Mapa final'!$AD$35="Catastrófico"),CONCATENATE("R11C",'Mapa final'!$R$35),"")</f>
        <v/>
      </c>
      <c r="X116" s="97" t="str">
        <f>IF(AND('Mapa final'!$AB$36="Media",'Mapa final'!$AD$36="Catastrófico"),CONCATENATE("R11C",'Mapa final'!$R$36),"")</f>
        <v/>
      </c>
      <c r="Y116" s="55"/>
      <c r="Z116" s="312"/>
      <c r="AA116" s="313"/>
      <c r="AB116" s="313"/>
      <c r="AC116" s="313"/>
      <c r="AD116" s="313"/>
      <c r="AE116" s="314"/>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c r="BI116" s="55"/>
    </row>
    <row r="117" spans="1:61" ht="15" customHeight="1" x14ac:dyDescent="0.25">
      <c r="A117" s="55"/>
      <c r="B117" s="301"/>
      <c r="C117" s="301"/>
      <c r="D117" s="302"/>
      <c r="E117" s="279"/>
      <c r="F117" s="274"/>
      <c r="G117" s="274"/>
      <c r="H117" s="274"/>
      <c r="I117" s="274"/>
      <c r="J117" s="48" t="str">
        <f>IF(AND('Mapa final'!$AB$37="Media",'Mapa final'!$AD$37="Leve"),CONCATENATE("R12C",'Mapa final'!$R$37),"")</f>
        <v/>
      </c>
      <c r="K117" s="49" t="str">
        <f>IF(AND('Mapa final'!$AB$38="Media",'Mapa final'!$AD$38="Leve"),CONCATENATE("R12C",'Mapa final'!$R$38),"")</f>
        <v/>
      </c>
      <c r="L117" s="108" t="str">
        <f>IF(AND('Mapa final'!$AB$39="Media",'Mapa final'!$AD$39="Leve"),CONCATENATE("R12C",'Mapa final'!$R$39),"")</f>
        <v/>
      </c>
      <c r="M117" s="48" t="str">
        <f>IF(AND('Mapa final'!$AB$37="Media",'Mapa final'!$AD$37="Menor"),CONCATENATE("R12C",'Mapa final'!$R$37),"")</f>
        <v/>
      </c>
      <c r="N117" s="49" t="str">
        <f>IF(AND('Mapa final'!$AB$38="Media",'Mapa final'!$AD$38="Menor"),CONCATENATE("R12C",'Mapa final'!$R$38),"")</f>
        <v/>
      </c>
      <c r="O117" s="108" t="str">
        <f>IF(AND('Mapa final'!$AB$39="Media",'Mapa final'!$AD$39="Menor"),CONCATENATE("R12C",'Mapa final'!$R$39),"")</f>
        <v/>
      </c>
      <c r="P117" s="48" t="str">
        <f>IF(AND('Mapa final'!$AB$37="Media",'Mapa final'!$AD$37="Moderado"),CONCATENATE("R12C",'Mapa final'!$R$37),"")</f>
        <v/>
      </c>
      <c r="Q117" s="49" t="str">
        <f>IF(AND('Mapa final'!$AB$38="Media",'Mapa final'!$AD$38="Moderado"),CONCATENATE("R12C",'Mapa final'!$R$38),"")</f>
        <v/>
      </c>
      <c r="R117" s="108" t="str">
        <f>IF(AND('Mapa final'!$AB$39="Media",'Mapa final'!$AD$39="Moderado"),CONCATENATE("R12C",'Mapa final'!$R$39),"")</f>
        <v/>
      </c>
      <c r="S117" s="102" t="str">
        <f>IF(AND('Mapa final'!$AB$37="Media",'Mapa final'!$AD$37="Mayor"),CONCATENATE("R12C",'Mapa final'!$R$37),"")</f>
        <v/>
      </c>
      <c r="T117" s="41" t="str">
        <f>IF(AND('Mapa final'!$AB$38="Media",'Mapa final'!$AD$38="Mayor"),CONCATENATE("R12C",'Mapa final'!$R$38),"")</f>
        <v/>
      </c>
      <c r="U117" s="103" t="str">
        <f>IF(AND('Mapa final'!$AB$39="Media",'Mapa final'!$AD$39="Mayor"),CONCATENATE("R12C",'Mapa final'!$R$39),"")</f>
        <v/>
      </c>
      <c r="V117" s="42" t="str">
        <f>IF(AND('Mapa final'!$AB$37="Media",'Mapa final'!$AD$37="Catastrófico"),CONCATENATE("R12C",'Mapa final'!$R$37),"")</f>
        <v/>
      </c>
      <c r="W117" s="43" t="str">
        <f>IF(AND('Mapa final'!$AB$38="Media",'Mapa final'!$AD$38="Catastrófico"),CONCATENATE("R12C",'Mapa final'!$R$38),"")</f>
        <v/>
      </c>
      <c r="X117" s="97" t="str">
        <f>IF(AND('Mapa final'!$AB$39="Media",'Mapa final'!$AD$39="Catastrófico"),CONCATENATE("R12C",'Mapa final'!$R$39),"")</f>
        <v/>
      </c>
      <c r="Y117" s="55"/>
      <c r="Z117" s="312"/>
      <c r="AA117" s="313"/>
      <c r="AB117" s="313"/>
      <c r="AC117" s="313"/>
      <c r="AD117" s="313"/>
      <c r="AE117" s="314"/>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c r="BH117" s="55"/>
      <c r="BI117" s="55"/>
    </row>
    <row r="118" spans="1:61" ht="15" customHeight="1" x14ac:dyDescent="0.25">
      <c r="A118" s="55"/>
      <c r="B118" s="301"/>
      <c r="C118" s="301"/>
      <c r="D118" s="302"/>
      <c r="E118" s="279"/>
      <c r="F118" s="274"/>
      <c r="G118" s="274"/>
      <c r="H118" s="274"/>
      <c r="I118" s="274"/>
      <c r="J118" s="48" t="str">
        <f>IF(AND('Mapa final'!$AB$40="Media",'Mapa final'!$AD$40="Leve"),CONCATENATE("R13C",'Mapa final'!$R$40),"")</f>
        <v/>
      </c>
      <c r="K118" s="49" t="str">
        <f>IF(AND('Mapa final'!$AB$41="Media",'Mapa final'!$AD$41="Leve"),CONCATENATE("R13C",'Mapa final'!$R$41),"")</f>
        <v/>
      </c>
      <c r="L118" s="108" t="str">
        <f>IF(AND('Mapa final'!$AB$42="Media",'Mapa final'!$AD$42="Leve"),CONCATENATE("R13C",'Mapa final'!$R$42),"")</f>
        <v/>
      </c>
      <c r="M118" s="48" t="str">
        <f>IF(AND('Mapa final'!$AB$40="Media",'Mapa final'!$AD$40="Menor"),CONCATENATE("R13C",'Mapa final'!$R$40),"")</f>
        <v/>
      </c>
      <c r="N118" s="49" t="str">
        <f>IF(AND('Mapa final'!$AB$41="Media",'Mapa final'!$AD$41="Menor"),CONCATENATE("R13C",'Mapa final'!$R$41),"")</f>
        <v/>
      </c>
      <c r="O118" s="108" t="str">
        <f>IF(AND('Mapa final'!$AB$42="Media",'Mapa final'!$AD$42="Menor"),CONCATENATE("R13C",'Mapa final'!$R$42),"")</f>
        <v/>
      </c>
      <c r="P118" s="48" t="str">
        <f>IF(AND('Mapa final'!$AB$40="Media",'Mapa final'!$AD$40="Moderado"),CONCATENATE("R13C",'Mapa final'!$R$40),"")</f>
        <v/>
      </c>
      <c r="Q118" s="49" t="str">
        <f>IF(AND('Mapa final'!$AB$41="Media",'Mapa final'!$AD$41="Moderado"),CONCATENATE("R13C",'Mapa final'!$R$41),"")</f>
        <v/>
      </c>
      <c r="R118" s="108" t="str">
        <f>IF(AND('Mapa final'!$AB$42="Media",'Mapa final'!$AD$42="Moderado"),CONCATENATE("R13C",'Mapa final'!$R$42),"")</f>
        <v/>
      </c>
      <c r="S118" s="102" t="str">
        <f>IF(AND('Mapa final'!$AB$40="Media",'Mapa final'!$AD$40="Mayor"),CONCATENATE("R13C",'Mapa final'!$R$40),"")</f>
        <v/>
      </c>
      <c r="T118" s="41" t="str">
        <f>IF(AND('Mapa final'!$AB$41="Media",'Mapa final'!$AD$41="Mayor"),CONCATENATE("R13C",'Mapa final'!$R$41),"")</f>
        <v/>
      </c>
      <c r="U118" s="103" t="str">
        <f>IF(AND('Mapa final'!$AB$42="Media",'Mapa final'!$AD$42="Mayor"),CONCATENATE("R13C",'Mapa final'!$R$42),"")</f>
        <v/>
      </c>
      <c r="V118" s="42" t="str">
        <f>IF(AND('Mapa final'!$AB$40="Media",'Mapa final'!$AD$40="Catastrófico"),CONCATENATE("R13C",'Mapa final'!$R$40),"")</f>
        <v/>
      </c>
      <c r="W118" s="43" t="str">
        <f>IF(AND('Mapa final'!$AB$41="Media",'Mapa final'!$AD$41="Catastrófico"),CONCATENATE("R13C",'Mapa final'!$R$41),"")</f>
        <v/>
      </c>
      <c r="X118" s="97" t="str">
        <f>IF(AND('Mapa final'!$AB$42="Media",'Mapa final'!$AD$42="Catastrófico"),CONCATENATE("R13C",'Mapa final'!$R$42),"")</f>
        <v/>
      </c>
      <c r="Y118" s="55"/>
      <c r="Z118" s="312"/>
      <c r="AA118" s="313"/>
      <c r="AB118" s="313"/>
      <c r="AC118" s="313"/>
      <c r="AD118" s="313"/>
      <c r="AE118" s="314"/>
      <c r="AF118" s="55"/>
      <c r="AG118" s="55"/>
      <c r="AH118" s="55"/>
      <c r="AI118" s="55"/>
      <c r="AJ118" s="55"/>
      <c r="AK118" s="55"/>
      <c r="AL118" s="55"/>
      <c r="AM118" s="55"/>
      <c r="AN118" s="55"/>
      <c r="AO118" s="55"/>
      <c r="AP118" s="55"/>
      <c r="AQ118" s="55"/>
      <c r="AR118" s="55"/>
      <c r="AS118" s="55"/>
      <c r="AT118" s="55"/>
      <c r="AU118" s="55"/>
      <c r="AV118" s="55"/>
      <c r="AW118" s="55"/>
      <c r="AX118" s="55"/>
      <c r="AY118" s="55"/>
      <c r="AZ118" s="55"/>
      <c r="BA118" s="55"/>
      <c r="BB118" s="55"/>
      <c r="BC118" s="55"/>
      <c r="BD118" s="55"/>
      <c r="BE118" s="55"/>
      <c r="BF118" s="55"/>
      <c r="BG118" s="55"/>
      <c r="BH118" s="55"/>
      <c r="BI118" s="55"/>
    </row>
    <row r="119" spans="1:61" ht="15" customHeight="1" x14ac:dyDescent="0.25">
      <c r="A119" s="55"/>
      <c r="B119" s="301"/>
      <c r="C119" s="301"/>
      <c r="D119" s="302"/>
      <c r="E119" s="279"/>
      <c r="F119" s="274"/>
      <c r="G119" s="274"/>
      <c r="H119" s="274"/>
      <c r="I119" s="274"/>
      <c r="J119" s="48" t="str">
        <f>IF(AND('Mapa final'!$AB$43="Media",'Mapa final'!$AD$43="Leve"),CONCATENATE("R14C",'Mapa final'!$R$43),"")</f>
        <v/>
      </c>
      <c r="K119" s="49" t="str">
        <f>IF(AND('Mapa final'!$AB$44="Media",'Mapa final'!$AD$44="Leve"),CONCATENATE("R14C",'Mapa final'!$R$44),"")</f>
        <v/>
      </c>
      <c r="L119" s="108" t="str">
        <f>IF(AND('Mapa final'!$AB$45="Media",'Mapa final'!$AD$45="Leve"),CONCATENATE("R14C",'Mapa final'!$R$45),"")</f>
        <v/>
      </c>
      <c r="M119" s="48" t="str">
        <f>IF(AND('Mapa final'!$AB$43="Media",'Mapa final'!$AD$43="Menor"),CONCATENATE("R14C",'Mapa final'!$R$43),"")</f>
        <v/>
      </c>
      <c r="N119" s="49" t="str">
        <f>IF(AND('Mapa final'!$AB$44="Media",'Mapa final'!$AD$44="Menor"),CONCATENATE("R14C",'Mapa final'!$R$44),"")</f>
        <v/>
      </c>
      <c r="O119" s="108" t="str">
        <f>IF(AND('Mapa final'!$AB$45="Media",'Mapa final'!$AD$45="Menor"),CONCATENATE("R14C",'Mapa final'!$R$45),"")</f>
        <v/>
      </c>
      <c r="P119" s="48" t="str">
        <f>IF(AND('Mapa final'!$AB$43="Media",'Mapa final'!$AD$43="Moderado"),CONCATENATE("R14C",'Mapa final'!$R$43),"")</f>
        <v/>
      </c>
      <c r="Q119" s="49" t="str">
        <f>IF(AND('Mapa final'!$AB$44="Media",'Mapa final'!$AD$44="Moderado"),CONCATENATE("R14C",'Mapa final'!$R$44),"")</f>
        <v/>
      </c>
      <c r="R119" s="108" t="str">
        <f>IF(AND('Mapa final'!$AB$45="Media",'Mapa final'!$AD$45="Moderado"),CONCATENATE("R14C",'Mapa final'!$R$45),"")</f>
        <v/>
      </c>
      <c r="S119" s="102" t="str">
        <f>IF(AND('Mapa final'!$AB$43="Media",'Mapa final'!$AD$43="Mayor"),CONCATENATE("R14C",'Mapa final'!$R$43),"")</f>
        <v/>
      </c>
      <c r="T119" s="41" t="str">
        <f>IF(AND('Mapa final'!$AB$44="Media",'Mapa final'!$AD$44="Mayor"),CONCATENATE("R14C",'Mapa final'!$R$44),"")</f>
        <v/>
      </c>
      <c r="U119" s="103" t="str">
        <f>IF(AND('Mapa final'!$AB$45="Media",'Mapa final'!$AD$45="Mayor"),CONCATENATE("R14C",'Mapa final'!$R$45),"")</f>
        <v/>
      </c>
      <c r="V119" s="42" t="str">
        <f>IF(AND('Mapa final'!$AB$43="Media",'Mapa final'!$AD$43="Catastrófico"),CONCATENATE("R14C",'Mapa final'!$R$43),"")</f>
        <v/>
      </c>
      <c r="W119" s="43" t="str">
        <f>IF(AND('Mapa final'!$AB$44="Media",'Mapa final'!$AD$44="Catastrófico"),CONCATENATE("R14C",'Mapa final'!$R$44),"")</f>
        <v/>
      </c>
      <c r="X119" s="97" t="str">
        <f>IF(AND('Mapa final'!$AB$45="Media",'Mapa final'!$AD$45="Catastrófico"),CONCATENATE("R14C",'Mapa final'!$R$45),"")</f>
        <v/>
      </c>
      <c r="Y119" s="55"/>
      <c r="Z119" s="312"/>
      <c r="AA119" s="313"/>
      <c r="AB119" s="313"/>
      <c r="AC119" s="313"/>
      <c r="AD119" s="313"/>
      <c r="AE119" s="314"/>
      <c r="AF119" s="55"/>
      <c r="AG119" s="55"/>
      <c r="AH119" s="55"/>
      <c r="AI119" s="55"/>
      <c r="AJ119" s="55"/>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c r="BI119" s="55"/>
    </row>
    <row r="120" spans="1:61" ht="15" customHeight="1" x14ac:dyDescent="0.25">
      <c r="A120" s="55"/>
      <c r="B120" s="301"/>
      <c r="C120" s="301"/>
      <c r="D120" s="302"/>
      <c r="E120" s="279"/>
      <c r="F120" s="274"/>
      <c r="G120" s="274"/>
      <c r="H120" s="274"/>
      <c r="I120" s="274"/>
      <c r="J120" s="48" t="str">
        <f>IF(AND('Mapa final'!$AB$46="Media",'Mapa final'!$AD$46="Leve"),CONCATENATE("R15C",'Mapa final'!$R$46),"")</f>
        <v/>
      </c>
      <c r="K120" s="49" t="str">
        <f>IF(AND('Mapa final'!$AB$47="Media",'Mapa final'!$AD$47="Leve"),CONCATENATE("R15C",'Mapa final'!$R$47),"")</f>
        <v/>
      </c>
      <c r="L120" s="108" t="str">
        <f>IF(AND('Mapa final'!$AB$48="Media",'Mapa final'!$AD$48="Leve"),CONCATENATE("R15C",'Mapa final'!$R$48),"")</f>
        <v/>
      </c>
      <c r="M120" s="48" t="str">
        <f>IF(AND('Mapa final'!$AB$46="Media",'Mapa final'!$AD$46="Menor"),CONCATENATE("R15C",'Mapa final'!$R$46),"")</f>
        <v/>
      </c>
      <c r="N120" s="49" t="str">
        <f>IF(AND('Mapa final'!$AB$47="Media",'Mapa final'!$AD$47="Menor"),CONCATENATE("R15C",'Mapa final'!$R$47),"")</f>
        <v/>
      </c>
      <c r="O120" s="108" t="str">
        <f>IF(AND('Mapa final'!$AB$48="Media",'Mapa final'!$AD$48="Menor"),CONCATENATE("R15C",'Mapa final'!$R$48),"")</f>
        <v/>
      </c>
      <c r="P120" s="48" t="str">
        <f>IF(AND('Mapa final'!$AB$46="Media",'Mapa final'!$AD$46="Moderado"),CONCATENATE("R15C",'Mapa final'!$R$46),"")</f>
        <v>R15C1</v>
      </c>
      <c r="Q120" s="49" t="str">
        <f>IF(AND('Mapa final'!$AB$47="Media",'Mapa final'!$AD$47="Moderado"),CONCATENATE("R15C",'Mapa final'!$R$47),"")</f>
        <v/>
      </c>
      <c r="R120" s="108" t="str">
        <f>IF(AND('Mapa final'!$AB$48="Media",'Mapa final'!$AD$48="Moderado"),CONCATENATE("R15C",'Mapa final'!$R$48),"")</f>
        <v/>
      </c>
      <c r="S120" s="102" t="str">
        <f>IF(AND('Mapa final'!$AB$46="Media",'Mapa final'!$AD$46="Mayor"),CONCATENATE("R15C",'Mapa final'!$R$46),"")</f>
        <v/>
      </c>
      <c r="T120" s="41" t="str">
        <f>IF(AND('Mapa final'!$AB$47="Media",'Mapa final'!$AD$47="Mayor"),CONCATENATE("R15C",'Mapa final'!$R$47),"")</f>
        <v/>
      </c>
      <c r="U120" s="103" t="str">
        <f>IF(AND('Mapa final'!$AB$48="Media",'Mapa final'!$AD$48="Mayor"),CONCATENATE("R15C",'Mapa final'!$R$48),"")</f>
        <v/>
      </c>
      <c r="V120" s="42" t="str">
        <f>IF(AND('Mapa final'!$AB$46="Media",'Mapa final'!$AD$46="Catastrófico"),CONCATENATE("R15C",'Mapa final'!$R$46),"")</f>
        <v/>
      </c>
      <c r="W120" s="43" t="str">
        <f>IF(AND('Mapa final'!$AB$47="Media",'Mapa final'!$AD$47="Catastrófico"),CONCATENATE("R15C",'Mapa final'!$R$47),"")</f>
        <v/>
      </c>
      <c r="X120" s="97" t="str">
        <f>IF(AND('Mapa final'!$AB$48="Media",'Mapa final'!$AD$48="Catastrófico"),CONCATENATE("R15C",'Mapa final'!$R$48),"")</f>
        <v/>
      </c>
      <c r="Y120" s="55"/>
      <c r="Z120" s="312"/>
      <c r="AA120" s="313"/>
      <c r="AB120" s="313"/>
      <c r="AC120" s="313"/>
      <c r="AD120" s="313"/>
      <c r="AE120" s="314"/>
      <c r="AF120" s="55"/>
      <c r="AG120" s="55"/>
      <c r="AH120" s="55"/>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c r="BI120" s="55"/>
    </row>
    <row r="121" spans="1:61" ht="15" customHeight="1" x14ac:dyDescent="0.25">
      <c r="A121" s="55"/>
      <c r="B121" s="301"/>
      <c r="C121" s="301"/>
      <c r="D121" s="302"/>
      <c r="E121" s="279"/>
      <c r="F121" s="274"/>
      <c r="G121" s="274"/>
      <c r="H121" s="274"/>
      <c r="I121" s="274"/>
      <c r="J121" s="48" t="str">
        <f>IF(AND('Mapa final'!$AB$49="Media",'Mapa final'!$AD$49="Leve"),CONCATENATE("R16C",'Mapa final'!$R$49),"")</f>
        <v/>
      </c>
      <c r="K121" s="49" t="str">
        <f>IF(AND('Mapa final'!$AB$50="Media",'Mapa final'!$AD$50="Leve"),CONCATENATE("R16C",'Mapa final'!$R$50),"")</f>
        <v/>
      </c>
      <c r="L121" s="108" t="str">
        <f>IF(AND('Mapa final'!$AB$51="Media",'Mapa final'!$AD$51="Leve"),CONCATENATE("R16C",'Mapa final'!$R$51),"")</f>
        <v/>
      </c>
      <c r="M121" s="48" t="str">
        <f>IF(AND('Mapa final'!$AB$49="Media",'Mapa final'!$AD$49="Menor"),CONCATENATE("R16C",'Mapa final'!$R$49),"")</f>
        <v/>
      </c>
      <c r="N121" s="49" t="str">
        <f>IF(AND('Mapa final'!$AB$50="Media",'Mapa final'!$AD$50="Menor"),CONCATENATE("R16C",'Mapa final'!$R$50),"")</f>
        <v/>
      </c>
      <c r="O121" s="108" t="str">
        <f>IF(AND('Mapa final'!$AB$51="Media",'Mapa final'!$AD$51="Menor"),CONCATENATE("R16C",'Mapa final'!$R$51),"")</f>
        <v/>
      </c>
      <c r="P121" s="48" t="str">
        <f>IF(AND('Mapa final'!$AB$49="Media",'Mapa final'!$AD$49="Moderado"),CONCATENATE("R16C",'Mapa final'!$R$49),"")</f>
        <v/>
      </c>
      <c r="Q121" s="49" t="str">
        <f>IF(AND('Mapa final'!$AB$50="Media",'Mapa final'!$AD$50="Moderado"),CONCATENATE("R16C",'Mapa final'!$R$50),"")</f>
        <v/>
      </c>
      <c r="R121" s="108" t="str">
        <f>IF(AND('Mapa final'!$AB$51="Media",'Mapa final'!$AD$51="Moderado"),CONCATENATE("R16C",'Mapa final'!$R$51),"")</f>
        <v/>
      </c>
      <c r="S121" s="102" t="str">
        <f>IF(AND('Mapa final'!$AB$49="Media",'Mapa final'!$AD$49="Mayor"),CONCATENATE("R16C",'Mapa final'!$R$49),"")</f>
        <v/>
      </c>
      <c r="T121" s="41" t="str">
        <f>IF(AND('Mapa final'!$AB$50="Media",'Mapa final'!$AD$50="Mayor"),CONCATENATE("R16C",'Mapa final'!$R$50),"")</f>
        <v/>
      </c>
      <c r="U121" s="103" t="str">
        <f>IF(AND('Mapa final'!$AB$51="Media",'Mapa final'!$AD$51="Mayor"),CONCATENATE("R16C",'Mapa final'!$R$51),"")</f>
        <v/>
      </c>
      <c r="V121" s="42" t="str">
        <f>IF(AND('Mapa final'!$AB$49="Media",'Mapa final'!$AD$49="Catastrófico"),CONCATENATE("R16C",'Mapa final'!$R$49),"")</f>
        <v/>
      </c>
      <c r="W121" s="43" t="str">
        <f>IF(AND('Mapa final'!$AB$50="Media",'Mapa final'!$AD$50="Catastrófico"),CONCATENATE("R16C",'Mapa final'!$R$50),"")</f>
        <v/>
      </c>
      <c r="X121" s="97" t="str">
        <f>IF(AND('Mapa final'!$AB$51="Media",'Mapa final'!$AD$51="Catastrófico"),CONCATENATE("R16C",'Mapa final'!$R$51),"")</f>
        <v/>
      </c>
      <c r="Y121" s="55"/>
      <c r="Z121" s="312"/>
      <c r="AA121" s="313"/>
      <c r="AB121" s="313"/>
      <c r="AC121" s="313"/>
      <c r="AD121" s="313"/>
      <c r="AE121" s="314"/>
      <c r="AF121" s="55"/>
      <c r="AG121" s="55"/>
      <c r="AH121" s="55"/>
      <c r="AI121" s="55"/>
      <c r="AJ121" s="55"/>
      <c r="AK121" s="55"/>
      <c r="AL121" s="55"/>
      <c r="AM121" s="55"/>
      <c r="AN121" s="55"/>
      <c r="AO121" s="55"/>
      <c r="AP121" s="55"/>
      <c r="AQ121" s="55"/>
      <c r="AR121" s="55"/>
      <c r="AS121" s="55"/>
      <c r="AT121" s="55"/>
      <c r="AU121" s="55"/>
      <c r="AV121" s="55"/>
      <c r="AW121" s="55"/>
      <c r="AX121" s="55"/>
      <c r="AY121" s="55"/>
      <c r="AZ121" s="55"/>
      <c r="BA121" s="55"/>
      <c r="BB121" s="55"/>
      <c r="BC121" s="55"/>
      <c r="BD121" s="55"/>
      <c r="BE121" s="55"/>
      <c r="BF121" s="55"/>
      <c r="BG121" s="55"/>
      <c r="BH121" s="55"/>
      <c r="BI121" s="55"/>
    </row>
    <row r="122" spans="1:61" ht="15" customHeight="1" x14ac:dyDescent="0.25">
      <c r="A122" s="55"/>
      <c r="B122" s="301"/>
      <c r="C122" s="301"/>
      <c r="D122" s="302"/>
      <c r="E122" s="279"/>
      <c r="F122" s="274"/>
      <c r="G122" s="274"/>
      <c r="H122" s="274"/>
      <c r="I122" s="274"/>
      <c r="J122" s="48" t="str">
        <f>IF(AND('Mapa final'!$AB$52="Media",'Mapa final'!$AD$52="Leve"),CONCATENATE("R17C",'Mapa final'!$R$52),"")</f>
        <v/>
      </c>
      <c r="K122" s="49" t="str">
        <f>IF(AND('Mapa final'!$AB$53="Media",'Mapa final'!$AD$53="Leve"),CONCATENATE("R17C",'Mapa final'!$R$53),"")</f>
        <v/>
      </c>
      <c r="L122" s="108" t="str">
        <f>IF(AND('Mapa final'!$AB$54="Media",'Mapa final'!$AD$54="Leve"),CONCATENATE("R17C",'Mapa final'!$R$54),"")</f>
        <v/>
      </c>
      <c r="M122" s="48" t="str">
        <f>IF(AND('Mapa final'!$AB$52="Media",'Mapa final'!$AD$52="Menor"),CONCATENATE("R17C",'Mapa final'!$R$52),"")</f>
        <v/>
      </c>
      <c r="N122" s="49" t="str">
        <f>IF(AND('Mapa final'!$AB$53="Media",'Mapa final'!$AD$53="Menor"),CONCATENATE("R17C",'Mapa final'!$R$53),"")</f>
        <v/>
      </c>
      <c r="O122" s="108" t="str">
        <f>IF(AND('Mapa final'!$AB$54="Media",'Mapa final'!$AD$54="Menor"),CONCATENATE("R17C",'Mapa final'!$R$54),"")</f>
        <v/>
      </c>
      <c r="P122" s="48" t="str">
        <f>IF(AND('Mapa final'!$AB$52="Media",'Mapa final'!$AD$52="Moderado"),CONCATENATE("R17C",'Mapa final'!$R$52),"")</f>
        <v/>
      </c>
      <c r="Q122" s="49" t="str">
        <f>IF(AND('Mapa final'!$AB$53="Media",'Mapa final'!$AD$53="Moderado"),CONCATENATE("R17C",'Mapa final'!$R$53),"")</f>
        <v/>
      </c>
      <c r="R122" s="108" t="str">
        <f>IF(AND('Mapa final'!$AB$54="Media",'Mapa final'!$AD$54="Moderado"),CONCATENATE("R17C",'Mapa final'!$R$54),"")</f>
        <v/>
      </c>
      <c r="S122" s="102" t="str">
        <f>IF(AND('Mapa final'!$AB$52="Media",'Mapa final'!$AD$52="Mayor"),CONCATENATE("R17C",'Mapa final'!$R$52),"")</f>
        <v>R17C1</v>
      </c>
      <c r="T122" s="41" t="str">
        <f>IF(AND('Mapa final'!$AB$53="Media",'Mapa final'!$AD$53="Mayor"),CONCATENATE("R17C",'Mapa final'!$R$53),"")</f>
        <v/>
      </c>
      <c r="U122" s="103" t="str">
        <f>IF(AND('Mapa final'!$AB$54="Media",'Mapa final'!$AD$54="Mayor"),CONCATENATE("R17C",'Mapa final'!$R$54),"")</f>
        <v/>
      </c>
      <c r="V122" s="42" t="str">
        <f>IF(AND('Mapa final'!$AB$52="Media",'Mapa final'!$AD$52="Catastrófico"),CONCATENATE("R17C",'Mapa final'!$R$52),"")</f>
        <v/>
      </c>
      <c r="W122" s="43" t="str">
        <f>IF(AND('Mapa final'!$AB$53="Media",'Mapa final'!$AD$53="Catastrófico"),CONCATENATE("R17C",'Mapa final'!$R$53),"")</f>
        <v/>
      </c>
      <c r="X122" s="97" t="str">
        <f>IF(AND('Mapa final'!$AB$54="Media",'Mapa final'!$AD$54="Catastrófico"),CONCATENATE("R17C",'Mapa final'!$R$54),"")</f>
        <v/>
      </c>
      <c r="Y122" s="55"/>
      <c r="Z122" s="312"/>
      <c r="AA122" s="313"/>
      <c r="AB122" s="313"/>
      <c r="AC122" s="313"/>
      <c r="AD122" s="313"/>
      <c r="AE122" s="314"/>
      <c r="AF122" s="55"/>
      <c r="AG122" s="55"/>
      <c r="AH122" s="55"/>
      <c r="AI122" s="55"/>
      <c r="AJ122" s="55"/>
      <c r="AK122" s="55"/>
      <c r="AL122" s="55"/>
      <c r="AM122" s="55"/>
      <c r="AN122" s="55"/>
      <c r="AO122" s="55"/>
      <c r="AP122" s="55"/>
      <c r="AQ122" s="55"/>
      <c r="AR122" s="55"/>
      <c r="AS122" s="55"/>
      <c r="AT122" s="55"/>
      <c r="AU122" s="55"/>
      <c r="AV122" s="55"/>
      <c r="AW122" s="55"/>
      <c r="AX122" s="55"/>
      <c r="AY122" s="55"/>
      <c r="AZ122" s="55"/>
      <c r="BA122" s="55"/>
      <c r="BB122" s="55"/>
      <c r="BC122" s="55"/>
      <c r="BD122" s="55"/>
      <c r="BE122" s="55"/>
      <c r="BF122" s="55"/>
      <c r="BG122" s="55"/>
      <c r="BH122" s="55"/>
      <c r="BI122" s="55"/>
    </row>
    <row r="123" spans="1:61" ht="15" customHeight="1" x14ac:dyDescent="0.25">
      <c r="A123" s="55"/>
      <c r="B123" s="301"/>
      <c r="C123" s="301"/>
      <c r="D123" s="302"/>
      <c r="E123" s="279"/>
      <c r="F123" s="274"/>
      <c r="G123" s="274"/>
      <c r="H123" s="274"/>
      <c r="I123" s="274"/>
      <c r="J123" s="48" t="str">
        <f>IF(AND('Mapa final'!$AB$55="Media",'Mapa final'!$AD$55="Leve"),CONCATENATE("R18C",'Mapa final'!$R$55),"")</f>
        <v/>
      </c>
      <c r="K123" s="49" t="str">
        <f>IF(AND('Mapa final'!$AB$56="Media",'Mapa final'!$AD$56="Leve"),CONCATENATE("R18C",'Mapa final'!$R$56),"")</f>
        <v/>
      </c>
      <c r="L123" s="108" t="str">
        <f>IF(AND('Mapa final'!$AB$57="Media",'Mapa final'!$AD$57="Leve"),CONCATENATE("R18C",'Mapa final'!$R$57),"")</f>
        <v/>
      </c>
      <c r="M123" s="48" t="str">
        <f>IF(AND('Mapa final'!$AB$55="Media",'Mapa final'!$AD$55="Menor"),CONCATENATE("R18C",'Mapa final'!$R$55),"")</f>
        <v/>
      </c>
      <c r="N123" s="49" t="str">
        <f>IF(AND('Mapa final'!$AB$56="Media",'Mapa final'!$AD$56="Menor"),CONCATENATE("R18C",'Mapa final'!$R$56),"")</f>
        <v/>
      </c>
      <c r="O123" s="108" t="str">
        <f>IF(AND('Mapa final'!$AB$57="Media",'Mapa final'!$AD$57="Menor"),CONCATENATE("R18C",'Mapa final'!$R$57),"")</f>
        <v/>
      </c>
      <c r="P123" s="48" t="str">
        <f>IF(AND('Mapa final'!$AB$55="Media",'Mapa final'!$AD$55="Moderado"),CONCATENATE("R18C",'Mapa final'!$R$55),"")</f>
        <v>R18C1</v>
      </c>
      <c r="Q123" s="49" t="str">
        <f>IF(AND('Mapa final'!$AB$56="Media",'Mapa final'!$AD$56="Moderado"),CONCATENATE("R18C",'Mapa final'!$R$56),"")</f>
        <v/>
      </c>
      <c r="R123" s="108" t="str">
        <f>IF(AND('Mapa final'!$AB$57="Media",'Mapa final'!$AD$57="Moderado"),CONCATENATE("R18C",'Mapa final'!$R$57),"")</f>
        <v/>
      </c>
      <c r="S123" s="102" t="str">
        <f>IF(AND('Mapa final'!$AB$55="Media",'Mapa final'!$AD$55="Mayor"),CONCATENATE("R18C",'Mapa final'!$R$55),"")</f>
        <v/>
      </c>
      <c r="T123" s="41" t="str">
        <f>IF(AND('Mapa final'!$AB$56="Media",'Mapa final'!$AD$56="Mayor"),CONCATENATE("R18C",'Mapa final'!$R$56),"")</f>
        <v/>
      </c>
      <c r="U123" s="103" t="str">
        <f>IF(AND('Mapa final'!$AB$57="Media",'Mapa final'!$AD$57="Mayor"),CONCATENATE("R18C",'Mapa final'!$R$57),"")</f>
        <v/>
      </c>
      <c r="V123" s="42" t="str">
        <f>IF(AND('Mapa final'!$AB$55="Media",'Mapa final'!$AD$55="Catastrófico"),CONCATENATE("R18C",'Mapa final'!$R$55),"")</f>
        <v/>
      </c>
      <c r="W123" s="43" t="str">
        <f>IF(AND('Mapa final'!$AB$56="Media",'Mapa final'!$AD$56="Catastrófico"),CONCATENATE("R18C",'Mapa final'!$R$56),"")</f>
        <v/>
      </c>
      <c r="X123" s="97" t="str">
        <f>IF(AND('Mapa final'!$AB$57="Media",'Mapa final'!$AD$57="Catastrófico"),CONCATENATE("R18C",'Mapa final'!$R$57),"")</f>
        <v/>
      </c>
      <c r="Y123" s="55"/>
      <c r="Z123" s="312"/>
      <c r="AA123" s="313"/>
      <c r="AB123" s="313"/>
      <c r="AC123" s="313"/>
      <c r="AD123" s="313"/>
      <c r="AE123" s="314"/>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c r="BB123" s="55"/>
      <c r="BC123" s="55"/>
      <c r="BD123" s="55"/>
      <c r="BE123" s="55"/>
      <c r="BF123" s="55"/>
      <c r="BG123" s="55"/>
      <c r="BH123" s="55"/>
      <c r="BI123" s="55"/>
    </row>
    <row r="124" spans="1:61" ht="15" customHeight="1" x14ac:dyDescent="0.25">
      <c r="A124" s="55"/>
      <c r="B124" s="301"/>
      <c r="C124" s="301"/>
      <c r="D124" s="302"/>
      <c r="E124" s="279"/>
      <c r="F124" s="274"/>
      <c r="G124" s="274"/>
      <c r="H124" s="274"/>
      <c r="I124" s="274"/>
      <c r="J124" s="48" t="str">
        <f>IF(AND('Mapa final'!$AB$58="Media",'Mapa final'!$AD$58="Leve"),CONCATENATE("R19C",'Mapa final'!$R$58),"")</f>
        <v/>
      </c>
      <c r="K124" s="49" t="str">
        <f>IF(AND('Mapa final'!$AB$59="Media",'Mapa final'!$AD$59="Leve"),CONCATENATE("R19C",'Mapa final'!$R$59),"")</f>
        <v/>
      </c>
      <c r="L124" s="108" t="str">
        <f>IF(AND('Mapa final'!$AB$60="Media",'Mapa final'!$AD$60="Leve"),CONCATENATE("R19C",'Mapa final'!$R$60),"")</f>
        <v/>
      </c>
      <c r="M124" s="48" t="str">
        <f>IF(AND('Mapa final'!$AB$58="Media",'Mapa final'!$AD$58="Menor"),CONCATENATE("R19C",'Mapa final'!$R$58),"")</f>
        <v/>
      </c>
      <c r="N124" s="49" t="str">
        <f>IF(AND('Mapa final'!$AB$59="Media",'Mapa final'!$AD$59="Menor"),CONCATENATE("R19C",'Mapa final'!$R$59),"")</f>
        <v/>
      </c>
      <c r="O124" s="108" t="str">
        <f>IF(AND('Mapa final'!$AB$60="Media",'Mapa final'!$AD$60="Menor"),CONCATENATE("R19C",'Mapa final'!$R$60),"")</f>
        <v/>
      </c>
      <c r="P124" s="48" t="str">
        <f>IF(AND('Mapa final'!$AB$58="Media",'Mapa final'!$AD$58="Moderado"),CONCATENATE("R19C",'Mapa final'!$R$58),"")</f>
        <v>R19C1</v>
      </c>
      <c r="Q124" s="49" t="str">
        <f>IF(AND('Mapa final'!$AB$59="Media",'Mapa final'!$AD$59="Moderado"),CONCATENATE("R19C",'Mapa final'!$R$59),"")</f>
        <v/>
      </c>
      <c r="R124" s="108" t="str">
        <f>IF(AND('Mapa final'!$AB$60="Media",'Mapa final'!$AD$60="Moderado"),CONCATENATE("R19C",'Mapa final'!$R$60),"")</f>
        <v/>
      </c>
      <c r="S124" s="102" t="str">
        <f>IF(AND('Mapa final'!$AB$58="Media",'Mapa final'!$AD$58="Mayor"),CONCATENATE("R19C",'Mapa final'!$R$58),"")</f>
        <v/>
      </c>
      <c r="T124" s="41" t="str">
        <f>IF(AND('Mapa final'!$AB$59="Media",'Mapa final'!$AD$59="Mayor"),CONCATENATE("R19C",'Mapa final'!$R$59),"")</f>
        <v/>
      </c>
      <c r="U124" s="103" t="str">
        <f>IF(AND('Mapa final'!$AB$60="Media",'Mapa final'!$AD$60="Mayor"),CONCATENATE("R19C",'Mapa final'!$R$60),"")</f>
        <v/>
      </c>
      <c r="V124" s="42" t="str">
        <f>IF(AND('Mapa final'!$AB$58="Media",'Mapa final'!$AD$58="Catastrófico"),CONCATENATE("R19C",'Mapa final'!$R$58),"")</f>
        <v/>
      </c>
      <c r="W124" s="43" t="str">
        <f>IF(AND('Mapa final'!$AB$59="Media",'Mapa final'!$AD$59="Catastrófico"),CONCATENATE("R19C",'Mapa final'!$R$59),"")</f>
        <v/>
      </c>
      <c r="X124" s="97" t="str">
        <f>IF(AND('Mapa final'!$AB$60="Media",'Mapa final'!$AD$60="Catastrófico"),CONCATENATE("R19C",'Mapa final'!$R$60),"")</f>
        <v/>
      </c>
      <c r="Y124" s="55"/>
      <c r="Z124" s="312"/>
      <c r="AA124" s="313"/>
      <c r="AB124" s="313"/>
      <c r="AC124" s="313"/>
      <c r="AD124" s="313"/>
      <c r="AE124" s="314"/>
      <c r="AF124" s="55"/>
      <c r="AG124" s="55"/>
      <c r="AH124" s="55"/>
      <c r="AI124" s="55"/>
      <c r="AJ124" s="55"/>
      <c r="AK124" s="55"/>
      <c r="AL124" s="55"/>
      <c r="AM124" s="55"/>
      <c r="AN124" s="55"/>
      <c r="AO124" s="55"/>
      <c r="AP124" s="55"/>
      <c r="AQ124" s="55"/>
      <c r="AR124" s="55"/>
      <c r="AS124" s="55"/>
      <c r="AT124" s="55"/>
      <c r="AU124" s="55"/>
      <c r="AV124" s="55"/>
      <c r="AW124" s="55"/>
      <c r="AX124" s="55"/>
      <c r="AY124" s="55"/>
      <c r="AZ124" s="55"/>
      <c r="BA124" s="55"/>
      <c r="BB124" s="55"/>
      <c r="BC124" s="55"/>
      <c r="BD124" s="55"/>
      <c r="BE124" s="55"/>
      <c r="BF124" s="55"/>
      <c r="BG124" s="55"/>
      <c r="BH124" s="55"/>
      <c r="BI124" s="55"/>
    </row>
    <row r="125" spans="1:61" ht="15" customHeight="1" x14ac:dyDescent="0.25">
      <c r="A125" s="55"/>
      <c r="B125" s="301"/>
      <c r="C125" s="301"/>
      <c r="D125" s="302"/>
      <c r="E125" s="279"/>
      <c r="F125" s="274"/>
      <c r="G125" s="274"/>
      <c r="H125" s="274"/>
      <c r="I125" s="274"/>
      <c r="J125" s="48" t="str">
        <f>IF(AND('Mapa final'!$AB$61="Media",'Mapa final'!$AD$61="Leve"),CONCATENATE("R20C",'Mapa final'!$R$61),"")</f>
        <v/>
      </c>
      <c r="K125" s="49" t="str">
        <f>IF(AND('Mapa final'!$AB$62="Media",'Mapa final'!$AD$62="Leve"),CONCATENATE("R20C",'Mapa final'!$R$62),"")</f>
        <v/>
      </c>
      <c r="L125" s="108" t="str">
        <f>IF(AND('Mapa final'!$AB$63="Media",'Mapa final'!$AD$63="Leve"),CONCATENATE("R20C",'Mapa final'!$R$63),"")</f>
        <v/>
      </c>
      <c r="M125" s="48" t="str">
        <f>IF(AND('Mapa final'!$AB$61="Media",'Mapa final'!$AD$61="Menor"),CONCATENATE("R20C",'Mapa final'!$R$61),"")</f>
        <v/>
      </c>
      <c r="N125" s="49" t="str">
        <f>IF(AND('Mapa final'!$AB$62="Media",'Mapa final'!$AD$62="Menor"),CONCATENATE("R20C",'Mapa final'!$R$62),"")</f>
        <v/>
      </c>
      <c r="O125" s="108" t="str">
        <f>IF(AND('Mapa final'!$AB$63="Media",'Mapa final'!$AD$63="Menor"),CONCATENATE("R20C",'Mapa final'!$R$63),"")</f>
        <v/>
      </c>
      <c r="P125" s="48" t="str">
        <f>IF(AND('Mapa final'!$AB$61="Media",'Mapa final'!$AD$61="Moderado"),CONCATENATE("R20C",'Mapa final'!$R$61),"")</f>
        <v/>
      </c>
      <c r="Q125" s="49" t="str">
        <f>IF(AND('Mapa final'!$AB$62="Media",'Mapa final'!$AD$62="Moderado"),CONCATENATE("R20C",'Mapa final'!$R$62),"")</f>
        <v/>
      </c>
      <c r="R125" s="108" t="str">
        <f>IF(AND('Mapa final'!$AB$63="Media",'Mapa final'!$AD$63="Moderado"),CONCATENATE("R20C",'Mapa final'!$R$63),"")</f>
        <v/>
      </c>
      <c r="S125" s="102" t="str">
        <f>IF(AND('Mapa final'!$AB$61="Media",'Mapa final'!$AD$61="Mayor"),CONCATENATE("R20C",'Mapa final'!$R$61),"")</f>
        <v/>
      </c>
      <c r="T125" s="41" t="str">
        <f>IF(AND('Mapa final'!$AB$62="Media",'Mapa final'!$AD$62="Mayor"),CONCATENATE("R20C",'Mapa final'!$R$62),"")</f>
        <v/>
      </c>
      <c r="U125" s="103" t="str">
        <f>IF(AND('Mapa final'!$AB$63="Media",'Mapa final'!$AD$63="Mayor"),CONCATENATE("R20C",'Mapa final'!$R$63),"")</f>
        <v/>
      </c>
      <c r="V125" s="42" t="str">
        <f>IF(AND('Mapa final'!$AB$61="Media",'Mapa final'!$AD$61="Catastrófico"),CONCATENATE("R20C",'Mapa final'!$R$61),"")</f>
        <v/>
      </c>
      <c r="W125" s="43" t="str">
        <f>IF(AND('Mapa final'!$AB$62="Media",'Mapa final'!$AD$62="Catastrófico"),CONCATENATE("R20C",'Mapa final'!$R$62),"")</f>
        <v/>
      </c>
      <c r="X125" s="97" t="str">
        <f>IF(AND('Mapa final'!$AB$63="Media",'Mapa final'!$AD$63="Catastrófico"),CONCATENATE("R20C",'Mapa final'!$R$63),"")</f>
        <v/>
      </c>
      <c r="Y125" s="55"/>
      <c r="Z125" s="312"/>
      <c r="AA125" s="313"/>
      <c r="AB125" s="313"/>
      <c r="AC125" s="313"/>
      <c r="AD125" s="313"/>
      <c r="AE125" s="314"/>
      <c r="AF125" s="55"/>
      <c r="AG125" s="55"/>
      <c r="AH125" s="55"/>
      <c r="AI125" s="55"/>
      <c r="AJ125" s="55"/>
      <c r="AK125" s="55"/>
      <c r="AL125" s="55"/>
      <c r="AM125" s="55"/>
      <c r="AN125" s="55"/>
      <c r="AO125" s="55"/>
      <c r="AP125" s="55"/>
      <c r="AQ125" s="55"/>
      <c r="AR125" s="55"/>
      <c r="AS125" s="55"/>
      <c r="AT125" s="55"/>
      <c r="AU125" s="55"/>
      <c r="AV125" s="55"/>
      <c r="AW125" s="55"/>
      <c r="AX125" s="55"/>
      <c r="AY125" s="55"/>
      <c r="AZ125" s="55"/>
      <c r="BA125" s="55"/>
      <c r="BB125" s="55"/>
      <c r="BC125" s="55"/>
      <c r="BD125" s="55"/>
      <c r="BE125" s="55"/>
      <c r="BF125" s="55"/>
      <c r="BG125" s="55"/>
      <c r="BH125" s="55"/>
      <c r="BI125" s="55"/>
    </row>
    <row r="126" spans="1:61" ht="15" customHeight="1" x14ac:dyDescent="0.25">
      <c r="A126" s="55"/>
      <c r="B126" s="301"/>
      <c r="C126" s="301"/>
      <c r="D126" s="302"/>
      <c r="E126" s="279"/>
      <c r="F126" s="274"/>
      <c r="G126" s="274"/>
      <c r="H126" s="274"/>
      <c r="I126" s="274"/>
      <c r="J126" s="48" t="str">
        <f>IF(AND('Mapa final'!$AB$64="Media",'Mapa final'!$AD$64="Leve"),CONCATENATE("R21C",'Mapa final'!$R$64),"")</f>
        <v/>
      </c>
      <c r="K126" s="49" t="str">
        <f>IF(AND('Mapa final'!$AB$65="Media",'Mapa final'!$AD$65="Leve"),CONCATENATE("R21C",'Mapa final'!$R$65),"")</f>
        <v/>
      </c>
      <c r="L126" s="108" t="str">
        <f>IF(AND('Mapa final'!$AB$66="Media",'Mapa final'!$AD$66="Leve"),CONCATENATE("R21C",'Mapa final'!$R$66),"")</f>
        <v/>
      </c>
      <c r="M126" s="48" t="str">
        <f>IF(AND('Mapa final'!$AB$64="Media",'Mapa final'!$AD$64="Menor"),CONCATENATE("R21C",'Mapa final'!$R$64),"")</f>
        <v/>
      </c>
      <c r="N126" s="49" t="str">
        <f>IF(AND('Mapa final'!$AB$65="Media",'Mapa final'!$AD$65="Menor"),CONCATENATE("R21C",'Mapa final'!$R$65),"")</f>
        <v/>
      </c>
      <c r="O126" s="108" t="str">
        <f>IF(AND('Mapa final'!$AB$66="Media",'Mapa final'!$AD$66="Menor"),CONCATENATE("R21C",'Mapa final'!$R$66),"")</f>
        <v/>
      </c>
      <c r="P126" s="48" t="str">
        <f>IF(AND('Mapa final'!$AB$64="Media",'Mapa final'!$AD$64="Moderado"),CONCATENATE("R21C",'Mapa final'!$R$64),"")</f>
        <v/>
      </c>
      <c r="Q126" s="49" t="str">
        <f>IF(AND('Mapa final'!$AB$65="Media",'Mapa final'!$AD$65="Moderado"),CONCATENATE("R21C",'Mapa final'!$R$65),"")</f>
        <v/>
      </c>
      <c r="R126" s="108" t="str">
        <f>IF(AND('Mapa final'!$AB$66="Media",'Mapa final'!$AD$66="Moderado"),CONCATENATE("R21C",'Mapa final'!$R$66),"")</f>
        <v/>
      </c>
      <c r="S126" s="102" t="str">
        <f>IF(AND('Mapa final'!$AB$64="Media",'Mapa final'!$AD$64="Mayor"),CONCATENATE("R21C",'Mapa final'!$R$64),"")</f>
        <v/>
      </c>
      <c r="T126" s="41" t="str">
        <f>IF(AND('Mapa final'!$AB$65="Media",'Mapa final'!$AD$65="Mayor"),CONCATENATE("R21C",'Mapa final'!$R$65),"")</f>
        <v/>
      </c>
      <c r="U126" s="103" t="str">
        <f>IF(AND('Mapa final'!$AB$66="Media",'Mapa final'!$AD$66="Mayor"),CONCATENATE("R21C",'Mapa final'!$R$66),"")</f>
        <v/>
      </c>
      <c r="V126" s="42" t="str">
        <f>IF(AND('Mapa final'!$AB$64="Media",'Mapa final'!$AD$64="Catastrófico"),CONCATENATE("R21C",'Mapa final'!$R$64),"")</f>
        <v/>
      </c>
      <c r="W126" s="43" t="str">
        <f>IF(AND('Mapa final'!$AB$65="Media",'Mapa final'!$AD$65="Catastrófico"),CONCATENATE("R21C",'Mapa final'!$R$65),"")</f>
        <v/>
      </c>
      <c r="X126" s="97" t="str">
        <f>IF(AND('Mapa final'!$AB$66="Media",'Mapa final'!$AD$66="Catastrófico"),CONCATENATE("R21C",'Mapa final'!$R$66),"")</f>
        <v/>
      </c>
      <c r="Y126" s="55"/>
      <c r="Z126" s="312"/>
      <c r="AA126" s="313"/>
      <c r="AB126" s="313"/>
      <c r="AC126" s="313"/>
      <c r="AD126" s="313"/>
      <c r="AE126" s="314"/>
      <c r="AF126" s="55"/>
      <c r="AG126" s="55"/>
      <c r="AH126" s="55"/>
      <c r="AI126" s="55"/>
      <c r="AJ126" s="55"/>
      <c r="AK126" s="55"/>
      <c r="AL126" s="55"/>
      <c r="AM126" s="55"/>
      <c r="AN126" s="55"/>
      <c r="AO126" s="55"/>
      <c r="AP126" s="55"/>
      <c r="AQ126" s="55"/>
      <c r="AR126" s="55"/>
      <c r="AS126" s="55"/>
      <c r="AT126" s="55"/>
      <c r="AU126" s="55"/>
      <c r="AV126" s="55"/>
      <c r="AW126" s="55"/>
      <c r="AX126" s="55"/>
      <c r="AY126" s="55"/>
      <c r="AZ126" s="55"/>
      <c r="BA126" s="55"/>
      <c r="BB126" s="55"/>
      <c r="BC126" s="55"/>
      <c r="BD126" s="55"/>
      <c r="BE126" s="55"/>
      <c r="BF126" s="55"/>
      <c r="BG126" s="55"/>
      <c r="BH126" s="55"/>
      <c r="BI126" s="55"/>
    </row>
    <row r="127" spans="1:61" ht="15" customHeight="1" x14ac:dyDescent="0.25">
      <c r="A127" s="55"/>
      <c r="B127" s="301"/>
      <c r="C127" s="301"/>
      <c r="D127" s="302"/>
      <c r="E127" s="279"/>
      <c r="F127" s="274"/>
      <c r="G127" s="274"/>
      <c r="H127" s="274"/>
      <c r="I127" s="274"/>
      <c r="J127" s="48" t="str">
        <f>IF(AND('Mapa final'!$AB$67="Media",'Mapa final'!$AD$67="Leve"),CONCATENATE("R22C",'Mapa final'!$R$67),"")</f>
        <v/>
      </c>
      <c r="K127" s="49" t="str">
        <f>IF(AND('Mapa final'!$AB$68="Media",'Mapa final'!$AD$68="Leve"),CONCATENATE("R22C",'Mapa final'!$R$68),"")</f>
        <v/>
      </c>
      <c r="L127" s="108" t="str">
        <f>IF(AND('Mapa final'!$AB$69="Media",'Mapa final'!$AD$69="Leve"),CONCATENATE("R22C",'Mapa final'!$R$69),"")</f>
        <v/>
      </c>
      <c r="M127" s="48" t="str">
        <f>IF(AND('Mapa final'!$AB$67="Media",'Mapa final'!$AD$67="Menor"),CONCATENATE("R22C",'Mapa final'!$R$67),"")</f>
        <v/>
      </c>
      <c r="N127" s="49" t="str">
        <f>IF(AND('Mapa final'!$AB$68="Media",'Mapa final'!$AD$68="Menor"),CONCATENATE("R22C",'Mapa final'!$R$68),"")</f>
        <v/>
      </c>
      <c r="O127" s="108" t="str">
        <f>IF(AND('Mapa final'!$AB$69="Media",'Mapa final'!$AD$69="Menor"),CONCATENATE("R22C",'Mapa final'!$R$69),"")</f>
        <v/>
      </c>
      <c r="P127" s="48" t="str">
        <f>IF(AND('Mapa final'!$AB$67="Media",'Mapa final'!$AD$67="Moderado"),CONCATENATE("R22C",'Mapa final'!$R$67),"")</f>
        <v/>
      </c>
      <c r="Q127" s="49" t="str">
        <f>IF(AND('Mapa final'!$AB$68="Media",'Mapa final'!$AD$68="Moderado"),CONCATENATE("R22C",'Mapa final'!$R$68),"")</f>
        <v/>
      </c>
      <c r="R127" s="108" t="str">
        <f>IF(AND('Mapa final'!$AB$69="Media",'Mapa final'!$AD$69="Moderado"),CONCATENATE("R22C",'Mapa final'!$R$69),"")</f>
        <v/>
      </c>
      <c r="S127" s="102" t="str">
        <f>IF(AND('Mapa final'!$AB$67="Media",'Mapa final'!$AD$67="Mayor"),CONCATENATE("R22C",'Mapa final'!$R$67),"")</f>
        <v/>
      </c>
      <c r="T127" s="41" t="str">
        <f>IF(AND('Mapa final'!$AB$68="Media",'Mapa final'!$AD$68="Mayor"),CONCATENATE("R22C",'Mapa final'!$R$68),"")</f>
        <v/>
      </c>
      <c r="U127" s="103" t="str">
        <f>IF(AND('Mapa final'!$AB$69="Media",'Mapa final'!$AD$69="Mayor"),CONCATENATE("R22C",'Mapa final'!$R$69),"")</f>
        <v/>
      </c>
      <c r="V127" s="42" t="str">
        <f>IF(AND('Mapa final'!$AB$67="Media",'Mapa final'!$AD$67="Catastrófico"),CONCATENATE("R22C",'Mapa final'!$R$67),"")</f>
        <v/>
      </c>
      <c r="W127" s="43" t="str">
        <f>IF(AND('Mapa final'!$AB$68="Media",'Mapa final'!$AD$68="Catastrófico"),CONCATENATE("R22C",'Mapa final'!$R$68),"")</f>
        <v/>
      </c>
      <c r="X127" s="97" t="str">
        <f>IF(AND('Mapa final'!$AB$69="Media",'Mapa final'!$AD$69="Catastrófico"),CONCATENATE("R22C",'Mapa final'!$R$69),"")</f>
        <v/>
      </c>
      <c r="Y127" s="55"/>
      <c r="Z127" s="312"/>
      <c r="AA127" s="313"/>
      <c r="AB127" s="313"/>
      <c r="AC127" s="313"/>
      <c r="AD127" s="313"/>
      <c r="AE127" s="314"/>
      <c r="AF127" s="55"/>
      <c r="AG127" s="55"/>
      <c r="AH127" s="55"/>
      <c r="AI127" s="55"/>
      <c r="AJ127" s="55"/>
      <c r="AK127" s="55"/>
      <c r="AL127" s="55"/>
      <c r="AM127" s="55"/>
      <c r="AN127" s="55"/>
      <c r="AO127" s="55"/>
      <c r="AP127" s="55"/>
      <c r="AQ127" s="55"/>
      <c r="AR127" s="55"/>
      <c r="AS127" s="55"/>
      <c r="AT127" s="55"/>
      <c r="AU127" s="55"/>
      <c r="AV127" s="55"/>
      <c r="AW127" s="55"/>
      <c r="AX127" s="55"/>
      <c r="AY127" s="55"/>
      <c r="AZ127" s="55"/>
      <c r="BA127" s="55"/>
      <c r="BB127" s="55"/>
      <c r="BC127" s="55"/>
      <c r="BD127" s="55"/>
      <c r="BE127" s="55"/>
      <c r="BF127" s="55"/>
      <c r="BG127" s="55"/>
      <c r="BH127" s="55"/>
      <c r="BI127" s="55"/>
    </row>
    <row r="128" spans="1:61" ht="15" customHeight="1" x14ac:dyDescent="0.25">
      <c r="A128" s="55"/>
      <c r="B128" s="301"/>
      <c r="C128" s="301"/>
      <c r="D128" s="302"/>
      <c r="E128" s="279"/>
      <c r="F128" s="274"/>
      <c r="G128" s="274"/>
      <c r="H128" s="274"/>
      <c r="I128" s="274"/>
      <c r="J128" s="48" t="str">
        <f>IF(AND('Mapa final'!$AB$73="Media",'Mapa final'!$AD$73="Leve"),CONCATENATE("R23C",'Mapa final'!$R$73),"")</f>
        <v/>
      </c>
      <c r="K128" s="49" t="str">
        <f>IF(AND('Mapa final'!$AB$74="Media",'Mapa final'!$AD$74="Leve"),CONCATENATE("R23C",'Mapa final'!$R$74),"")</f>
        <v/>
      </c>
      <c r="L128" s="108" t="str">
        <f>IF(AND('Mapa final'!$AB$75="Media",'Mapa final'!$AD$75="Leve"),CONCATENATE("R23C",'Mapa final'!$R$75),"")</f>
        <v/>
      </c>
      <c r="M128" s="48" t="str">
        <f>IF(AND('Mapa final'!$AB$73="Media",'Mapa final'!$AD$73="Menor"),CONCATENATE("R23C",'Mapa final'!$R$73),"")</f>
        <v/>
      </c>
      <c r="N128" s="49" t="str">
        <f>IF(AND('Mapa final'!$AB$74="Media",'Mapa final'!$AD$74="Menor"),CONCATENATE("R23C",'Mapa final'!$R$74),"")</f>
        <v/>
      </c>
      <c r="O128" s="108" t="str">
        <f>IF(AND('Mapa final'!$AB$75="Media",'Mapa final'!$AD$75="Menor"),CONCATENATE("R23C",'Mapa final'!$R$75),"")</f>
        <v/>
      </c>
      <c r="P128" s="48" t="str">
        <f>IF(AND('Mapa final'!$AB$73="Media",'Mapa final'!$AD$73="Moderado"),CONCATENATE("R23C",'Mapa final'!$R$73),"")</f>
        <v/>
      </c>
      <c r="Q128" s="49" t="str">
        <f>IF(AND('Mapa final'!$AB$74="Media",'Mapa final'!$AD$74="Moderado"),CONCATENATE("R23C",'Mapa final'!$R$74),"")</f>
        <v/>
      </c>
      <c r="R128" s="108" t="str">
        <f>IF(AND('Mapa final'!$AB$75="Media",'Mapa final'!$AD$75="Moderado"),CONCATENATE("R23C",'Mapa final'!$R$75),"")</f>
        <v/>
      </c>
      <c r="S128" s="102" t="str">
        <f>IF(AND('Mapa final'!$AB$73="Media",'Mapa final'!$AD$73="Mayor"),CONCATENATE("R23C",'Mapa final'!$R$73),"")</f>
        <v/>
      </c>
      <c r="T128" s="41" t="str">
        <f>IF(AND('Mapa final'!$AB$74="Media",'Mapa final'!$AD$74="Mayor"),CONCATENATE("R23C",'Mapa final'!$R$74),"")</f>
        <v/>
      </c>
      <c r="U128" s="103" t="str">
        <f>IF(AND('Mapa final'!$AB$75="Media",'Mapa final'!$AD$75="Mayor"),CONCATENATE("R23C",'Mapa final'!$R$75),"")</f>
        <v/>
      </c>
      <c r="V128" s="42" t="str">
        <f>IF(AND('Mapa final'!$AB$73="Media",'Mapa final'!$AD$73="Catastrófico"),CONCATENATE("R23C",'Mapa final'!$R$73),"")</f>
        <v/>
      </c>
      <c r="W128" s="43" t="str">
        <f>IF(AND('Mapa final'!$AB$74="Media",'Mapa final'!$AD$74="Catastrófico"),CONCATENATE("R23C",'Mapa final'!$R$74),"")</f>
        <v/>
      </c>
      <c r="X128" s="97" t="str">
        <f>IF(AND('Mapa final'!$AB$75="Media",'Mapa final'!$AD$75="Catastrófico"),CONCATENATE("R23C",'Mapa final'!$R$75),"")</f>
        <v/>
      </c>
      <c r="Y128" s="55"/>
      <c r="Z128" s="312"/>
      <c r="AA128" s="313"/>
      <c r="AB128" s="313"/>
      <c r="AC128" s="313"/>
      <c r="AD128" s="313"/>
      <c r="AE128" s="314"/>
      <c r="AF128" s="55"/>
      <c r="AG128" s="55"/>
      <c r="AH128" s="55"/>
      <c r="AI128" s="55"/>
      <c r="AJ128" s="55"/>
      <c r="AK128" s="55"/>
      <c r="AL128" s="55"/>
      <c r="AM128" s="55"/>
      <c r="AN128" s="55"/>
      <c r="AO128" s="55"/>
      <c r="AP128" s="55"/>
      <c r="AQ128" s="55"/>
      <c r="AR128" s="55"/>
      <c r="AS128" s="55"/>
      <c r="AT128" s="55"/>
      <c r="AU128" s="55"/>
      <c r="AV128" s="55"/>
      <c r="AW128" s="55"/>
      <c r="AX128" s="55"/>
      <c r="AY128" s="55"/>
      <c r="AZ128" s="55"/>
      <c r="BA128" s="55"/>
      <c r="BB128" s="55"/>
      <c r="BC128" s="55"/>
      <c r="BD128" s="55"/>
      <c r="BE128" s="55"/>
      <c r="BF128" s="55"/>
      <c r="BG128" s="55"/>
      <c r="BH128" s="55"/>
      <c r="BI128" s="55"/>
    </row>
    <row r="129" spans="1:61" ht="15" customHeight="1" x14ac:dyDescent="0.25">
      <c r="A129" s="55"/>
      <c r="B129" s="301"/>
      <c r="C129" s="301"/>
      <c r="D129" s="302"/>
      <c r="E129" s="279"/>
      <c r="F129" s="274"/>
      <c r="G129" s="274"/>
      <c r="H129" s="274"/>
      <c r="I129" s="274"/>
      <c r="J129" s="48" t="str">
        <f>IF(AND('Mapa final'!$AB$76="Media",'Mapa final'!$AD$76="Leve"),CONCATENATE("R24C",'Mapa final'!$R$76),"")</f>
        <v/>
      </c>
      <c r="K129" s="49" t="str">
        <f>IF(AND('Mapa final'!$AB$77="Media",'Mapa final'!$AD$77="Leve"),CONCATENATE("R24C",'Mapa final'!$R$77),"")</f>
        <v/>
      </c>
      <c r="L129" s="108" t="str">
        <f>IF(AND('Mapa final'!$AB$78="Media",'Mapa final'!$AD$78="Leve"),CONCATENATE("R24C",'Mapa final'!$R$78),"")</f>
        <v/>
      </c>
      <c r="M129" s="48" t="str">
        <f>IF(AND('Mapa final'!$AB$76="Media",'Mapa final'!$AD$76="Menor"),CONCATENATE("R24C",'Mapa final'!$R$76),"")</f>
        <v/>
      </c>
      <c r="N129" s="49" t="str">
        <f>IF(AND('Mapa final'!$AB$77="Media",'Mapa final'!$AD$77="Menor"),CONCATENATE("R24C",'Mapa final'!$R$77),"")</f>
        <v/>
      </c>
      <c r="O129" s="108" t="str">
        <f>IF(AND('Mapa final'!$AB$78="Media",'Mapa final'!$AD$78="Menor"),CONCATENATE("R24C",'Mapa final'!$R$78),"")</f>
        <v/>
      </c>
      <c r="P129" s="48" t="str">
        <f>IF(AND('Mapa final'!$AB$76="Media",'Mapa final'!$AD$76="Moderado"),CONCATENATE("R24C",'Mapa final'!$R$76),"")</f>
        <v/>
      </c>
      <c r="Q129" s="49" t="str">
        <f>IF(AND('Mapa final'!$AB$77="Media",'Mapa final'!$AD$77="Moderado"),CONCATENATE("R24C",'Mapa final'!$R$77),"")</f>
        <v/>
      </c>
      <c r="R129" s="108" t="str">
        <f>IF(AND('Mapa final'!$AB$78="Media",'Mapa final'!$AD$78="Moderado"),CONCATENATE("R24C",'Mapa final'!$R$78),"")</f>
        <v/>
      </c>
      <c r="S129" s="102" t="str">
        <f>IF(AND('Mapa final'!$AB$76="Media",'Mapa final'!$AD$76="Mayor"),CONCATENATE("R24C",'Mapa final'!$R$76),"")</f>
        <v/>
      </c>
      <c r="T129" s="41" t="str">
        <f>IF(AND('Mapa final'!$AB$77="Media",'Mapa final'!$AD$77="Mayor"),CONCATENATE("R24C",'Mapa final'!$R$77),"")</f>
        <v/>
      </c>
      <c r="U129" s="103" t="str">
        <f>IF(AND('Mapa final'!$AB$78="Media",'Mapa final'!$AD$78="Mayor"),CONCATENATE("R24C",'Mapa final'!$R$78),"")</f>
        <v/>
      </c>
      <c r="V129" s="42" t="str">
        <f>IF(AND('Mapa final'!$AB$76="Media",'Mapa final'!$AD$76="Catastrófico"),CONCATENATE("R24C",'Mapa final'!$R$76),"")</f>
        <v/>
      </c>
      <c r="W129" s="43" t="str">
        <f>IF(AND('Mapa final'!$AB$77="Media",'Mapa final'!$AD$77="Catastrófico"),CONCATENATE("R24C",'Mapa final'!$R$77),"")</f>
        <v/>
      </c>
      <c r="X129" s="97" t="str">
        <f>IF(AND('Mapa final'!$AB$78="Media",'Mapa final'!$AD$78="Catastrófico"),CONCATENATE("R24C",'Mapa final'!$R$78),"")</f>
        <v/>
      </c>
      <c r="Y129" s="55"/>
      <c r="Z129" s="312"/>
      <c r="AA129" s="313"/>
      <c r="AB129" s="313"/>
      <c r="AC129" s="313"/>
      <c r="AD129" s="313"/>
      <c r="AE129" s="314"/>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5"/>
      <c r="BC129" s="55"/>
      <c r="BD129" s="55"/>
      <c r="BE129" s="55"/>
      <c r="BF129" s="55"/>
      <c r="BG129" s="55"/>
      <c r="BH129" s="55"/>
      <c r="BI129" s="55"/>
    </row>
    <row r="130" spans="1:61" ht="15" customHeight="1" x14ac:dyDescent="0.25">
      <c r="A130" s="55"/>
      <c r="B130" s="301"/>
      <c r="C130" s="301"/>
      <c r="D130" s="302"/>
      <c r="E130" s="279"/>
      <c r="F130" s="274"/>
      <c r="G130" s="274"/>
      <c r="H130" s="274"/>
      <c r="I130" s="274"/>
      <c r="J130" s="48" t="str">
        <f>IF(AND('Mapa final'!$AB$79="Media",'Mapa final'!$AD$79="Leve"),CONCATENATE("R25C",'Mapa final'!$R$79),"")</f>
        <v/>
      </c>
      <c r="K130" s="49" t="str">
        <f>IF(AND('Mapa final'!$AB$80="Media",'Mapa final'!$AD$80="Leve"),CONCATENATE("R25C",'Mapa final'!$R$80),"")</f>
        <v/>
      </c>
      <c r="L130" s="108" t="str">
        <f>IF(AND('Mapa final'!$AB$81="Media",'Mapa final'!$AD$81="Leve"),CONCATENATE("R25C",'Mapa final'!$R$81),"")</f>
        <v/>
      </c>
      <c r="M130" s="48" t="str">
        <f>IF(AND('Mapa final'!$AB$79="Media",'Mapa final'!$AD$79="Menor"),CONCATENATE("R25C",'Mapa final'!$R$79),"")</f>
        <v/>
      </c>
      <c r="N130" s="49" t="str">
        <f>IF(AND('Mapa final'!$AB$80="Media",'Mapa final'!$AD$80="Menor"),CONCATENATE("R25C",'Mapa final'!$R$80),"")</f>
        <v/>
      </c>
      <c r="O130" s="108" t="str">
        <f>IF(AND('Mapa final'!$AB$81="Media",'Mapa final'!$AD$81="Menor"),CONCATENATE("R25C",'Mapa final'!$R$81),"")</f>
        <v/>
      </c>
      <c r="P130" s="48" t="str">
        <f>IF(AND('Mapa final'!$AB$79="Media",'Mapa final'!$AD$79="Moderado"),CONCATENATE("R25C",'Mapa final'!$R$79),"")</f>
        <v/>
      </c>
      <c r="Q130" s="49" t="str">
        <f>IF(AND('Mapa final'!$AB$80="Media",'Mapa final'!$AD$80="Moderado"),CONCATENATE("R25C",'Mapa final'!$R$80),"")</f>
        <v/>
      </c>
      <c r="R130" s="108" t="str">
        <f>IF(AND('Mapa final'!$AB$81="Media",'Mapa final'!$AD$81="Moderado"),CONCATENATE("R25C",'Mapa final'!$R$81),"")</f>
        <v/>
      </c>
      <c r="S130" s="102" t="str">
        <f>IF(AND('Mapa final'!$AB$79="Media",'Mapa final'!$AD$79="Mayor"),CONCATENATE("R25C",'Mapa final'!$R$79),"")</f>
        <v/>
      </c>
      <c r="T130" s="41" t="str">
        <f>IF(AND('Mapa final'!$AB$80="Media",'Mapa final'!$AD$80="Mayor"),CONCATENATE("R25C",'Mapa final'!$R$80),"")</f>
        <v/>
      </c>
      <c r="U130" s="103" t="str">
        <f>IF(AND('Mapa final'!$AB$81="Media",'Mapa final'!$AD$81="Mayor"),CONCATENATE("R25C",'Mapa final'!$R$81),"")</f>
        <v/>
      </c>
      <c r="V130" s="42" t="str">
        <f>IF(AND('Mapa final'!$AB$79="Media",'Mapa final'!$AD$79="Catastrófico"),CONCATENATE("R25C",'Mapa final'!$R$79),"")</f>
        <v/>
      </c>
      <c r="W130" s="43" t="str">
        <f>IF(AND('Mapa final'!$AB$80="Media",'Mapa final'!$AD$80="Catastrófico"),CONCATENATE("R25C",'Mapa final'!$R$80),"")</f>
        <v/>
      </c>
      <c r="X130" s="97" t="str">
        <f>IF(AND('Mapa final'!$AB$81="Media",'Mapa final'!$AD$81="Catastrófico"),CONCATENATE("R25C",'Mapa final'!$R$81),"")</f>
        <v/>
      </c>
      <c r="Y130" s="55"/>
      <c r="Z130" s="312"/>
      <c r="AA130" s="313"/>
      <c r="AB130" s="313"/>
      <c r="AC130" s="313"/>
      <c r="AD130" s="313"/>
      <c r="AE130" s="314"/>
      <c r="AF130" s="55"/>
      <c r="AG130" s="55"/>
      <c r="AH130" s="55"/>
      <c r="AI130" s="55"/>
      <c r="AJ130" s="55"/>
      <c r="AK130" s="55"/>
      <c r="AL130" s="55"/>
      <c r="AM130" s="55"/>
      <c r="AN130" s="55"/>
      <c r="AO130" s="55"/>
      <c r="AP130" s="55"/>
      <c r="AQ130" s="55"/>
      <c r="AR130" s="55"/>
      <c r="AS130" s="55"/>
      <c r="AT130" s="55"/>
      <c r="AU130" s="55"/>
      <c r="AV130" s="55"/>
      <c r="AW130" s="55"/>
      <c r="AX130" s="55"/>
      <c r="AY130" s="55"/>
      <c r="AZ130" s="55"/>
      <c r="BA130" s="55"/>
      <c r="BB130" s="55"/>
      <c r="BC130" s="55"/>
      <c r="BD130" s="55"/>
      <c r="BE130" s="55"/>
      <c r="BF130" s="55"/>
      <c r="BG130" s="55"/>
      <c r="BH130" s="55"/>
      <c r="BI130" s="55"/>
    </row>
    <row r="131" spans="1:61" ht="15" customHeight="1" x14ac:dyDescent="0.25">
      <c r="A131" s="55"/>
      <c r="B131" s="301"/>
      <c r="C131" s="301"/>
      <c r="D131" s="302"/>
      <c r="E131" s="279"/>
      <c r="F131" s="274"/>
      <c r="G131" s="274"/>
      <c r="H131" s="274"/>
      <c r="I131" s="274"/>
      <c r="J131" s="48" t="str">
        <f>IF(AND('Mapa final'!$AB$82="Media",'Mapa final'!$AD$82="Leve"),CONCATENATE("R26C",'Mapa final'!$R$82),"")</f>
        <v/>
      </c>
      <c r="K131" s="49" t="str">
        <f>IF(AND('Mapa final'!$AB$83="Media",'Mapa final'!$AD$83="Leve"),CONCATENATE("R26C",'Mapa final'!$R$83),"")</f>
        <v/>
      </c>
      <c r="L131" s="108" t="str">
        <f>IF(AND('Mapa final'!$AB$84="Media",'Mapa final'!$AD$84="Leve"),CONCATENATE("R26C",'Mapa final'!$R$84),"")</f>
        <v/>
      </c>
      <c r="M131" s="48" t="str">
        <f>IF(AND('Mapa final'!$AB$82="Media",'Mapa final'!$AD$82="Menor"),CONCATENATE("R26C",'Mapa final'!$R$82),"")</f>
        <v/>
      </c>
      <c r="N131" s="49" t="str">
        <f>IF(AND('Mapa final'!$AB$83="Media",'Mapa final'!$AD$83="Menor"),CONCATENATE("R26C",'Mapa final'!$R$83),"")</f>
        <v/>
      </c>
      <c r="O131" s="108" t="str">
        <f>IF(AND('Mapa final'!$AB$84="Media",'Mapa final'!$AD$84="Menor"),CONCATENATE("R26C",'Mapa final'!$R$84),"")</f>
        <v/>
      </c>
      <c r="P131" s="48" t="str">
        <f>IF(AND('Mapa final'!$AB$82="Media",'Mapa final'!$AD$82="Moderado"),CONCATENATE("R26C",'Mapa final'!$R$82),"")</f>
        <v/>
      </c>
      <c r="Q131" s="49" t="str">
        <f>IF(AND('Mapa final'!$AB$83="Media",'Mapa final'!$AD$83="Moderado"),CONCATENATE("R26C",'Mapa final'!$R$83),"")</f>
        <v/>
      </c>
      <c r="R131" s="108" t="str">
        <f>IF(AND('Mapa final'!$AB$84="Media",'Mapa final'!$AD$84="Moderado"),CONCATENATE("R26C",'Mapa final'!$R$84),"")</f>
        <v/>
      </c>
      <c r="S131" s="102" t="str">
        <f>IF(AND('Mapa final'!$AB$82="Media",'Mapa final'!$AD$82="Mayor"),CONCATENATE("R26C",'Mapa final'!$R$82),"")</f>
        <v/>
      </c>
      <c r="T131" s="41" t="str">
        <f>IF(AND('Mapa final'!$AB$83="Media",'Mapa final'!$AD$83="Mayor"),CONCATENATE("R26C",'Mapa final'!$R$83),"")</f>
        <v/>
      </c>
      <c r="U131" s="103" t="str">
        <f>IF(AND('Mapa final'!$AB$84="Media",'Mapa final'!$AD$84="Mayor"),CONCATENATE("R26C",'Mapa final'!$R$84),"")</f>
        <v/>
      </c>
      <c r="V131" s="42" t="str">
        <f>IF(AND('Mapa final'!$AB$82="Media",'Mapa final'!$AD$82="Catastrófico"),CONCATENATE("R26C",'Mapa final'!$R$82),"")</f>
        <v/>
      </c>
      <c r="W131" s="43" t="str">
        <f>IF(AND('Mapa final'!$AB$83="Media",'Mapa final'!$AD$83="Catastrófico"),CONCATENATE("R26C",'Mapa final'!$R$83),"")</f>
        <v/>
      </c>
      <c r="X131" s="97" t="str">
        <f>IF(AND('Mapa final'!$AB$84="Media",'Mapa final'!$AD$84="Catastrófico"),CONCATENATE("R26C",'Mapa final'!$R$84),"")</f>
        <v/>
      </c>
      <c r="Y131" s="55"/>
      <c r="Z131" s="312"/>
      <c r="AA131" s="313"/>
      <c r="AB131" s="313"/>
      <c r="AC131" s="313"/>
      <c r="AD131" s="313"/>
      <c r="AE131" s="314"/>
      <c r="AF131" s="55"/>
      <c r="AG131" s="55"/>
      <c r="AH131" s="55"/>
      <c r="AI131" s="55"/>
      <c r="AJ131" s="55"/>
      <c r="AK131" s="55"/>
      <c r="AL131" s="55"/>
      <c r="AM131" s="55"/>
      <c r="AN131" s="55"/>
      <c r="AO131" s="55"/>
      <c r="AP131" s="55"/>
      <c r="AQ131" s="55"/>
      <c r="AR131" s="55"/>
      <c r="AS131" s="55"/>
      <c r="AT131" s="55"/>
      <c r="AU131" s="55"/>
      <c r="AV131" s="55"/>
      <c r="AW131" s="55"/>
      <c r="AX131" s="55"/>
      <c r="AY131" s="55"/>
      <c r="AZ131" s="55"/>
      <c r="BA131" s="55"/>
      <c r="BB131" s="55"/>
      <c r="BC131" s="55"/>
      <c r="BD131" s="55"/>
      <c r="BE131" s="55"/>
      <c r="BF131" s="55"/>
      <c r="BG131" s="55"/>
      <c r="BH131" s="55"/>
      <c r="BI131" s="55"/>
    </row>
    <row r="132" spans="1:61" ht="15" customHeight="1" x14ac:dyDescent="0.25">
      <c r="A132" s="55"/>
      <c r="B132" s="301"/>
      <c r="C132" s="301"/>
      <c r="D132" s="302"/>
      <c r="E132" s="279"/>
      <c r="F132" s="274"/>
      <c r="G132" s="274"/>
      <c r="H132" s="274"/>
      <c r="I132" s="274"/>
      <c r="J132" s="48" t="str">
        <f>IF(AND('Mapa final'!$AB$85="Media",'Mapa final'!$AD$85="Leve"),CONCATENATE("R27C",'Mapa final'!$R$85),"")</f>
        <v/>
      </c>
      <c r="K132" s="49" t="str">
        <f>IF(AND('Mapa final'!$AB$86="Media",'Mapa final'!$AD$86="Leve"),CONCATENATE("R27C",'Mapa final'!$R$86),"")</f>
        <v/>
      </c>
      <c r="L132" s="108" t="str">
        <f>IF(AND('Mapa final'!$AB$87="Media",'Mapa final'!$AD$87="Leve"),CONCATENATE("R27C",'Mapa final'!$R$87),"")</f>
        <v/>
      </c>
      <c r="M132" s="48" t="str">
        <f>IF(AND('Mapa final'!$AB$85="Media",'Mapa final'!$AD$85="Menor"),CONCATENATE("R27C",'Mapa final'!$R$85),"")</f>
        <v/>
      </c>
      <c r="N132" s="49" t="str">
        <f>IF(AND('Mapa final'!$AB$86="Media",'Mapa final'!$AD$86="Menor"),CONCATENATE("R27C",'Mapa final'!$R$86),"")</f>
        <v/>
      </c>
      <c r="O132" s="108" t="str">
        <f>IF(AND('Mapa final'!$AB$87="Media",'Mapa final'!$AD$87="Menor"),CONCATENATE("R27C",'Mapa final'!$R$87),"")</f>
        <v/>
      </c>
      <c r="P132" s="48" t="str">
        <f>IF(AND('Mapa final'!$AB$85="Media",'Mapa final'!$AD$85="Moderado"),CONCATENATE("R27C",'Mapa final'!$R$85),"")</f>
        <v/>
      </c>
      <c r="Q132" s="49" t="str">
        <f>IF(AND('Mapa final'!$AB$86="Media",'Mapa final'!$AD$86="Moderado"),CONCATENATE("R27C",'Mapa final'!$R$86),"")</f>
        <v/>
      </c>
      <c r="R132" s="108" t="str">
        <f>IF(AND('Mapa final'!$AB$87="Media",'Mapa final'!$AD$87="Moderado"),CONCATENATE("R27C",'Mapa final'!$R$87),"")</f>
        <v/>
      </c>
      <c r="S132" s="102" t="str">
        <f>IF(AND('Mapa final'!$AB$85="Media",'Mapa final'!$AD$85="Mayor"),CONCATENATE("R27C",'Mapa final'!$R$85),"")</f>
        <v/>
      </c>
      <c r="T132" s="41" t="str">
        <f>IF(AND('Mapa final'!$AB$86="Media",'Mapa final'!$AD$86="Mayor"),CONCATENATE("R27C",'Mapa final'!$R$86),"")</f>
        <v/>
      </c>
      <c r="U132" s="103" t="str">
        <f>IF(AND('Mapa final'!$AB$87="Media",'Mapa final'!$AD$87="Mayor"),CONCATENATE("R27C",'Mapa final'!$R$87),"")</f>
        <v/>
      </c>
      <c r="V132" s="42" t="str">
        <f>IF(AND('Mapa final'!$AB$85="Media",'Mapa final'!$AD$85="Catastrófico"),CONCATENATE("R27C",'Mapa final'!$R$85),"")</f>
        <v/>
      </c>
      <c r="W132" s="43" t="str">
        <f>IF(AND('Mapa final'!$AB$86="Media",'Mapa final'!$AD$86="Catastrófico"),CONCATENATE("R27C",'Mapa final'!$R$86),"")</f>
        <v/>
      </c>
      <c r="X132" s="97" t="str">
        <f>IF(AND('Mapa final'!$AB$87="Media",'Mapa final'!$AD$87="Catastrófico"),CONCATENATE("R27C",'Mapa final'!$R$87),"")</f>
        <v/>
      </c>
      <c r="Y132" s="55"/>
      <c r="Z132" s="312"/>
      <c r="AA132" s="313"/>
      <c r="AB132" s="313"/>
      <c r="AC132" s="313"/>
      <c r="AD132" s="313"/>
      <c r="AE132" s="314"/>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5"/>
      <c r="BC132" s="55"/>
      <c r="BD132" s="55"/>
      <c r="BE132" s="55"/>
      <c r="BF132" s="55"/>
      <c r="BG132" s="55"/>
      <c r="BH132" s="55"/>
      <c r="BI132" s="55"/>
    </row>
    <row r="133" spans="1:61" ht="15" customHeight="1" x14ac:dyDescent="0.25">
      <c r="A133" s="55"/>
      <c r="B133" s="301"/>
      <c r="C133" s="301"/>
      <c r="D133" s="302"/>
      <c r="E133" s="279"/>
      <c r="F133" s="274"/>
      <c r="G133" s="274"/>
      <c r="H133" s="274"/>
      <c r="I133" s="274"/>
      <c r="J133" s="48" t="str">
        <f>IF(AND('Mapa final'!$AB$88="Media",'Mapa final'!$AD$88="Leve"),CONCATENATE("R28C",'Mapa final'!$R$88),"")</f>
        <v/>
      </c>
      <c r="K133" s="49" t="str">
        <f>IF(AND('Mapa final'!$AB$89="Media",'Mapa final'!$AD$89="Leve"),CONCATENATE("R28C",'Mapa final'!$R$89),"")</f>
        <v/>
      </c>
      <c r="L133" s="108" t="str">
        <f>IF(AND('Mapa final'!$AB$90="Media",'Mapa final'!$AD$90="Leve"),CONCATENATE("R28C",'Mapa final'!$R$90),"")</f>
        <v/>
      </c>
      <c r="M133" s="48" t="str">
        <f>IF(AND('Mapa final'!$AB$88="Media",'Mapa final'!$AD$88="Menor"),CONCATENATE("R28C",'Mapa final'!$R$88),"")</f>
        <v/>
      </c>
      <c r="N133" s="49" t="str">
        <f>IF(AND('Mapa final'!$AB$89="Media",'Mapa final'!$AD$89="Menor"),CONCATENATE("R28C",'Mapa final'!$R$89),"")</f>
        <v/>
      </c>
      <c r="O133" s="108" t="str">
        <f>IF(AND('Mapa final'!$AB$90="Media",'Mapa final'!$AD$90="Menor"),CONCATENATE("R28C",'Mapa final'!$R$90),"")</f>
        <v/>
      </c>
      <c r="P133" s="48" t="str">
        <f>IF(AND('Mapa final'!$AB$88="Media",'Mapa final'!$AD$88="Moderado"),CONCATENATE("R28C",'Mapa final'!$R$88),"")</f>
        <v/>
      </c>
      <c r="Q133" s="49" t="str">
        <f>IF(AND('Mapa final'!$AB$89="Media",'Mapa final'!$AD$89="Moderado"),CONCATENATE("R28C",'Mapa final'!$R$89),"")</f>
        <v/>
      </c>
      <c r="R133" s="108" t="str">
        <f>IF(AND('Mapa final'!$AB$90="Media",'Mapa final'!$AD$90="Moderado"),CONCATENATE("R28C",'Mapa final'!$R$90),"")</f>
        <v/>
      </c>
      <c r="S133" s="102" t="str">
        <f>IF(AND('Mapa final'!$AB$88="Media",'Mapa final'!$AD$88="Mayor"),CONCATENATE("R28C",'Mapa final'!$R$88),"")</f>
        <v/>
      </c>
      <c r="T133" s="41" t="str">
        <f>IF(AND('Mapa final'!$AB$89="Media",'Mapa final'!$AD$89="Mayor"),CONCATENATE("R28C",'Mapa final'!$R$89),"")</f>
        <v/>
      </c>
      <c r="U133" s="103" t="str">
        <f>IF(AND('Mapa final'!$AB$90="Media",'Mapa final'!$AD$90="Mayor"),CONCATENATE("R28C",'Mapa final'!$R$90),"")</f>
        <v/>
      </c>
      <c r="V133" s="42" t="str">
        <f>IF(AND('Mapa final'!$AB$88="Media",'Mapa final'!$AD$88="Catastrófico"),CONCATENATE("R28C",'Mapa final'!$R$88),"")</f>
        <v/>
      </c>
      <c r="W133" s="43" t="str">
        <f>IF(AND('Mapa final'!$AB$89="Media",'Mapa final'!$AD$89="Catastrófico"),CONCATENATE("R28C",'Mapa final'!$R$89),"")</f>
        <v/>
      </c>
      <c r="X133" s="97" t="str">
        <f>IF(AND('Mapa final'!$AB$90="Media",'Mapa final'!$AD$90="Catastrófico"),CONCATENATE("R28C",'Mapa final'!$R$90),"")</f>
        <v/>
      </c>
      <c r="Y133" s="55"/>
      <c r="Z133" s="312"/>
      <c r="AA133" s="313"/>
      <c r="AB133" s="313"/>
      <c r="AC133" s="313"/>
      <c r="AD133" s="313"/>
      <c r="AE133" s="314"/>
      <c r="AF133" s="55"/>
      <c r="AG133" s="55"/>
      <c r="AH133" s="55"/>
      <c r="AI133" s="55"/>
      <c r="AJ133" s="55"/>
      <c r="AK133" s="55"/>
      <c r="AL133" s="55"/>
      <c r="AM133" s="55"/>
      <c r="AN133" s="55"/>
      <c r="AO133" s="55"/>
      <c r="AP133" s="55"/>
      <c r="AQ133" s="55"/>
      <c r="AR133" s="55"/>
      <c r="AS133" s="55"/>
      <c r="AT133" s="55"/>
      <c r="AU133" s="55"/>
      <c r="AV133" s="55"/>
      <c r="AW133" s="55"/>
      <c r="AX133" s="55"/>
      <c r="AY133" s="55"/>
      <c r="AZ133" s="55"/>
      <c r="BA133" s="55"/>
      <c r="BB133" s="55"/>
      <c r="BC133" s="55"/>
      <c r="BD133" s="55"/>
      <c r="BE133" s="55"/>
      <c r="BF133" s="55"/>
      <c r="BG133" s="55"/>
      <c r="BH133" s="55"/>
      <c r="BI133" s="55"/>
    </row>
    <row r="134" spans="1:61" ht="15" customHeight="1" x14ac:dyDescent="0.25">
      <c r="A134" s="55"/>
      <c r="B134" s="301"/>
      <c r="C134" s="301"/>
      <c r="D134" s="302"/>
      <c r="E134" s="279"/>
      <c r="F134" s="274"/>
      <c r="G134" s="274"/>
      <c r="H134" s="274"/>
      <c r="I134" s="274"/>
      <c r="J134" s="48" t="str">
        <f>IF(AND('Mapa final'!$AB$91="Media",'Mapa final'!$AD$91="Leve"),CONCATENATE("R29C",'Mapa final'!$R$91),"")</f>
        <v/>
      </c>
      <c r="K134" s="49" t="str">
        <f>IF(AND('Mapa final'!$AB$92="Media",'Mapa final'!$AD$92="Leve"),CONCATENATE("R29C",'Mapa final'!$R$92),"")</f>
        <v/>
      </c>
      <c r="L134" s="108" t="str">
        <f>IF(AND('Mapa final'!$AB$93="Media",'Mapa final'!$AD$93="Leve"),CONCATENATE("R29C",'Mapa final'!$R$93),"")</f>
        <v/>
      </c>
      <c r="M134" s="48" t="str">
        <f>IF(AND('Mapa final'!$AB$91="Media",'Mapa final'!$AD$91="Menor"),CONCATENATE("R29C",'Mapa final'!$R$91),"")</f>
        <v/>
      </c>
      <c r="N134" s="49" t="str">
        <f>IF(AND('Mapa final'!$AB$92="Media",'Mapa final'!$AD$92="Menor"),CONCATENATE("R29C",'Mapa final'!$R$92),"")</f>
        <v/>
      </c>
      <c r="O134" s="108" t="str">
        <f>IF(AND('Mapa final'!$AB$93="Media",'Mapa final'!$AD$93="Menor"),CONCATENATE("R29C",'Mapa final'!$R$93),"")</f>
        <v/>
      </c>
      <c r="P134" s="48" t="str">
        <f>IF(AND('Mapa final'!$AB$91="Media",'Mapa final'!$AD$91="Moderado"),CONCATENATE("R29C",'Mapa final'!$R$91),"")</f>
        <v/>
      </c>
      <c r="Q134" s="49" t="str">
        <f>IF(AND('Mapa final'!$AB$92="Media",'Mapa final'!$AD$92="Moderado"),CONCATENATE("R29C",'Mapa final'!$R$92),"")</f>
        <v/>
      </c>
      <c r="R134" s="108" t="str">
        <f>IF(AND('Mapa final'!$AB$93="Media",'Mapa final'!$AD$93="Moderado"),CONCATENATE("R29C",'Mapa final'!$R$93),"")</f>
        <v/>
      </c>
      <c r="S134" s="102" t="str">
        <f>IF(AND('Mapa final'!$AB$91="Media",'Mapa final'!$AD$91="Mayor"),CONCATENATE("R29C",'Mapa final'!$R$91),"")</f>
        <v/>
      </c>
      <c r="T134" s="41" t="str">
        <f>IF(AND('Mapa final'!$AB$92="Media",'Mapa final'!$AD$92="Mayor"),CONCATENATE("R29C",'Mapa final'!$R$92),"")</f>
        <v/>
      </c>
      <c r="U134" s="103" t="str">
        <f>IF(AND('Mapa final'!$AB$93="Media",'Mapa final'!$AD$93="Mayor"),CONCATENATE("R29C",'Mapa final'!$R$93),"")</f>
        <v/>
      </c>
      <c r="V134" s="42" t="str">
        <f>IF(AND('Mapa final'!$AB$91="Media",'Mapa final'!$AD$91="Catastrófico"),CONCATENATE("R29C",'Mapa final'!$R$91),"")</f>
        <v/>
      </c>
      <c r="W134" s="43" t="str">
        <f>IF(AND('Mapa final'!$AB$92="Media",'Mapa final'!$AD$92="Catastrófico"),CONCATENATE("R29C",'Mapa final'!$R$92),"")</f>
        <v/>
      </c>
      <c r="X134" s="97" t="str">
        <f>IF(AND('Mapa final'!$AB$93="Media",'Mapa final'!$AD$93="Catastrófico"),CONCATENATE("R29C",'Mapa final'!$R$93),"")</f>
        <v/>
      </c>
      <c r="Y134" s="55"/>
      <c r="Z134" s="312"/>
      <c r="AA134" s="313"/>
      <c r="AB134" s="313"/>
      <c r="AC134" s="313"/>
      <c r="AD134" s="313"/>
      <c r="AE134" s="314"/>
      <c r="AF134" s="55"/>
      <c r="AG134" s="55"/>
      <c r="AH134" s="55"/>
      <c r="AI134" s="55"/>
      <c r="AJ134" s="55"/>
      <c r="AK134" s="55"/>
      <c r="AL134" s="55"/>
      <c r="AM134" s="55"/>
      <c r="AN134" s="55"/>
      <c r="AO134" s="55"/>
      <c r="AP134" s="55"/>
      <c r="AQ134" s="55"/>
      <c r="AR134" s="55"/>
      <c r="AS134" s="55"/>
      <c r="AT134" s="55"/>
      <c r="AU134" s="55"/>
      <c r="AV134" s="55"/>
      <c r="AW134" s="55"/>
      <c r="AX134" s="55"/>
      <c r="AY134" s="55"/>
      <c r="AZ134" s="55"/>
      <c r="BA134" s="55"/>
      <c r="BB134" s="55"/>
      <c r="BC134" s="55"/>
      <c r="BD134" s="55"/>
      <c r="BE134" s="55"/>
      <c r="BF134" s="55"/>
      <c r="BG134" s="55"/>
      <c r="BH134" s="55"/>
      <c r="BI134" s="55"/>
    </row>
    <row r="135" spans="1:61" ht="15" customHeight="1" x14ac:dyDescent="0.25">
      <c r="A135" s="55"/>
      <c r="B135" s="301"/>
      <c r="C135" s="301"/>
      <c r="D135" s="302"/>
      <c r="E135" s="279"/>
      <c r="F135" s="274"/>
      <c r="G135" s="274"/>
      <c r="H135" s="274"/>
      <c r="I135" s="274"/>
      <c r="J135" s="48" t="str">
        <f>IF(AND('Mapa final'!$AB$94="Media",'Mapa final'!$AD$94="Leve"),CONCATENATE("R30C",'Mapa final'!$R$94),"")</f>
        <v/>
      </c>
      <c r="K135" s="49" t="str">
        <f>IF(AND('Mapa final'!$AB$95="Media",'Mapa final'!$AD$95="Leve"),CONCATENATE("R30C",'Mapa final'!$R$95),"")</f>
        <v/>
      </c>
      <c r="L135" s="108" t="str">
        <f>IF(AND('Mapa final'!$AB$96="Media",'Mapa final'!$AD$96="Leve"),CONCATENATE("R30C",'Mapa final'!$R$96),"")</f>
        <v/>
      </c>
      <c r="M135" s="48" t="str">
        <f>IF(AND('Mapa final'!$AB$94="Media",'Mapa final'!$AD$94="Menor"),CONCATENATE("R30C",'Mapa final'!$R$94),"")</f>
        <v/>
      </c>
      <c r="N135" s="49" t="str">
        <f>IF(AND('Mapa final'!$AB$95="Media",'Mapa final'!$AD$95="Menor"),CONCATENATE("R30C",'Mapa final'!$R$95),"")</f>
        <v/>
      </c>
      <c r="O135" s="108" t="str">
        <f>IF(AND('Mapa final'!$AB$96="Media",'Mapa final'!$AD$96="Menor"),CONCATENATE("R30C",'Mapa final'!$R$96),"")</f>
        <v/>
      </c>
      <c r="P135" s="48" t="str">
        <f>IF(AND('Mapa final'!$AB$94="Media",'Mapa final'!$AD$94="Moderado"),CONCATENATE("R30C",'Mapa final'!$R$94),"")</f>
        <v/>
      </c>
      <c r="Q135" s="49" t="str">
        <f>IF(AND('Mapa final'!$AB$95="Media",'Mapa final'!$AD$95="Moderado"),CONCATENATE("R30C",'Mapa final'!$R$95),"")</f>
        <v/>
      </c>
      <c r="R135" s="108" t="str">
        <f>IF(AND('Mapa final'!$AB$96="Media",'Mapa final'!$AD$96="Moderado"),CONCATENATE("R30C",'Mapa final'!$R$96),"")</f>
        <v/>
      </c>
      <c r="S135" s="102" t="str">
        <f>IF(AND('Mapa final'!$AB$94="Media",'Mapa final'!$AD$94="Mayor"),CONCATENATE("R30C",'Mapa final'!$R$94),"")</f>
        <v>R30C1</v>
      </c>
      <c r="T135" s="41" t="str">
        <f>IF(AND('Mapa final'!$AB$95="Media",'Mapa final'!$AD$95="Mayor"),CONCATENATE("R30C",'Mapa final'!$R$95),"")</f>
        <v/>
      </c>
      <c r="U135" s="103" t="str">
        <f>IF(AND('Mapa final'!$AB$96="Media",'Mapa final'!$AD$96="Mayor"),CONCATENATE("R30C",'Mapa final'!$R$96),"")</f>
        <v/>
      </c>
      <c r="V135" s="42" t="str">
        <f>IF(AND('Mapa final'!$AB$94="Media",'Mapa final'!$AD$94="Catastrófico"),CONCATENATE("R30C",'Mapa final'!$R$94),"")</f>
        <v/>
      </c>
      <c r="W135" s="43" t="str">
        <f>IF(AND('Mapa final'!$AB$95="Media",'Mapa final'!$AD$95="Catastrófico"),CONCATENATE("R30C",'Mapa final'!$R$95),"")</f>
        <v/>
      </c>
      <c r="X135" s="97" t="str">
        <f>IF(AND('Mapa final'!$AB$96="Media",'Mapa final'!$AD$96="Catastrófico"),CONCATENATE("R30C",'Mapa final'!$R$96),"")</f>
        <v/>
      </c>
      <c r="Y135" s="55"/>
      <c r="Z135" s="312"/>
      <c r="AA135" s="313"/>
      <c r="AB135" s="313"/>
      <c r="AC135" s="313"/>
      <c r="AD135" s="313"/>
      <c r="AE135" s="314"/>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5"/>
      <c r="BC135" s="55"/>
      <c r="BD135" s="55"/>
      <c r="BE135" s="55"/>
      <c r="BF135" s="55"/>
      <c r="BG135" s="55"/>
      <c r="BH135" s="55"/>
      <c r="BI135" s="55"/>
    </row>
    <row r="136" spans="1:61" ht="15" customHeight="1" x14ac:dyDescent="0.25">
      <c r="A136" s="55"/>
      <c r="B136" s="301"/>
      <c r="C136" s="301"/>
      <c r="D136" s="302"/>
      <c r="E136" s="279"/>
      <c r="F136" s="274"/>
      <c r="G136" s="274"/>
      <c r="H136" s="274"/>
      <c r="I136" s="274"/>
      <c r="J136" s="48" t="str">
        <f>IF(AND('Mapa final'!$AB$97="Media",'Mapa final'!$AD$97="Leve"),CONCATENATE("R31C",'Mapa final'!$R$97),"")</f>
        <v/>
      </c>
      <c r="K136" s="49" t="str">
        <f>IF(AND('Mapa final'!$AB$98="Media",'Mapa final'!$AD$98="Leve"),CONCATENATE("R31C",'Mapa final'!$R$98),"")</f>
        <v/>
      </c>
      <c r="L136" s="108" t="str">
        <f>IF(AND('Mapa final'!$AB$99="Media",'Mapa final'!$AD$99="Leve"),CONCATENATE("R31C",'Mapa final'!$R$99),"")</f>
        <v/>
      </c>
      <c r="M136" s="48" t="str">
        <f>IF(AND('Mapa final'!$AB$97="Media",'Mapa final'!$AD$97="Menor"),CONCATENATE("R31C",'Mapa final'!$R$97),"")</f>
        <v/>
      </c>
      <c r="N136" s="49" t="str">
        <f>IF(AND('Mapa final'!$AB$98="Media",'Mapa final'!$AD$98="Menor"),CONCATENATE("R31C",'Mapa final'!$R$98),"")</f>
        <v/>
      </c>
      <c r="O136" s="108" t="str">
        <f>IF(AND('Mapa final'!$AB$99="Media",'Mapa final'!$AD$99="Menor"),CONCATENATE("R31C",'Mapa final'!$R$99),"")</f>
        <v/>
      </c>
      <c r="P136" s="48" t="str">
        <f>IF(AND('Mapa final'!$AB$97="Media",'Mapa final'!$AD$97="Moderado"),CONCATENATE("R31C",'Mapa final'!$R$97),"")</f>
        <v/>
      </c>
      <c r="Q136" s="49" t="str">
        <f>IF(AND('Mapa final'!$AB$98="Media",'Mapa final'!$AD$98="Moderado"),CONCATENATE("R31C",'Mapa final'!$R$98),"")</f>
        <v/>
      </c>
      <c r="R136" s="108" t="str">
        <f>IF(AND('Mapa final'!$AB$99="Media",'Mapa final'!$AD$99="Moderado"),CONCATENATE("R31C",'Mapa final'!$R$99),"")</f>
        <v/>
      </c>
      <c r="S136" s="102" t="str">
        <f>IF(AND('Mapa final'!$AB$97="Media",'Mapa final'!$AD$97="Mayor"),CONCATENATE("R31C",'Mapa final'!$R$97),"")</f>
        <v/>
      </c>
      <c r="T136" s="41" t="str">
        <f>IF(AND('Mapa final'!$AB$98="Media",'Mapa final'!$AD$98="Mayor"),CONCATENATE("R31C",'Mapa final'!$R$98),"")</f>
        <v/>
      </c>
      <c r="U136" s="103" t="str">
        <f>IF(AND('Mapa final'!$AB$99="Media",'Mapa final'!$AD$99="Mayor"),CONCATENATE("R31C",'Mapa final'!$R$99),"")</f>
        <v/>
      </c>
      <c r="V136" s="42" t="str">
        <f>IF(AND('Mapa final'!$AB$97="Media",'Mapa final'!$AD$97="Catastrófico"),CONCATENATE("R31C",'Mapa final'!$R$97),"")</f>
        <v/>
      </c>
      <c r="W136" s="43" t="str">
        <f>IF(AND('Mapa final'!$AB$98="Media",'Mapa final'!$AD$98="Catastrófico"),CONCATENATE("R31C",'Mapa final'!$R$98),"")</f>
        <v/>
      </c>
      <c r="X136" s="97" t="str">
        <f>IF(AND('Mapa final'!$AB$99="Media",'Mapa final'!$AD$99="Catastrófico"),CONCATENATE("R31C",'Mapa final'!$R$99),"")</f>
        <v/>
      </c>
      <c r="Y136" s="55"/>
      <c r="Z136" s="312"/>
      <c r="AA136" s="313"/>
      <c r="AB136" s="313"/>
      <c r="AC136" s="313"/>
      <c r="AD136" s="313"/>
      <c r="AE136" s="314"/>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c r="BI136" s="55"/>
    </row>
    <row r="137" spans="1:61" ht="15" customHeight="1" x14ac:dyDescent="0.25">
      <c r="A137" s="55"/>
      <c r="B137" s="301"/>
      <c r="C137" s="301"/>
      <c r="D137" s="302"/>
      <c r="E137" s="279"/>
      <c r="F137" s="274"/>
      <c r="G137" s="274"/>
      <c r="H137" s="274"/>
      <c r="I137" s="274"/>
      <c r="J137" s="48" t="e">
        <f>IF(AND('Mapa final'!#REF!="Media",'Mapa final'!#REF!="Leve"),CONCATENATE("R32C",'Mapa final'!#REF!),"")</f>
        <v>#REF!</v>
      </c>
      <c r="K137" s="49" t="e">
        <f>IF(AND('Mapa final'!#REF!="Media",'Mapa final'!#REF!="Leve"),CONCATENATE("R32C",'Mapa final'!#REF!),"")</f>
        <v>#REF!</v>
      </c>
      <c r="L137" s="108" t="e">
        <f>IF(AND('Mapa final'!#REF!="Media",'Mapa final'!#REF!="Leve"),CONCATENATE("R32C",'Mapa final'!#REF!),"")</f>
        <v>#REF!</v>
      </c>
      <c r="M137" s="48" t="e">
        <f>IF(AND('Mapa final'!#REF!="Media",'Mapa final'!#REF!="Menor"),CONCATENATE("R32C",'Mapa final'!#REF!),"")</f>
        <v>#REF!</v>
      </c>
      <c r="N137" s="49" t="e">
        <f>IF(AND('Mapa final'!#REF!="Media",'Mapa final'!#REF!="Menor"),CONCATENATE("R32C",'Mapa final'!#REF!),"")</f>
        <v>#REF!</v>
      </c>
      <c r="O137" s="108" t="e">
        <f>IF(AND('Mapa final'!#REF!="Media",'Mapa final'!#REF!="Menor"),CONCATENATE("R32C",'Mapa final'!#REF!),"")</f>
        <v>#REF!</v>
      </c>
      <c r="P137" s="48" t="e">
        <f>IF(AND('Mapa final'!#REF!="Media",'Mapa final'!#REF!="Moderado"),CONCATENATE("R32C",'Mapa final'!#REF!),"")</f>
        <v>#REF!</v>
      </c>
      <c r="Q137" s="49" t="e">
        <f>IF(AND('Mapa final'!#REF!="Media",'Mapa final'!#REF!="Moderado"),CONCATENATE("R32C",'Mapa final'!#REF!),"")</f>
        <v>#REF!</v>
      </c>
      <c r="R137" s="108" t="e">
        <f>IF(AND('Mapa final'!#REF!="Media",'Mapa final'!#REF!="Moderado"),CONCATENATE("R32C",'Mapa final'!#REF!),"")</f>
        <v>#REF!</v>
      </c>
      <c r="S137" s="102" t="e">
        <f>IF(AND('Mapa final'!#REF!="Media",'Mapa final'!#REF!="Mayor"),CONCATENATE("R32C",'Mapa final'!#REF!),"")</f>
        <v>#REF!</v>
      </c>
      <c r="T137" s="41" t="e">
        <f>IF(AND('Mapa final'!#REF!="Media",'Mapa final'!#REF!="Mayor"),CONCATENATE("R32C",'Mapa final'!#REF!),"")</f>
        <v>#REF!</v>
      </c>
      <c r="U137" s="103" t="e">
        <f>IF(AND('Mapa final'!#REF!="Media",'Mapa final'!#REF!="Mayor"),CONCATENATE("R32C",'Mapa final'!#REF!),"")</f>
        <v>#REF!</v>
      </c>
      <c r="V137" s="42" t="e">
        <f>IF(AND('Mapa final'!#REF!="Media",'Mapa final'!#REF!="Catastrófico"),CONCATENATE("R32C",'Mapa final'!#REF!),"")</f>
        <v>#REF!</v>
      </c>
      <c r="W137" s="43" t="e">
        <f>IF(AND('Mapa final'!#REF!="Media",'Mapa final'!#REF!="Catastrófico"),CONCATENATE("R32C",'Mapa final'!#REF!),"")</f>
        <v>#REF!</v>
      </c>
      <c r="X137" s="97" t="e">
        <f>IF(AND('Mapa final'!#REF!="Media",'Mapa final'!#REF!="Catastrófico"),CONCATENATE("R32C",'Mapa final'!#REF!),"")</f>
        <v>#REF!</v>
      </c>
      <c r="Y137" s="55"/>
      <c r="Z137" s="312"/>
      <c r="AA137" s="313"/>
      <c r="AB137" s="313"/>
      <c r="AC137" s="313"/>
      <c r="AD137" s="313"/>
      <c r="AE137" s="314"/>
      <c r="AF137" s="55"/>
      <c r="AG137" s="55"/>
      <c r="AH137" s="55"/>
      <c r="AI137" s="55"/>
      <c r="AJ137" s="55"/>
      <c r="AK137" s="55"/>
      <c r="AL137" s="55"/>
      <c r="AM137" s="55"/>
      <c r="AN137" s="55"/>
      <c r="AO137" s="55"/>
      <c r="AP137" s="55"/>
      <c r="AQ137" s="55"/>
      <c r="AR137" s="55"/>
      <c r="AS137" s="55"/>
      <c r="AT137" s="55"/>
      <c r="AU137" s="55"/>
      <c r="AV137" s="55"/>
      <c r="AW137" s="55"/>
      <c r="AX137" s="55"/>
      <c r="AY137" s="55"/>
      <c r="AZ137" s="55"/>
      <c r="BA137" s="55"/>
      <c r="BB137" s="55"/>
      <c r="BC137" s="55"/>
      <c r="BD137" s="55"/>
      <c r="BE137" s="55"/>
      <c r="BF137" s="55"/>
      <c r="BG137" s="55"/>
      <c r="BH137" s="55"/>
      <c r="BI137" s="55"/>
    </row>
    <row r="138" spans="1:61" ht="15" customHeight="1" x14ac:dyDescent="0.25">
      <c r="A138" s="55"/>
      <c r="B138" s="301"/>
      <c r="C138" s="301"/>
      <c r="D138" s="302"/>
      <c r="E138" s="279"/>
      <c r="F138" s="274"/>
      <c r="G138" s="274"/>
      <c r="H138" s="274"/>
      <c r="I138" s="274"/>
      <c r="J138" s="48" t="str">
        <f>IF(AND('Mapa final'!$AB$100="Media",'Mapa final'!$AD$100="Leve"),CONCATENATE("R33C",'Mapa final'!$R$100),"")</f>
        <v/>
      </c>
      <c r="K138" s="49" t="str">
        <f>IF(AND('Mapa final'!$AB$101="Media",'Mapa final'!$AD$101="Leve"),CONCATENATE("R33C",'Mapa final'!$R$101),"")</f>
        <v/>
      </c>
      <c r="L138" s="108" t="str">
        <f>IF(AND('Mapa final'!$AB$102="Media",'Mapa final'!$AD$102="Leve"),CONCATENATE("R33C",'Mapa final'!$R$102),"")</f>
        <v/>
      </c>
      <c r="M138" s="48" t="str">
        <f>IF(AND('Mapa final'!$AB$100="Media",'Mapa final'!$AD$100="Menor"),CONCATENATE("R33C",'Mapa final'!$R$100),"")</f>
        <v/>
      </c>
      <c r="N138" s="49" t="str">
        <f>IF(AND('Mapa final'!$AB$101="Media",'Mapa final'!$AD$101="Menor"),CONCATENATE("R33C",'Mapa final'!$R$101),"")</f>
        <v/>
      </c>
      <c r="O138" s="108" t="str">
        <f>IF(AND('Mapa final'!$AB$102="Media",'Mapa final'!$AD$102="Menor"),CONCATENATE("R33C",'Mapa final'!$R$102),"")</f>
        <v/>
      </c>
      <c r="P138" s="48" t="str">
        <f>IF(AND('Mapa final'!$AB$100="Media",'Mapa final'!$AD$100="Moderado"),CONCATENATE("R33C",'Mapa final'!$R$100),"")</f>
        <v>R33C1</v>
      </c>
      <c r="Q138" s="49" t="str">
        <f>IF(AND('Mapa final'!$AB$101="Media",'Mapa final'!$AD$101="Moderado"),CONCATENATE("R33C",'Mapa final'!$R$101),"")</f>
        <v/>
      </c>
      <c r="R138" s="108" t="str">
        <f>IF(AND('Mapa final'!$AB$102="Media",'Mapa final'!$AD$102="Moderado"),CONCATENATE("R33C",'Mapa final'!$R$102),"")</f>
        <v/>
      </c>
      <c r="S138" s="102" t="str">
        <f>IF(AND('Mapa final'!$AB$100="Media",'Mapa final'!$AD$100="Mayor"),CONCATENATE("R33C",'Mapa final'!$R$100),"")</f>
        <v/>
      </c>
      <c r="T138" s="41" t="str">
        <f>IF(AND('Mapa final'!$AB$101="Media",'Mapa final'!$AD$101="Mayor"),CONCATENATE("R33C",'Mapa final'!$R$101),"")</f>
        <v/>
      </c>
      <c r="U138" s="103" t="str">
        <f>IF(AND('Mapa final'!$AB$102="Media",'Mapa final'!$AD$102="Mayor"),CONCATENATE("R33C",'Mapa final'!$R$102),"")</f>
        <v/>
      </c>
      <c r="V138" s="42" t="str">
        <f>IF(AND('Mapa final'!$AB$100="Media",'Mapa final'!$AD$100="Catastrófico"),CONCATENATE("R33C",'Mapa final'!$R$100),"")</f>
        <v/>
      </c>
      <c r="W138" s="43" t="str">
        <f>IF(AND('Mapa final'!$AB$101="Media",'Mapa final'!$AD$101="Catastrófico"),CONCATENATE("R33C",'Mapa final'!$R$101),"")</f>
        <v/>
      </c>
      <c r="X138" s="97" t="str">
        <f>IF(AND('Mapa final'!$AB$102="Media",'Mapa final'!$AD$102="Catastrófico"),CONCATENATE("R33C",'Mapa final'!$R$102),"")</f>
        <v/>
      </c>
      <c r="Y138" s="55"/>
      <c r="Z138" s="312"/>
      <c r="AA138" s="313"/>
      <c r="AB138" s="313"/>
      <c r="AC138" s="313"/>
      <c r="AD138" s="313"/>
      <c r="AE138" s="314"/>
      <c r="AF138" s="55"/>
      <c r="AG138" s="55"/>
      <c r="AH138" s="55"/>
      <c r="AI138" s="55"/>
      <c r="AJ138" s="55"/>
      <c r="AK138" s="55"/>
      <c r="AL138" s="55"/>
      <c r="AM138" s="55"/>
      <c r="AN138" s="55"/>
      <c r="AO138" s="55"/>
      <c r="AP138" s="55"/>
      <c r="AQ138" s="55"/>
      <c r="AR138" s="55"/>
      <c r="AS138" s="55"/>
      <c r="AT138" s="55"/>
      <c r="AU138" s="55"/>
      <c r="AV138" s="55"/>
      <c r="AW138" s="55"/>
      <c r="AX138" s="55"/>
      <c r="AY138" s="55"/>
      <c r="AZ138" s="55"/>
      <c r="BA138" s="55"/>
      <c r="BB138" s="55"/>
      <c r="BC138" s="55"/>
      <c r="BD138" s="55"/>
      <c r="BE138" s="55"/>
      <c r="BF138" s="55"/>
      <c r="BG138" s="55"/>
      <c r="BH138" s="55"/>
      <c r="BI138" s="55"/>
    </row>
    <row r="139" spans="1:61" ht="15" customHeight="1" x14ac:dyDescent="0.25">
      <c r="A139" s="55"/>
      <c r="B139" s="301"/>
      <c r="C139" s="301"/>
      <c r="D139" s="302"/>
      <c r="E139" s="279"/>
      <c r="F139" s="274"/>
      <c r="G139" s="274"/>
      <c r="H139" s="274"/>
      <c r="I139" s="274"/>
      <c r="J139" s="48" t="str">
        <f>IF(AND('Mapa final'!$AB$103="Media",'Mapa final'!$AD$103="Leve"),CONCATENATE("R34C",'Mapa final'!$R$103),"")</f>
        <v/>
      </c>
      <c r="K139" s="49" t="str">
        <f>IF(AND('Mapa final'!$AB$104="Media",'Mapa final'!$AD$104="Leve"),CONCATENATE("R34C",'Mapa final'!$R$104),"")</f>
        <v/>
      </c>
      <c r="L139" s="108" t="str">
        <f>IF(AND('Mapa final'!$AB$105="Media",'Mapa final'!$AD$105="Leve"),CONCATENATE("R34C",'Mapa final'!$R$105),"")</f>
        <v/>
      </c>
      <c r="M139" s="48" t="str">
        <f>IF(AND('Mapa final'!$AB$103="Media",'Mapa final'!$AD$103="Menor"),CONCATENATE("R34C",'Mapa final'!$R$103),"")</f>
        <v/>
      </c>
      <c r="N139" s="49" t="str">
        <f>IF(AND('Mapa final'!$AB$104="Media",'Mapa final'!$AD$104="Menor"),CONCATENATE("R34C",'Mapa final'!$R$104),"")</f>
        <v/>
      </c>
      <c r="O139" s="108" t="str">
        <f>IF(AND('Mapa final'!$AB$105="Media",'Mapa final'!$AD$105="Menor"),CONCATENATE("R34C",'Mapa final'!$R$105),"")</f>
        <v/>
      </c>
      <c r="P139" s="48" t="str">
        <f>IF(AND('Mapa final'!$AB$103="Media",'Mapa final'!$AD$103="Moderado"),CONCATENATE("R34C",'Mapa final'!$R$103),"")</f>
        <v>R34C1</v>
      </c>
      <c r="Q139" s="49" t="str">
        <f>IF(AND('Mapa final'!$AB$104="Media",'Mapa final'!$AD$104="Moderado"),CONCATENATE("R34C",'Mapa final'!$R$104),"")</f>
        <v/>
      </c>
      <c r="R139" s="108" t="str">
        <f>IF(AND('Mapa final'!$AB$105="Media",'Mapa final'!$AD$105="Moderado"),CONCATENATE("R34C",'Mapa final'!$R$105),"")</f>
        <v/>
      </c>
      <c r="S139" s="102" t="str">
        <f>IF(AND('Mapa final'!$AB$103="Media",'Mapa final'!$AD$103="Mayor"),CONCATENATE("R34C",'Mapa final'!$R$103),"")</f>
        <v/>
      </c>
      <c r="T139" s="41" t="str">
        <f>IF(AND('Mapa final'!$AB$104="Media",'Mapa final'!$AD$104="Mayor"),CONCATENATE("R34C",'Mapa final'!$R$104),"")</f>
        <v/>
      </c>
      <c r="U139" s="103" t="str">
        <f>IF(AND('Mapa final'!$AB$105="Media",'Mapa final'!$AD$105="Mayor"),CONCATENATE("R34C",'Mapa final'!$R$105),"")</f>
        <v/>
      </c>
      <c r="V139" s="42" t="str">
        <f>IF(AND('Mapa final'!$AB$103="Media",'Mapa final'!$AD$103="Catastrófico"),CONCATENATE("R34C",'Mapa final'!$R$103),"")</f>
        <v/>
      </c>
      <c r="W139" s="43" t="str">
        <f>IF(AND('Mapa final'!$AB$104="Media",'Mapa final'!$AD$104="Catastrófico"),CONCATENATE("R34C",'Mapa final'!$R$104),"")</f>
        <v/>
      </c>
      <c r="X139" s="97" t="str">
        <f>IF(AND('Mapa final'!$AB$105="Media",'Mapa final'!$AD$105="Catastrófico"),CONCATENATE("R34C",'Mapa final'!$R$105),"")</f>
        <v/>
      </c>
      <c r="Y139" s="55"/>
      <c r="Z139" s="312"/>
      <c r="AA139" s="313"/>
      <c r="AB139" s="313"/>
      <c r="AC139" s="313"/>
      <c r="AD139" s="313"/>
      <c r="AE139" s="314"/>
      <c r="AF139" s="55"/>
      <c r="AG139" s="55"/>
      <c r="AH139" s="55"/>
      <c r="AI139" s="55"/>
      <c r="AJ139" s="55"/>
      <c r="AK139" s="55"/>
      <c r="AL139" s="55"/>
      <c r="AM139" s="55"/>
      <c r="AN139" s="55"/>
      <c r="AO139" s="55"/>
      <c r="AP139" s="55"/>
      <c r="AQ139" s="55"/>
      <c r="AR139" s="55"/>
      <c r="AS139" s="55"/>
      <c r="AT139" s="55"/>
      <c r="AU139" s="55"/>
      <c r="AV139" s="55"/>
      <c r="AW139" s="55"/>
      <c r="AX139" s="55"/>
      <c r="AY139" s="55"/>
      <c r="AZ139" s="55"/>
      <c r="BA139" s="55"/>
      <c r="BB139" s="55"/>
      <c r="BC139" s="55"/>
      <c r="BD139" s="55"/>
      <c r="BE139" s="55"/>
      <c r="BF139" s="55"/>
      <c r="BG139" s="55"/>
      <c r="BH139" s="55"/>
      <c r="BI139" s="55"/>
    </row>
    <row r="140" spans="1:61" ht="15" customHeight="1" x14ac:dyDescent="0.25">
      <c r="A140" s="55"/>
      <c r="B140" s="301"/>
      <c r="C140" s="301"/>
      <c r="D140" s="302"/>
      <c r="E140" s="279"/>
      <c r="F140" s="274"/>
      <c r="G140" s="274"/>
      <c r="H140" s="274"/>
      <c r="I140" s="274"/>
      <c r="J140" s="48" t="str">
        <f>IF(AND('Mapa final'!$AB$106="Media",'Mapa final'!$AD$106="Leve"),CONCATENATE("R35C",'Mapa final'!$R$106),"")</f>
        <v/>
      </c>
      <c r="K140" s="49" t="str">
        <f>IF(AND('Mapa final'!$AB$107="Media",'Mapa final'!$AD$107="Leve"),CONCATENATE("R35C",'Mapa final'!$R$107),"")</f>
        <v/>
      </c>
      <c r="L140" s="108" t="str">
        <f>IF(AND('Mapa final'!$AB$108="Media",'Mapa final'!$AD$108="Leve"),CONCATENATE("R35C",'Mapa final'!$R$108),"")</f>
        <v/>
      </c>
      <c r="M140" s="48" t="str">
        <f>IF(AND('Mapa final'!$AB$106="Media",'Mapa final'!$AD$106="Menor"),CONCATENATE("R35C",'Mapa final'!$R$106),"")</f>
        <v/>
      </c>
      <c r="N140" s="49" t="str">
        <f>IF(AND('Mapa final'!$AB$107="Media",'Mapa final'!$AD$107="Menor"),CONCATENATE("R35C",'Mapa final'!$R$107),"")</f>
        <v/>
      </c>
      <c r="O140" s="108" t="str">
        <f>IF(AND('Mapa final'!$AB$108="Media",'Mapa final'!$AD$108="Menor"),CONCATENATE("R35C",'Mapa final'!$R$108),"")</f>
        <v/>
      </c>
      <c r="P140" s="48" t="str">
        <f>IF(AND('Mapa final'!$AB$106="Media",'Mapa final'!$AD$106="Moderado"),CONCATENATE("R35C",'Mapa final'!$R$106),"")</f>
        <v/>
      </c>
      <c r="Q140" s="49" t="str">
        <f>IF(AND('Mapa final'!$AB$107="Media",'Mapa final'!$AD$107="Moderado"),CONCATENATE("R35C",'Mapa final'!$R$107),"")</f>
        <v/>
      </c>
      <c r="R140" s="108" t="str">
        <f>IF(AND('Mapa final'!$AB$108="Media",'Mapa final'!$AD$108="Moderado"),CONCATENATE("R35C",'Mapa final'!$R$108),"")</f>
        <v/>
      </c>
      <c r="S140" s="102" t="str">
        <f>IF(AND('Mapa final'!$AB$106="Media",'Mapa final'!$AD$106="Mayor"),CONCATENATE("R35C",'Mapa final'!$R$106),"")</f>
        <v/>
      </c>
      <c r="T140" s="41" t="str">
        <f>IF(AND('Mapa final'!$AB$107="Media",'Mapa final'!$AD$107="Mayor"),CONCATENATE("R35C",'Mapa final'!$R$107),"")</f>
        <v/>
      </c>
      <c r="U140" s="103" t="str">
        <f>IF(AND('Mapa final'!$AB$108="Media",'Mapa final'!$AD$108="Mayor"),CONCATENATE("R35C",'Mapa final'!$R$108),"")</f>
        <v/>
      </c>
      <c r="V140" s="42" t="str">
        <f>IF(AND('Mapa final'!$AB$106="Media",'Mapa final'!$AD$106="Catastrófico"),CONCATENATE("R35C",'Mapa final'!$R$106),"")</f>
        <v/>
      </c>
      <c r="W140" s="43" t="str">
        <f>IF(AND('Mapa final'!$AB$107="Media",'Mapa final'!$AD$107="Catastrófico"),CONCATENATE("R35C",'Mapa final'!$R$107),"")</f>
        <v/>
      </c>
      <c r="X140" s="97" t="str">
        <f>IF(AND('Mapa final'!$AB$108="Media",'Mapa final'!$AD$108="Catastrófico"),CONCATENATE("R35C",'Mapa final'!$R$108),"")</f>
        <v/>
      </c>
      <c r="Y140" s="55"/>
      <c r="Z140" s="312"/>
      <c r="AA140" s="313"/>
      <c r="AB140" s="313"/>
      <c r="AC140" s="313"/>
      <c r="AD140" s="313"/>
      <c r="AE140" s="314"/>
      <c r="AF140" s="55"/>
      <c r="AG140" s="55"/>
      <c r="AH140" s="55"/>
      <c r="AI140" s="55"/>
      <c r="AJ140" s="55"/>
      <c r="AK140" s="55"/>
      <c r="AL140" s="55"/>
      <c r="AM140" s="55"/>
      <c r="AN140" s="55"/>
      <c r="AO140" s="55"/>
      <c r="AP140" s="55"/>
      <c r="AQ140" s="55"/>
      <c r="AR140" s="55"/>
      <c r="AS140" s="55"/>
      <c r="AT140" s="55"/>
      <c r="AU140" s="55"/>
      <c r="AV140" s="55"/>
      <c r="AW140" s="55"/>
      <c r="AX140" s="55"/>
      <c r="AY140" s="55"/>
      <c r="AZ140" s="55"/>
      <c r="BA140" s="55"/>
      <c r="BB140" s="55"/>
      <c r="BC140" s="55"/>
      <c r="BD140" s="55"/>
      <c r="BE140" s="55"/>
      <c r="BF140" s="55"/>
      <c r="BG140" s="55"/>
      <c r="BH140" s="55"/>
      <c r="BI140" s="55"/>
    </row>
    <row r="141" spans="1:61" ht="15" customHeight="1" x14ac:dyDescent="0.25">
      <c r="A141" s="55"/>
      <c r="B141" s="301"/>
      <c r="C141" s="301"/>
      <c r="D141" s="302"/>
      <c r="E141" s="279"/>
      <c r="F141" s="274"/>
      <c r="G141" s="274"/>
      <c r="H141" s="274"/>
      <c r="I141" s="274"/>
      <c r="J141" s="48" t="str">
        <f>IF(AND('Mapa final'!$AB$109="Media",'Mapa final'!$AD$109="Leve"),CONCATENATE("R36C",'Mapa final'!$R$109),"")</f>
        <v/>
      </c>
      <c r="K141" s="49" t="str">
        <f>IF(AND('Mapa final'!$AB$110="Media",'Mapa final'!$AD$110="Leve"),CONCATENATE("R36C",'Mapa final'!$R$110),"")</f>
        <v/>
      </c>
      <c r="L141" s="108" t="str">
        <f>IF(AND('Mapa final'!$AB$111="Media",'Mapa final'!$AD$111="Leve"),CONCATENATE("R36C",'Mapa final'!$R$111),"")</f>
        <v/>
      </c>
      <c r="M141" s="48" t="str">
        <f>IF(AND('Mapa final'!$AB$109="Media",'Mapa final'!$AD$109="Menor"),CONCATENATE("R36C",'Mapa final'!$R$109),"")</f>
        <v/>
      </c>
      <c r="N141" s="49" t="str">
        <f>IF(AND('Mapa final'!$AB$110="Media",'Mapa final'!$AD$110="Menor"),CONCATENATE("R36C",'Mapa final'!$R$110),"")</f>
        <v/>
      </c>
      <c r="O141" s="108" t="str">
        <f>IF(AND('Mapa final'!$AB$111="Media",'Mapa final'!$AD$111="Menor"),CONCATENATE("R36C",'Mapa final'!$R$111),"")</f>
        <v/>
      </c>
      <c r="P141" s="48" t="str">
        <f>IF(AND('Mapa final'!$AB$109="Media",'Mapa final'!$AD$109="Moderado"),CONCATENATE("R36C",'Mapa final'!$R$109),"")</f>
        <v/>
      </c>
      <c r="Q141" s="49" t="str">
        <f>IF(AND('Mapa final'!$AB$110="Media",'Mapa final'!$AD$110="Moderado"),CONCATENATE("R36C",'Mapa final'!$R$110),"")</f>
        <v/>
      </c>
      <c r="R141" s="108" t="str">
        <f>IF(AND('Mapa final'!$AB$111="Media",'Mapa final'!$AD$111="Moderado"),CONCATENATE("R36C",'Mapa final'!$R$111),"")</f>
        <v/>
      </c>
      <c r="S141" s="102" t="str">
        <f>IF(AND('Mapa final'!$AB$109="Media",'Mapa final'!$AD$109="Mayor"),CONCATENATE("R36C",'Mapa final'!$R$109),"")</f>
        <v/>
      </c>
      <c r="T141" s="41" t="str">
        <f>IF(AND('Mapa final'!$AB$110="Media",'Mapa final'!$AD$110="Mayor"),CONCATENATE("R36C",'Mapa final'!$R$110),"")</f>
        <v/>
      </c>
      <c r="U141" s="103" t="str">
        <f>IF(AND('Mapa final'!$AB$111="Media",'Mapa final'!$AD$111="Mayor"),CONCATENATE("R36C",'Mapa final'!$R$111),"")</f>
        <v/>
      </c>
      <c r="V141" s="42" t="str">
        <f>IF(AND('Mapa final'!$AB$109="Media",'Mapa final'!$AD$109="Catastrófico"),CONCATENATE("R36C",'Mapa final'!$R$109),"")</f>
        <v/>
      </c>
      <c r="W141" s="43" t="str">
        <f>IF(AND('Mapa final'!$AB$110="Media",'Mapa final'!$AD$110="Catastrófico"),CONCATENATE("R36C",'Mapa final'!$R$110),"")</f>
        <v/>
      </c>
      <c r="X141" s="97" t="str">
        <f>IF(AND('Mapa final'!$AB$111="Media",'Mapa final'!$AD$111="Catastrófico"),CONCATENATE("R36C",'Mapa final'!$R$111),"")</f>
        <v/>
      </c>
      <c r="Y141" s="55"/>
      <c r="Z141" s="312"/>
      <c r="AA141" s="313"/>
      <c r="AB141" s="313"/>
      <c r="AC141" s="313"/>
      <c r="AD141" s="313"/>
      <c r="AE141" s="314"/>
      <c r="AF141" s="55"/>
      <c r="AG141" s="55"/>
      <c r="AH141" s="55"/>
      <c r="AI141" s="55"/>
      <c r="AJ141" s="55"/>
      <c r="AK141" s="55"/>
      <c r="AL141" s="55"/>
      <c r="AM141" s="55"/>
      <c r="AN141" s="55"/>
      <c r="AO141" s="55"/>
      <c r="AP141" s="55"/>
      <c r="AQ141" s="55"/>
      <c r="AR141" s="55"/>
      <c r="AS141" s="55"/>
      <c r="AT141" s="55"/>
      <c r="AU141" s="55"/>
      <c r="AV141" s="55"/>
      <c r="AW141" s="55"/>
      <c r="AX141" s="55"/>
      <c r="AY141" s="55"/>
      <c r="AZ141" s="55"/>
      <c r="BA141" s="55"/>
      <c r="BB141" s="55"/>
      <c r="BC141" s="55"/>
      <c r="BD141" s="55"/>
      <c r="BE141" s="55"/>
      <c r="BF141" s="55"/>
      <c r="BG141" s="55"/>
      <c r="BH141" s="55"/>
      <c r="BI141" s="55"/>
    </row>
    <row r="142" spans="1:61" ht="15" customHeight="1" x14ac:dyDescent="0.25">
      <c r="A142" s="55"/>
      <c r="B142" s="301"/>
      <c r="C142" s="301"/>
      <c r="D142" s="302"/>
      <c r="E142" s="279"/>
      <c r="F142" s="274"/>
      <c r="G142" s="274"/>
      <c r="H142" s="274"/>
      <c r="I142" s="274"/>
      <c r="J142" s="48" t="str">
        <f>IF(AND('Mapa final'!$AB$112="Media",'Mapa final'!$AD$112="Leve"),CONCATENATE("R37C",'Mapa final'!$R$112),"")</f>
        <v/>
      </c>
      <c r="K142" s="49" t="str">
        <f>IF(AND('Mapa final'!$AB$113="Media",'Mapa final'!$AD$113="Leve"),CONCATENATE("R37C",'Mapa final'!$R$113),"")</f>
        <v/>
      </c>
      <c r="L142" s="108" t="str">
        <f>IF(AND('Mapa final'!$AB$114="Media",'Mapa final'!$AD$114="Leve"),CONCATENATE("R37C",'Mapa final'!$R$114),"")</f>
        <v/>
      </c>
      <c r="M142" s="48" t="str">
        <f>IF(AND('Mapa final'!$AB$112="Media",'Mapa final'!$AD$112="Menor"),CONCATENATE("R37C",'Mapa final'!$R$112),"")</f>
        <v/>
      </c>
      <c r="N142" s="49" t="str">
        <f>IF(AND('Mapa final'!$AB$113="Media",'Mapa final'!$AD$113="Menor"),CONCATENATE("R37C",'Mapa final'!$R$113),"")</f>
        <v/>
      </c>
      <c r="O142" s="108" t="str">
        <f>IF(AND('Mapa final'!$AB$114="Media",'Mapa final'!$AD$114="Menor"),CONCATENATE("R37C",'Mapa final'!$R$114),"")</f>
        <v/>
      </c>
      <c r="P142" s="48" t="str">
        <f>IF(AND('Mapa final'!$AB$112="Media",'Mapa final'!$AD$112="Moderado"),CONCATENATE("R37C",'Mapa final'!$R$112),"")</f>
        <v/>
      </c>
      <c r="Q142" s="49" t="str">
        <f>IF(AND('Mapa final'!$AB$113="Media",'Mapa final'!$AD$113="Moderado"),CONCATENATE("R37C",'Mapa final'!$R$113),"")</f>
        <v/>
      </c>
      <c r="R142" s="108" t="str">
        <f>IF(AND('Mapa final'!$AB$114="Media",'Mapa final'!$AD$114="Moderado"),CONCATENATE("R37C",'Mapa final'!$R$114),"")</f>
        <v/>
      </c>
      <c r="S142" s="102" t="str">
        <f>IF(AND('Mapa final'!$AB$112="Media",'Mapa final'!$AD$112="Mayor"),CONCATENATE("R37C",'Mapa final'!$R$112),"")</f>
        <v/>
      </c>
      <c r="T142" s="41" t="str">
        <f>IF(AND('Mapa final'!$AB$113="Media",'Mapa final'!$AD$113="Mayor"),CONCATENATE("R37C",'Mapa final'!$R$113),"")</f>
        <v/>
      </c>
      <c r="U142" s="103" t="str">
        <f>IF(AND('Mapa final'!$AB$114="Media",'Mapa final'!$AD$114="Mayor"),CONCATENATE("R37C",'Mapa final'!$R$114),"")</f>
        <v/>
      </c>
      <c r="V142" s="42" t="str">
        <f>IF(AND('Mapa final'!$AB$112="Media",'Mapa final'!$AD$112="Catastrófico"),CONCATENATE("R37C",'Mapa final'!$R$112),"")</f>
        <v/>
      </c>
      <c r="W142" s="43" t="str">
        <f>IF(AND('Mapa final'!$AB$113="Media",'Mapa final'!$AD$113="Catastrófico"),CONCATENATE("R37C",'Mapa final'!$R$113),"")</f>
        <v/>
      </c>
      <c r="X142" s="97" t="str">
        <f>IF(AND('Mapa final'!$AB$114="Media",'Mapa final'!$AD$114="Catastrófico"),CONCATENATE("R37C",'Mapa final'!$R$114),"")</f>
        <v/>
      </c>
      <c r="Y142" s="55"/>
      <c r="Z142" s="312"/>
      <c r="AA142" s="313"/>
      <c r="AB142" s="313"/>
      <c r="AC142" s="313"/>
      <c r="AD142" s="313"/>
      <c r="AE142" s="314"/>
      <c r="AF142" s="55"/>
      <c r="AG142" s="55"/>
      <c r="AH142" s="55"/>
      <c r="AI142" s="55"/>
      <c r="AJ142" s="55"/>
      <c r="AK142" s="55"/>
      <c r="AL142" s="55"/>
      <c r="AM142" s="55"/>
      <c r="AN142" s="55"/>
      <c r="AO142" s="55"/>
      <c r="AP142" s="55"/>
      <c r="AQ142" s="55"/>
      <c r="AR142" s="55"/>
      <c r="AS142" s="55"/>
      <c r="AT142" s="55"/>
      <c r="AU142" s="55"/>
      <c r="AV142" s="55"/>
      <c r="AW142" s="55"/>
      <c r="AX142" s="55"/>
      <c r="AY142" s="55"/>
      <c r="AZ142" s="55"/>
      <c r="BA142" s="55"/>
      <c r="BB142" s="55"/>
      <c r="BC142" s="55"/>
      <c r="BD142" s="55"/>
      <c r="BE142" s="55"/>
      <c r="BF142" s="55"/>
      <c r="BG142" s="55"/>
      <c r="BH142" s="55"/>
      <c r="BI142" s="55"/>
    </row>
    <row r="143" spans="1:61" ht="15" customHeight="1" x14ac:dyDescent="0.25">
      <c r="A143" s="55"/>
      <c r="B143" s="301"/>
      <c r="C143" s="301"/>
      <c r="D143" s="302"/>
      <c r="E143" s="279"/>
      <c r="F143" s="274"/>
      <c r="G143" s="274"/>
      <c r="H143" s="274"/>
      <c r="I143" s="274"/>
      <c r="J143" s="48" t="str">
        <f>IF(AND('Mapa final'!$AB$115="Media",'Mapa final'!$AD$115="Leve"),CONCATENATE("R38C",'Mapa final'!$R$115),"")</f>
        <v/>
      </c>
      <c r="K143" s="49" t="str">
        <f>IF(AND('Mapa final'!$AB$116="Media",'Mapa final'!$AD$116="Leve"),CONCATENATE("R38C",'Mapa final'!$R$116),"")</f>
        <v/>
      </c>
      <c r="L143" s="108" t="str">
        <f>IF(AND('Mapa final'!$AB$117="Media",'Mapa final'!$AD$117="Leve"),CONCATENATE("R38C",'Mapa final'!$R$117),"")</f>
        <v/>
      </c>
      <c r="M143" s="48" t="str">
        <f>IF(AND('Mapa final'!$AB$115="Media",'Mapa final'!$AD$115="Menor"),CONCATENATE("R38C",'Mapa final'!$R$115),"")</f>
        <v/>
      </c>
      <c r="N143" s="49" t="str">
        <f>IF(AND('Mapa final'!$AB$116="Media",'Mapa final'!$AD$116="Menor"),CONCATENATE("R38C",'Mapa final'!$R$116),"")</f>
        <v/>
      </c>
      <c r="O143" s="108" t="str">
        <f>IF(AND('Mapa final'!$AB$117="Media",'Mapa final'!$AD$117="Menor"),CONCATENATE("R38C",'Mapa final'!$R$117),"")</f>
        <v/>
      </c>
      <c r="P143" s="48" t="str">
        <f>IF(AND('Mapa final'!$AB$115="Media",'Mapa final'!$AD$115="Moderado"),CONCATENATE("R38C",'Mapa final'!$R$115),"")</f>
        <v/>
      </c>
      <c r="Q143" s="49" t="str">
        <f>IF(AND('Mapa final'!$AB$116="Media",'Mapa final'!$AD$116="Moderado"),CONCATENATE("R38C",'Mapa final'!$R$116),"")</f>
        <v/>
      </c>
      <c r="R143" s="108" t="str">
        <f>IF(AND('Mapa final'!$AB$117="Media",'Mapa final'!$AD$117="Moderado"),CONCATENATE("R38C",'Mapa final'!$R$117),"")</f>
        <v/>
      </c>
      <c r="S143" s="102" t="str">
        <f>IF(AND('Mapa final'!$AB$115="Media",'Mapa final'!$AD$115="Mayor"),CONCATENATE("R38C",'Mapa final'!$R$115),"")</f>
        <v/>
      </c>
      <c r="T143" s="41" t="str">
        <f>IF(AND('Mapa final'!$AB$116="Media",'Mapa final'!$AD$116="Mayor"),CONCATENATE("R38C",'Mapa final'!$R$116),"")</f>
        <v/>
      </c>
      <c r="U143" s="103" t="str">
        <f>IF(AND('Mapa final'!$AB$117="Media",'Mapa final'!$AD$117="Mayor"),CONCATENATE("R38C",'Mapa final'!$R$117),"")</f>
        <v/>
      </c>
      <c r="V143" s="42" t="str">
        <f>IF(AND('Mapa final'!$AB$115="Media",'Mapa final'!$AD$115="Catastrófico"),CONCATENATE("R38C",'Mapa final'!$R$115),"")</f>
        <v/>
      </c>
      <c r="W143" s="43" t="str">
        <f>IF(AND('Mapa final'!$AB$116="Media",'Mapa final'!$AD$116="Catastrófico"),CONCATENATE("R38C",'Mapa final'!$R$116),"")</f>
        <v/>
      </c>
      <c r="X143" s="97" t="str">
        <f>IF(AND('Mapa final'!$AB$117="Media",'Mapa final'!$AD$117="Catastrófico"),CONCATENATE("R38C",'Mapa final'!$R$117),"")</f>
        <v/>
      </c>
      <c r="Y143" s="55"/>
      <c r="Z143" s="312"/>
      <c r="AA143" s="313"/>
      <c r="AB143" s="313"/>
      <c r="AC143" s="313"/>
      <c r="AD143" s="313"/>
      <c r="AE143" s="314"/>
      <c r="AF143" s="55"/>
      <c r="AG143" s="55"/>
      <c r="AH143" s="55"/>
      <c r="AI143" s="55"/>
      <c r="AJ143" s="55"/>
      <c r="AK143" s="55"/>
      <c r="AL143" s="55"/>
      <c r="AM143" s="55"/>
      <c r="AN143" s="55"/>
      <c r="AO143" s="55"/>
      <c r="AP143" s="55"/>
      <c r="AQ143" s="55"/>
      <c r="AR143" s="55"/>
      <c r="AS143" s="55"/>
      <c r="AT143" s="55"/>
      <c r="AU143" s="55"/>
      <c r="AV143" s="55"/>
      <c r="AW143" s="55"/>
      <c r="AX143" s="55"/>
      <c r="AY143" s="55"/>
      <c r="AZ143" s="55"/>
      <c r="BA143" s="55"/>
      <c r="BB143" s="55"/>
      <c r="BC143" s="55"/>
      <c r="BD143" s="55"/>
      <c r="BE143" s="55"/>
      <c r="BF143" s="55"/>
      <c r="BG143" s="55"/>
      <c r="BH143" s="55"/>
      <c r="BI143" s="55"/>
    </row>
    <row r="144" spans="1:61" ht="15" customHeight="1" x14ac:dyDescent="0.25">
      <c r="A144" s="55"/>
      <c r="B144" s="301"/>
      <c r="C144" s="301"/>
      <c r="D144" s="302"/>
      <c r="E144" s="279"/>
      <c r="F144" s="274"/>
      <c r="G144" s="274"/>
      <c r="H144" s="274"/>
      <c r="I144" s="274"/>
      <c r="J144" s="48" t="str">
        <f>IF(AND('Mapa final'!$AB$118="Media",'Mapa final'!$AD$118="Leve"),CONCATENATE("R39C",'Mapa final'!$R$118),"")</f>
        <v/>
      </c>
      <c r="K144" s="49" t="str">
        <f>IF(AND('Mapa final'!$AB$119="Media",'Mapa final'!$AD$119="Leve"),CONCATENATE("R39C",'Mapa final'!$R$119),"")</f>
        <v/>
      </c>
      <c r="L144" s="108" t="str">
        <f>IF(AND('Mapa final'!$AB$120="Media",'Mapa final'!$AD$120="Leve"),CONCATENATE("R39C",'Mapa final'!$R$120),"")</f>
        <v/>
      </c>
      <c r="M144" s="48" t="str">
        <f>IF(AND('Mapa final'!$AB$118="Media",'Mapa final'!$AD$118="Menor"),CONCATENATE("R39C",'Mapa final'!$R$118),"")</f>
        <v/>
      </c>
      <c r="N144" s="49" t="str">
        <f>IF(AND('Mapa final'!$AB$119="Media",'Mapa final'!$AD$119="Menor"),CONCATENATE("R39C",'Mapa final'!$R$119),"")</f>
        <v/>
      </c>
      <c r="O144" s="108" t="str">
        <f>IF(AND('Mapa final'!$AB$120="Media",'Mapa final'!$AD$120="Menor"),CONCATENATE("R39C",'Mapa final'!$R$120),"")</f>
        <v/>
      </c>
      <c r="P144" s="48" t="str">
        <f>IF(AND('Mapa final'!$AB$118="Media",'Mapa final'!$AD$118="Moderado"),CONCATENATE("R39C",'Mapa final'!$R$118),"")</f>
        <v>R39C1</v>
      </c>
      <c r="Q144" s="49" t="str">
        <f>IF(AND('Mapa final'!$AB$119="Media",'Mapa final'!$AD$119="Moderado"),CONCATENATE("R39C",'Mapa final'!$R$119),"")</f>
        <v/>
      </c>
      <c r="R144" s="108" t="str">
        <f>IF(AND('Mapa final'!$AB$120="Media",'Mapa final'!$AD$120="Moderado"),CONCATENATE("R39C",'Mapa final'!$R$120),"")</f>
        <v/>
      </c>
      <c r="S144" s="102" t="str">
        <f>IF(AND('Mapa final'!$AB$118="Media",'Mapa final'!$AD$118="Mayor"),CONCATENATE("R39C",'Mapa final'!$R$118),"")</f>
        <v/>
      </c>
      <c r="T144" s="41" t="str">
        <f>IF(AND('Mapa final'!$AB$119="Media",'Mapa final'!$AD$119="Mayor"),CONCATENATE("R39C",'Mapa final'!$R$119),"")</f>
        <v/>
      </c>
      <c r="U144" s="103" t="str">
        <f>IF(AND('Mapa final'!$AB$120="Media",'Mapa final'!$AD$120="Mayor"),CONCATENATE("R39C",'Mapa final'!$R$120),"")</f>
        <v/>
      </c>
      <c r="V144" s="42" t="str">
        <f>IF(AND('Mapa final'!$AB$118="Media",'Mapa final'!$AD$118="Catastrófico"),CONCATENATE("R39C",'Mapa final'!$R$118),"")</f>
        <v/>
      </c>
      <c r="W144" s="43" t="str">
        <f>IF(AND('Mapa final'!$AB$119="Media",'Mapa final'!$AD$119="Catastrófico"),CONCATENATE("R39C",'Mapa final'!$R$119),"")</f>
        <v/>
      </c>
      <c r="X144" s="97" t="str">
        <f>IF(AND('Mapa final'!$AB$120="Media",'Mapa final'!$AD$120="Catastrófico"),CONCATENATE("R39C",'Mapa final'!$R$120),"")</f>
        <v/>
      </c>
      <c r="Y144" s="55"/>
      <c r="Z144" s="312"/>
      <c r="AA144" s="313"/>
      <c r="AB144" s="313"/>
      <c r="AC144" s="313"/>
      <c r="AD144" s="313"/>
      <c r="AE144" s="314"/>
      <c r="AF144" s="55"/>
      <c r="AG144" s="55"/>
      <c r="AH144" s="55"/>
      <c r="AI144" s="55"/>
      <c r="AJ144" s="55"/>
      <c r="AK144" s="55"/>
      <c r="AL144" s="55"/>
      <c r="AM144" s="55"/>
      <c r="AN144" s="55"/>
      <c r="AO144" s="55"/>
      <c r="AP144" s="55"/>
      <c r="AQ144" s="55"/>
      <c r="AR144" s="55"/>
      <c r="AS144" s="55"/>
      <c r="AT144" s="55"/>
      <c r="AU144" s="55"/>
      <c r="AV144" s="55"/>
      <c r="AW144" s="55"/>
      <c r="AX144" s="55"/>
      <c r="AY144" s="55"/>
      <c r="AZ144" s="55"/>
      <c r="BA144" s="55"/>
      <c r="BB144" s="55"/>
      <c r="BC144" s="55"/>
      <c r="BD144" s="55"/>
      <c r="BE144" s="55"/>
      <c r="BF144" s="55"/>
      <c r="BG144" s="55"/>
      <c r="BH144" s="55"/>
      <c r="BI144" s="55"/>
    </row>
    <row r="145" spans="1:61" ht="15" customHeight="1" x14ac:dyDescent="0.25">
      <c r="A145" s="55"/>
      <c r="B145" s="301"/>
      <c r="C145" s="301"/>
      <c r="D145" s="302"/>
      <c r="E145" s="279"/>
      <c r="F145" s="274"/>
      <c r="G145" s="274"/>
      <c r="H145" s="274"/>
      <c r="I145" s="274"/>
      <c r="J145" s="48" t="str">
        <f>IF(AND('Mapa final'!$AB$121="Media",'Mapa final'!$AD$121="Leve"),CONCATENATE("R40C",'Mapa final'!$R$121),"")</f>
        <v/>
      </c>
      <c r="K145" s="49" t="str">
        <f>IF(AND('Mapa final'!$AB$122="Media",'Mapa final'!$AD$122="Leve"),CONCATENATE("R40C",'Mapa final'!$R$122),"")</f>
        <v/>
      </c>
      <c r="L145" s="108" t="str">
        <f>IF(AND('Mapa final'!$AB$123="Media",'Mapa final'!$AD$123="Leve"),CONCATENATE("R40C",'Mapa final'!$R$123),"")</f>
        <v/>
      </c>
      <c r="M145" s="48" t="str">
        <f>IF(AND('Mapa final'!$AB$121="Media",'Mapa final'!$AD$121="Menor"),CONCATENATE("R40C",'Mapa final'!$R$121),"")</f>
        <v/>
      </c>
      <c r="N145" s="49" t="str">
        <f>IF(AND('Mapa final'!$AB$122="Media",'Mapa final'!$AD$122="Menor"),CONCATENATE("R40C",'Mapa final'!$R$122),"")</f>
        <v/>
      </c>
      <c r="O145" s="108" t="str">
        <f>IF(AND('Mapa final'!$AB$123="Media",'Mapa final'!$AD$123="Menor"),CONCATENATE("R40C",'Mapa final'!$R$123),"")</f>
        <v/>
      </c>
      <c r="P145" s="48" t="str">
        <f>IF(AND('Mapa final'!$AB$121="Media",'Mapa final'!$AD$121="Moderado"),CONCATENATE("R40C",'Mapa final'!$R$121),"")</f>
        <v/>
      </c>
      <c r="Q145" s="49" t="str">
        <f>IF(AND('Mapa final'!$AB$122="Media",'Mapa final'!$AD$122="Moderado"),CONCATENATE("R40C",'Mapa final'!$R$122),"")</f>
        <v/>
      </c>
      <c r="R145" s="108" t="str">
        <f>IF(AND('Mapa final'!$AB$123="Media",'Mapa final'!$AD$123="Moderado"),CONCATENATE("R40C",'Mapa final'!$R$123),"")</f>
        <v/>
      </c>
      <c r="S145" s="102" t="str">
        <f>IF(AND('Mapa final'!$AB$121="Media",'Mapa final'!$AD$121="Mayor"),CONCATENATE("R40C",'Mapa final'!$R$121),"")</f>
        <v/>
      </c>
      <c r="T145" s="41" t="str">
        <f>IF(AND('Mapa final'!$AB$122="Media",'Mapa final'!$AD$122="Mayor"),CONCATENATE("R40C",'Mapa final'!$R$122),"")</f>
        <v/>
      </c>
      <c r="U145" s="103" t="str">
        <f>IF(AND('Mapa final'!$AB$123="Media",'Mapa final'!$AD$123="Mayor"),CONCATENATE("R40C",'Mapa final'!$R$123),"")</f>
        <v/>
      </c>
      <c r="V145" s="42" t="str">
        <f>IF(AND('Mapa final'!$AB$121="Media",'Mapa final'!$AD$121="Catastrófico"),CONCATENATE("R40C",'Mapa final'!$R$121),"")</f>
        <v/>
      </c>
      <c r="W145" s="43" t="str">
        <f>IF(AND('Mapa final'!$AB$122="Media",'Mapa final'!$AD$122="Catastrófico"),CONCATENATE("R40C",'Mapa final'!$R$122),"")</f>
        <v/>
      </c>
      <c r="X145" s="97" t="str">
        <f>IF(AND('Mapa final'!$AB$123="Media",'Mapa final'!$AD$123="Catastrófico"),CONCATENATE("R40C",'Mapa final'!$R$123),"")</f>
        <v/>
      </c>
      <c r="Y145" s="55"/>
      <c r="Z145" s="312"/>
      <c r="AA145" s="313"/>
      <c r="AB145" s="313"/>
      <c r="AC145" s="313"/>
      <c r="AD145" s="313"/>
      <c r="AE145" s="314"/>
      <c r="AF145" s="55"/>
      <c r="AG145" s="55"/>
      <c r="AH145" s="55"/>
      <c r="AI145" s="55"/>
      <c r="AJ145" s="55"/>
      <c r="AK145" s="55"/>
      <c r="AL145" s="55"/>
      <c r="AM145" s="55"/>
      <c r="AN145" s="55"/>
      <c r="AO145" s="55"/>
      <c r="AP145" s="55"/>
      <c r="AQ145" s="55"/>
      <c r="AR145" s="55"/>
      <c r="AS145" s="55"/>
      <c r="AT145" s="55"/>
      <c r="AU145" s="55"/>
      <c r="AV145" s="55"/>
      <c r="AW145" s="55"/>
      <c r="AX145" s="55"/>
      <c r="AY145" s="55"/>
      <c r="AZ145" s="55"/>
      <c r="BA145" s="55"/>
      <c r="BB145" s="55"/>
      <c r="BC145" s="55"/>
      <c r="BD145" s="55"/>
      <c r="BE145" s="55"/>
      <c r="BF145" s="55"/>
      <c r="BG145" s="55"/>
      <c r="BH145" s="55"/>
      <c r="BI145" s="55"/>
    </row>
    <row r="146" spans="1:61" ht="15" customHeight="1" x14ac:dyDescent="0.25">
      <c r="A146" s="55"/>
      <c r="B146" s="301"/>
      <c r="C146" s="301"/>
      <c r="D146" s="302"/>
      <c r="E146" s="279"/>
      <c r="F146" s="274"/>
      <c r="G146" s="274"/>
      <c r="H146" s="274"/>
      <c r="I146" s="274"/>
      <c r="J146" s="48" t="str">
        <f>IF(AND('Mapa final'!$AB$124="Media",'Mapa final'!$AD$124="Leve"),CONCATENATE("R41C",'Mapa final'!$R$124),"")</f>
        <v/>
      </c>
      <c r="K146" s="49" t="str">
        <f>IF(AND('Mapa final'!$AB$125="Media",'Mapa final'!$AD$125="Leve"),CONCATENATE("R41C",'Mapa final'!$R$125),"")</f>
        <v/>
      </c>
      <c r="L146" s="108" t="str">
        <f>IF(AND('Mapa final'!$AB$126="Media",'Mapa final'!$AD$126="Leve"),CONCATENATE("R41C",'Mapa final'!$R$126),"")</f>
        <v/>
      </c>
      <c r="M146" s="48" t="str">
        <f>IF(AND('Mapa final'!$AB$124="Media",'Mapa final'!$AD$124="Menor"),CONCATENATE("R41C",'Mapa final'!$R$124),"")</f>
        <v/>
      </c>
      <c r="N146" s="49" t="str">
        <f>IF(AND('Mapa final'!$AB$125="Media",'Mapa final'!$AD$125="Menor"),CONCATENATE("R41C",'Mapa final'!$R$125),"")</f>
        <v/>
      </c>
      <c r="O146" s="108" t="str">
        <f>IF(AND('Mapa final'!$AB$126="Media",'Mapa final'!$AD$126="Menor"),CONCATENATE("R41C",'Mapa final'!$R$126),"")</f>
        <v/>
      </c>
      <c r="P146" s="48" t="str">
        <f>IF(AND('Mapa final'!$AB$124="Media",'Mapa final'!$AD$124="Moderado"),CONCATENATE("R41C",'Mapa final'!$R$124),"")</f>
        <v>R41C1</v>
      </c>
      <c r="Q146" s="49" t="str">
        <f>IF(AND('Mapa final'!$AB$125="Media",'Mapa final'!$AD$125="Moderado"),CONCATENATE("R41C",'Mapa final'!$R$125),"")</f>
        <v/>
      </c>
      <c r="R146" s="108" t="str">
        <f>IF(AND('Mapa final'!$AB$126="Media",'Mapa final'!$AD$126="Moderado"),CONCATENATE("R41C",'Mapa final'!$R$126),"")</f>
        <v/>
      </c>
      <c r="S146" s="102" t="str">
        <f>IF(AND('Mapa final'!$AB$124="Media",'Mapa final'!$AD$124="Mayor"),CONCATENATE("R41C",'Mapa final'!$R$124),"")</f>
        <v/>
      </c>
      <c r="T146" s="41" t="str">
        <f>IF(AND('Mapa final'!$AB$125="Media",'Mapa final'!$AD$125="Mayor"),CONCATENATE("R41C",'Mapa final'!$R$125),"")</f>
        <v/>
      </c>
      <c r="U146" s="103" t="str">
        <f>IF(AND('Mapa final'!$AB$126="Media",'Mapa final'!$AD$126="Mayor"),CONCATENATE("R41C",'Mapa final'!$R$126),"")</f>
        <v/>
      </c>
      <c r="V146" s="42" t="str">
        <f>IF(AND('Mapa final'!$AB$124="Media",'Mapa final'!$AD$124="Catastrófico"),CONCATENATE("R41C",'Mapa final'!$R$124),"")</f>
        <v/>
      </c>
      <c r="W146" s="43" t="str">
        <f>IF(AND('Mapa final'!$AB$125="Media",'Mapa final'!$AD$125="Catastrófico"),CONCATENATE("R41C",'Mapa final'!$R$125),"")</f>
        <v/>
      </c>
      <c r="X146" s="97" t="str">
        <f>IF(AND('Mapa final'!$AB$126="Media",'Mapa final'!$AD$126="Catastrófico"),CONCATENATE("R41C",'Mapa final'!$R$126),"")</f>
        <v/>
      </c>
      <c r="Y146" s="55"/>
      <c r="Z146" s="312"/>
      <c r="AA146" s="313"/>
      <c r="AB146" s="313"/>
      <c r="AC146" s="313"/>
      <c r="AD146" s="313"/>
      <c r="AE146" s="314"/>
      <c r="AF146" s="55"/>
      <c r="AG146" s="55"/>
      <c r="AH146" s="55"/>
      <c r="AI146" s="55"/>
      <c r="AJ146" s="55"/>
      <c r="AK146" s="55"/>
      <c r="AL146" s="55"/>
      <c r="AM146" s="55"/>
      <c r="AN146" s="55"/>
      <c r="AO146" s="55"/>
      <c r="AP146" s="55"/>
      <c r="AQ146" s="55"/>
      <c r="AR146" s="55"/>
      <c r="AS146" s="55"/>
      <c r="AT146" s="55"/>
      <c r="AU146" s="55"/>
      <c r="AV146" s="55"/>
      <c r="AW146" s="55"/>
      <c r="AX146" s="55"/>
      <c r="AY146" s="55"/>
      <c r="AZ146" s="55"/>
      <c r="BA146" s="55"/>
      <c r="BB146" s="55"/>
      <c r="BC146" s="55"/>
      <c r="BD146" s="55"/>
      <c r="BE146" s="55"/>
      <c r="BF146" s="55"/>
      <c r="BG146" s="55"/>
      <c r="BH146" s="55"/>
      <c r="BI146" s="55"/>
    </row>
    <row r="147" spans="1:61" ht="15" customHeight="1" x14ac:dyDescent="0.25">
      <c r="A147" s="55"/>
      <c r="B147" s="301"/>
      <c r="C147" s="301"/>
      <c r="D147" s="302"/>
      <c r="E147" s="279"/>
      <c r="F147" s="274"/>
      <c r="G147" s="274"/>
      <c r="H147" s="274"/>
      <c r="I147" s="274"/>
      <c r="J147" s="48" t="str">
        <f>IF(AND('Mapa final'!$AB$127="Media",'Mapa final'!$AD$127="Leve"),CONCATENATE("R42C",'Mapa final'!$R$127),"")</f>
        <v/>
      </c>
      <c r="K147" s="49" t="str">
        <f>IF(AND('Mapa final'!$AB$128="Media",'Mapa final'!$AD$128="Leve"),CONCATENATE("R42C",'Mapa final'!$R$128),"")</f>
        <v/>
      </c>
      <c r="L147" s="108" t="str">
        <f>IF(AND('Mapa final'!$AB$129="Media",'Mapa final'!$AD$129="Leve"),CONCATENATE("R42C",'Mapa final'!$R$129),"")</f>
        <v/>
      </c>
      <c r="M147" s="48" t="str">
        <f>IF(AND('Mapa final'!$AB$127="Media",'Mapa final'!$AD$127="Menor"),CONCATENATE("R42C",'Mapa final'!$R$127),"")</f>
        <v/>
      </c>
      <c r="N147" s="49" t="str">
        <f>IF(AND('Mapa final'!$AB$128="Media",'Mapa final'!$AD$128="Menor"),CONCATENATE("R42C",'Mapa final'!$R$128),"")</f>
        <v/>
      </c>
      <c r="O147" s="108" t="str">
        <f>IF(AND('Mapa final'!$AB$129="Media",'Mapa final'!$AD$129="Menor"),CONCATENATE("R42C",'Mapa final'!$R$129),"")</f>
        <v/>
      </c>
      <c r="P147" s="48" t="str">
        <f>IF(AND('Mapa final'!$AB$127="Media",'Mapa final'!$AD$127="Moderado"),CONCATENATE("R42C",'Mapa final'!$R$127),"")</f>
        <v/>
      </c>
      <c r="Q147" s="49" t="str">
        <f>IF(AND('Mapa final'!$AB$128="Media",'Mapa final'!$AD$128="Moderado"),CONCATENATE("R42C",'Mapa final'!$R$128),"")</f>
        <v/>
      </c>
      <c r="R147" s="108" t="str">
        <f>IF(AND('Mapa final'!$AB$129="Media",'Mapa final'!$AD$129="Moderado"),CONCATENATE("R42C",'Mapa final'!$R$129),"")</f>
        <v/>
      </c>
      <c r="S147" s="102" t="str">
        <f>IF(AND('Mapa final'!$AB$127="Media",'Mapa final'!$AD$127="Mayor"),CONCATENATE("R42C",'Mapa final'!$R$127),"")</f>
        <v/>
      </c>
      <c r="T147" s="41" t="str">
        <f>IF(AND('Mapa final'!$AB$128="Media",'Mapa final'!$AD$128="Mayor"),CONCATENATE("R42C",'Mapa final'!$R$128),"")</f>
        <v/>
      </c>
      <c r="U147" s="103" t="str">
        <f>IF(AND('Mapa final'!$AB$129="Media",'Mapa final'!$AD$129="Mayor"),CONCATENATE("R42C",'Mapa final'!$R$129),"")</f>
        <v/>
      </c>
      <c r="V147" s="42" t="str">
        <f>IF(AND('Mapa final'!$AB$127="Media",'Mapa final'!$AD$127="Catastrófico"),CONCATENATE("R42C",'Mapa final'!$R$127),"")</f>
        <v/>
      </c>
      <c r="W147" s="43" t="str">
        <f>IF(AND('Mapa final'!$AB$128="Media",'Mapa final'!$AD$128="Catastrófico"),CONCATENATE("R42C",'Mapa final'!$R$128),"")</f>
        <v/>
      </c>
      <c r="X147" s="97" t="str">
        <f>IF(AND('Mapa final'!$AB$129="Media",'Mapa final'!$AD$129="Catastrófico"),CONCATENATE("R42C",'Mapa final'!$R$129),"")</f>
        <v/>
      </c>
      <c r="Y147" s="55"/>
      <c r="Z147" s="312"/>
      <c r="AA147" s="313"/>
      <c r="AB147" s="313"/>
      <c r="AC147" s="313"/>
      <c r="AD147" s="313"/>
      <c r="AE147" s="314"/>
      <c r="AF147" s="55"/>
      <c r="AG147" s="55"/>
      <c r="AH147" s="55"/>
      <c r="AI147" s="55"/>
      <c r="AJ147" s="55"/>
      <c r="AK147" s="55"/>
      <c r="AL147" s="55"/>
      <c r="AM147" s="55"/>
      <c r="AN147" s="55"/>
      <c r="AO147" s="55"/>
      <c r="AP147" s="55"/>
      <c r="AQ147" s="55"/>
      <c r="AR147" s="55"/>
      <c r="AS147" s="55"/>
      <c r="AT147" s="55"/>
      <c r="AU147" s="55"/>
      <c r="AV147" s="55"/>
      <c r="AW147" s="55"/>
      <c r="AX147" s="55"/>
      <c r="AY147" s="55"/>
      <c r="AZ147" s="55"/>
      <c r="BA147" s="55"/>
      <c r="BB147" s="55"/>
      <c r="BC147" s="55"/>
      <c r="BD147" s="55"/>
      <c r="BE147" s="55"/>
      <c r="BF147" s="55"/>
      <c r="BG147" s="55"/>
      <c r="BH147" s="55"/>
      <c r="BI147" s="55"/>
    </row>
    <row r="148" spans="1:61" ht="15" customHeight="1" x14ac:dyDescent="0.25">
      <c r="A148" s="55"/>
      <c r="B148" s="301"/>
      <c r="C148" s="301"/>
      <c r="D148" s="302"/>
      <c r="E148" s="279"/>
      <c r="F148" s="274"/>
      <c r="G148" s="274"/>
      <c r="H148" s="274"/>
      <c r="I148" s="274"/>
      <c r="J148" s="48" t="str">
        <f>IF(AND('Mapa final'!$AB$130="Media",'Mapa final'!$AD$130="Leve"),CONCATENATE("R43C",'Mapa final'!$R$130),"")</f>
        <v/>
      </c>
      <c r="K148" s="49" t="str">
        <f>IF(AND('Mapa final'!$AB$131="Media",'Mapa final'!$AD$131="Leve"),CONCATENATE("R43C",'Mapa final'!$R$131),"")</f>
        <v/>
      </c>
      <c r="L148" s="108" t="str">
        <f>IF(AND('Mapa final'!$AB$132="Media",'Mapa final'!$AD$132="Leve"),CONCATENATE("R43C",'Mapa final'!$R$132),"")</f>
        <v/>
      </c>
      <c r="M148" s="48" t="str">
        <f>IF(AND('Mapa final'!$AB$130="Media",'Mapa final'!$AD$130="Menor"),CONCATENATE("R43C",'Mapa final'!$R$130),"")</f>
        <v/>
      </c>
      <c r="N148" s="49" t="str">
        <f>IF(AND('Mapa final'!$AB$131="Media",'Mapa final'!$AD$131="Menor"),CONCATENATE("R43C",'Mapa final'!$R$131),"")</f>
        <v/>
      </c>
      <c r="O148" s="108" t="str">
        <f>IF(AND('Mapa final'!$AB$132="Media",'Mapa final'!$AD$132="Menor"),CONCATENATE("R43C",'Mapa final'!$R$132),"")</f>
        <v/>
      </c>
      <c r="P148" s="48" t="str">
        <f>IF(AND('Mapa final'!$AB$130="Media",'Mapa final'!$AD$130="Moderado"),CONCATENATE("R43C",'Mapa final'!$R$130),"")</f>
        <v/>
      </c>
      <c r="Q148" s="49" t="str">
        <f>IF(AND('Mapa final'!$AB$131="Media",'Mapa final'!$AD$131="Moderado"),CONCATENATE("R43C",'Mapa final'!$R$131),"")</f>
        <v/>
      </c>
      <c r="R148" s="108" t="str">
        <f>IF(AND('Mapa final'!$AB$132="Media",'Mapa final'!$AD$132="Moderado"),CONCATENATE("R43C",'Mapa final'!$R$132),"")</f>
        <v/>
      </c>
      <c r="S148" s="102" t="str">
        <f>IF(AND('Mapa final'!$AB$130="Media",'Mapa final'!$AD$130="Mayor"),CONCATENATE("R43C",'Mapa final'!$R$130),"")</f>
        <v>R43C1</v>
      </c>
      <c r="T148" s="41" t="str">
        <f>IF(AND('Mapa final'!$AB$131="Media",'Mapa final'!$AD$131="Mayor"),CONCATENATE("R43C",'Mapa final'!$R$131),"")</f>
        <v/>
      </c>
      <c r="U148" s="103" t="str">
        <f>IF(AND('Mapa final'!$AB$132="Media",'Mapa final'!$AD$132="Mayor"),CONCATENATE("R43C",'Mapa final'!$R$132),"")</f>
        <v/>
      </c>
      <c r="V148" s="42" t="str">
        <f>IF(AND('Mapa final'!$AB$130="Media",'Mapa final'!$AD$130="Catastrófico"),CONCATENATE("R43C",'Mapa final'!$R$130),"")</f>
        <v/>
      </c>
      <c r="W148" s="43" t="str">
        <f>IF(AND('Mapa final'!$AB$131="Media",'Mapa final'!$AD$131="Catastrófico"),CONCATENATE("R43C",'Mapa final'!$R$131),"")</f>
        <v/>
      </c>
      <c r="X148" s="97" t="str">
        <f>IF(AND('Mapa final'!$AB$132="Media",'Mapa final'!$AD$132="Catastrófico"),CONCATENATE("R43C",'Mapa final'!$R$132),"")</f>
        <v/>
      </c>
      <c r="Y148" s="55"/>
      <c r="Z148" s="312"/>
      <c r="AA148" s="313"/>
      <c r="AB148" s="313"/>
      <c r="AC148" s="313"/>
      <c r="AD148" s="313"/>
      <c r="AE148" s="314"/>
      <c r="AF148" s="55"/>
      <c r="AG148" s="55"/>
      <c r="AH148" s="55"/>
      <c r="AI148" s="55"/>
      <c r="AJ148" s="55"/>
      <c r="AK148" s="55"/>
      <c r="AL148" s="55"/>
      <c r="AM148" s="55"/>
      <c r="AN148" s="55"/>
      <c r="AO148" s="55"/>
      <c r="AP148" s="55"/>
      <c r="AQ148" s="55"/>
      <c r="AR148" s="55"/>
      <c r="AS148" s="55"/>
      <c r="AT148" s="55"/>
      <c r="AU148" s="55"/>
      <c r="AV148" s="55"/>
      <c r="AW148" s="55"/>
      <c r="AX148" s="55"/>
      <c r="AY148" s="55"/>
      <c r="AZ148" s="55"/>
      <c r="BA148" s="55"/>
      <c r="BB148" s="55"/>
      <c r="BC148" s="55"/>
      <c r="BD148" s="55"/>
      <c r="BE148" s="55"/>
      <c r="BF148" s="55"/>
      <c r="BG148" s="55"/>
      <c r="BH148" s="55"/>
      <c r="BI148" s="55"/>
    </row>
    <row r="149" spans="1:61" ht="15" customHeight="1" x14ac:dyDescent="0.25">
      <c r="A149" s="55"/>
      <c r="B149" s="301"/>
      <c r="C149" s="301"/>
      <c r="D149" s="302"/>
      <c r="E149" s="279"/>
      <c r="F149" s="274"/>
      <c r="G149" s="274"/>
      <c r="H149" s="274"/>
      <c r="I149" s="274"/>
      <c r="J149" s="48" t="str">
        <f>IF(AND('Mapa final'!$AB$133="Media",'Mapa final'!$AD$133="Leve"),CONCATENATE("R44C",'Mapa final'!$R$133),"")</f>
        <v/>
      </c>
      <c r="K149" s="49" t="str">
        <f>IF(AND('Mapa final'!$AB$134="Media",'Mapa final'!$AD$134="Leve"),CONCATENATE("R44C",'Mapa final'!$R$134),"")</f>
        <v/>
      </c>
      <c r="L149" s="108" t="str">
        <f>IF(AND('Mapa final'!$AB$135="Media",'Mapa final'!$AD$135="Leve"),CONCATENATE("R44C",'Mapa final'!$R$135),"")</f>
        <v/>
      </c>
      <c r="M149" s="48" t="str">
        <f>IF(AND('Mapa final'!$AB$133="Media",'Mapa final'!$AD$133="Menor"),CONCATENATE("R44C",'Mapa final'!$R$133),"")</f>
        <v/>
      </c>
      <c r="N149" s="49" t="str">
        <f>IF(AND('Mapa final'!$AB$134="Media",'Mapa final'!$AD$134="Menor"),CONCATENATE("R44C",'Mapa final'!$R$134),"")</f>
        <v/>
      </c>
      <c r="O149" s="108" t="str">
        <f>IF(AND('Mapa final'!$AB$135="Media",'Mapa final'!$AD$135="Menor"),CONCATENATE("R44C",'Mapa final'!$R$135),"")</f>
        <v/>
      </c>
      <c r="P149" s="48" t="str">
        <f>IF(AND('Mapa final'!$AB$133="Media",'Mapa final'!$AD$133="Moderado"),CONCATENATE("R44C",'Mapa final'!$R$133),"")</f>
        <v>R44C1</v>
      </c>
      <c r="Q149" s="49" t="str">
        <f>IF(AND('Mapa final'!$AB$134="Media",'Mapa final'!$AD$134="Moderado"),CONCATENATE("R44C",'Mapa final'!$R$134),"")</f>
        <v/>
      </c>
      <c r="R149" s="108" t="str">
        <f>IF(AND('Mapa final'!$AB$135="Media",'Mapa final'!$AD$135="Moderado"),CONCATENATE("R44C",'Mapa final'!$R$135),"")</f>
        <v/>
      </c>
      <c r="S149" s="102" t="str">
        <f>IF(AND('Mapa final'!$AB$133="Media",'Mapa final'!$AD$133="Mayor"),CONCATENATE("R44C",'Mapa final'!$R$133),"")</f>
        <v/>
      </c>
      <c r="T149" s="41" t="str">
        <f>IF(AND('Mapa final'!$AB$134="Media",'Mapa final'!$AD$134="Mayor"),CONCATENATE("R44C",'Mapa final'!$R$134),"")</f>
        <v/>
      </c>
      <c r="U149" s="103" t="str">
        <f>IF(AND('Mapa final'!$AB$135="Media",'Mapa final'!$AD$135="Mayor"),CONCATENATE("R44C",'Mapa final'!$R$135),"")</f>
        <v/>
      </c>
      <c r="V149" s="42" t="str">
        <f>IF(AND('Mapa final'!$AB$133="Media",'Mapa final'!$AD$133="Catastrófico"),CONCATENATE("R44C",'Mapa final'!$R$133),"")</f>
        <v/>
      </c>
      <c r="W149" s="43" t="str">
        <f>IF(AND('Mapa final'!$AB$134="Media",'Mapa final'!$AD$134="Catastrófico"),CONCATENATE("R44C",'Mapa final'!$R$134),"")</f>
        <v/>
      </c>
      <c r="X149" s="97" t="str">
        <f>IF(AND('Mapa final'!$AB$135="Media",'Mapa final'!$AD$135="Catastrófico"),CONCATENATE("R44C",'Mapa final'!$R$135),"")</f>
        <v/>
      </c>
      <c r="Y149" s="55"/>
      <c r="Z149" s="312"/>
      <c r="AA149" s="313"/>
      <c r="AB149" s="313"/>
      <c r="AC149" s="313"/>
      <c r="AD149" s="313"/>
      <c r="AE149" s="314"/>
      <c r="AF149" s="55"/>
      <c r="AG149" s="55"/>
      <c r="AH149" s="55"/>
      <c r="AI149" s="55"/>
      <c r="AJ149" s="55"/>
      <c r="AK149" s="55"/>
      <c r="AL149" s="55"/>
      <c r="AM149" s="55"/>
      <c r="AN149" s="55"/>
      <c r="AO149" s="55"/>
      <c r="AP149" s="55"/>
      <c r="AQ149" s="55"/>
      <c r="AR149" s="55"/>
      <c r="AS149" s="55"/>
      <c r="AT149" s="55"/>
      <c r="AU149" s="55"/>
      <c r="AV149" s="55"/>
      <c r="AW149" s="55"/>
      <c r="AX149" s="55"/>
      <c r="AY149" s="55"/>
      <c r="AZ149" s="55"/>
      <c r="BA149" s="55"/>
      <c r="BB149" s="55"/>
      <c r="BC149" s="55"/>
      <c r="BD149" s="55"/>
      <c r="BE149" s="55"/>
      <c r="BF149" s="55"/>
      <c r="BG149" s="55"/>
      <c r="BH149" s="55"/>
      <c r="BI149" s="55"/>
    </row>
    <row r="150" spans="1:61" ht="15" customHeight="1" x14ac:dyDescent="0.25">
      <c r="A150" s="55"/>
      <c r="B150" s="301"/>
      <c r="C150" s="301"/>
      <c r="D150" s="302"/>
      <c r="E150" s="279"/>
      <c r="F150" s="274"/>
      <c r="G150" s="274"/>
      <c r="H150" s="274"/>
      <c r="I150" s="274"/>
      <c r="J150" s="48" t="str">
        <f>IF(AND('Mapa final'!$AB$136="Media",'Mapa final'!$AD$136="Leve"),CONCATENATE("R45C",'Mapa final'!$R$136),"")</f>
        <v/>
      </c>
      <c r="K150" s="49" t="str">
        <f>IF(AND('Mapa final'!$AB$137="Media",'Mapa final'!$AD$137="Leve"),CONCATENATE("R45C",'Mapa final'!$R$137),"")</f>
        <v/>
      </c>
      <c r="L150" s="108" t="str">
        <f>IF(AND('Mapa final'!$AB$138="Media",'Mapa final'!$AD$138="Leve"),CONCATENATE("R45C",'Mapa final'!$R$138),"")</f>
        <v/>
      </c>
      <c r="M150" s="48" t="str">
        <f>IF(AND('Mapa final'!$AB$136="Media",'Mapa final'!$AD$136="Menor"),CONCATENATE("R45C",'Mapa final'!$R$136),"")</f>
        <v/>
      </c>
      <c r="N150" s="49" t="str">
        <f>IF(AND('Mapa final'!$AB$137="Media",'Mapa final'!$AD$137="Menor"),CONCATENATE("R45C",'Mapa final'!$R$137),"")</f>
        <v/>
      </c>
      <c r="O150" s="108" t="str">
        <f>IF(AND('Mapa final'!$AB$138="Media",'Mapa final'!$AD$138="Menor"),CONCATENATE("R45C",'Mapa final'!$R$138),"")</f>
        <v/>
      </c>
      <c r="P150" s="48" t="str">
        <f>IF(AND('Mapa final'!$AB$136="Media",'Mapa final'!$AD$136="Moderado"),CONCATENATE("R45C",'Mapa final'!$R$136),"")</f>
        <v/>
      </c>
      <c r="Q150" s="49" t="str">
        <f>IF(AND('Mapa final'!$AB$137="Media",'Mapa final'!$AD$137="Moderado"),CONCATENATE("R45C",'Mapa final'!$R$137),"")</f>
        <v/>
      </c>
      <c r="R150" s="108" t="str">
        <f>IF(AND('Mapa final'!$AB$138="Media",'Mapa final'!$AD$138="Moderado"),CONCATENATE("R45C",'Mapa final'!$R$138),"")</f>
        <v/>
      </c>
      <c r="S150" s="102" t="str">
        <f>IF(AND('Mapa final'!$AB$136="Media",'Mapa final'!$AD$136="Mayor"),CONCATENATE("R45C",'Mapa final'!$R$136),"")</f>
        <v>R45C1</v>
      </c>
      <c r="T150" s="41" t="str">
        <f>IF(AND('Mapa final'!$AB$137="Media",'Mapa final'!$AD$137="Mayor"),CONCATENATE("R45C",'Mapa final'!$R$137),"")</f>
        <v/>
      </c>
      <c r="U150" s="103" t="str">
        <f>IF(AND('Mapa final'!$AB$138="Media",'Mapa final'!$AD$138="Mayor"),CONCATENATE("R45C",'Mapa final'!$R$138),"")</f>
        <v/>
      </c>
      <c r="V150" s="42" t="str">
        <f>IF(AND('Mapa final'!$AB$136="Media",'Mapa final'!$AD$136="Catastrófico"),CONCATENATE("R45C",'Mapa final'!$R$136),"")</f>
        <v/>
      </c>
      <c r="W150" s="43" t="str">
        <f>IF(AND('Mapa final'!$AB$137="Media",'Mapa final'!$AD$137="Catastrófico"),CONCATENATE("R45C",'Mapa final'!$R$137),"")</f>
        <v/>
      </c>
      <c r="X150" s="97" t="str">
        <f>IF(AND('Mapa final'!$AB$138="Media",'Mapa final'!$AD$138="Catastrófico"),CONCATENATE("R45C",'Mapa final'!$R$138),"")</f>
        <v/>
      </c>
      <c r="Y150" s="55"/>
      <c r="Z150" s="312"/>
      <c r="AA150" s="313"/>
      <c r="AB150" s="313"/>
      <c r="AC150" s="313"/>
      <c r="AD150" s="313"/>
      <c r="AE150" s="314"/>
      <c r="AF150" s="55"/>
      <c r="AG150" s="55"/>
      <c r="AH150" s="55"/>
      <c r="AI150" s="55"/>
      <c r="AJ150" s="55"/>
      <c r="AK150" s="55"/>
      <c r="AL150" s="55"/>
      <c r="AM150" s="55"/>
      <c r="AN150" s="55"/>
      <c r="AO150" s="55"/>
      <c r="AP150" s="55"/>
      <c r="AQ150" s="55"/>
      <c r="AR150" s="55"/>
      <c r="AS150" s="55"/>
      <c r="AT150" s="55"/>
      <c r="AU150" s="55"/>
      <c r="AV150" s="55"/>
      <c r="AW150" s="55"/>
      <c r="AX150" s="55"/>
      <c r="AY150" s="55"/>
      <c r="AZ150" s="55"/>
      <c r="BA150" s="55"/>
      <c r="BB150" s="55"/>
      <c r="BC150" s="55"/>
      <c r="BD150" s="55"/>
      <c r="BE150" s="55"/>
      <c r="BF150" s="55"/>
      <c r="BG150" s="55"/>
      <c r="BH150" s="55"/>
      <c r="BI150" s="55"/>
    </row>
    <row r="151" spans="1:61" ht="15" customHeight="1" x14ac:dyDescent="0.25">
      <c r="A151" s="55"/>
      <c r="B151" s="301"/>
      <c r="C151" s="301"/>
      <c r="D151" s="302"/>
      <c r="E151" s="279"/>
      <c r="F151" s="274"/>
      <c r="G151" s="274"/>
      <c r="H151" s="274"/>
      <c r="I151" s="274"/>
      <c r="J151" s="48" t="str">
        <f>IF(AND('Mapa final'!$AB$139="Media",'Mapa final'!$AD$139="Leve"),CONCATENATE("R46C",'Mapa final'!$R$139),"")</f>
        <v/>
      </c>
      <c r="K151" s="49" t="str">
        <f>IF(AND('Mapa final'!$AB$140="Media",'Mapa final'!$AD$140="Leve"),CONCATENATE("R46C",'Mapa final'!$R$140),"")</f>
        <v/>
      </c>
      <c r="L151" s="108" t="str">
        <f>IF(AND('Mapa final'!$AB$141="Media",'Mapa final'!$AD$141="Leve"),CONCATENATE("R46C",'Mapa final'!$R$141),"")</f>
        <v/>
      </c>
      <c r="M151" s="48" t="str">
        <f>IF(AND('Mapa final'!$AB$139="Media",'Mapa final'!$AD$139="Menor"),CONCATENATE("R46C",'Mapa final'!$R$139),"")</f>
        <v/>
      </c>
      <c r="N151" s="49" t="str">
        <f>IF(AND('Mapa final'!$AB$140="Media",'Mapa final'!$AD$140="Menor"),CONCATENATE("R46C",'Mapa final'!$R$140),"")</f>
        <v/>
      </c>
      <c r="O151" s="108" t="str">
        <f>IF(AND('Mapa final'!$AB$141="Media",'Mapa final'!$AD$141="Menor"),CONCATENATE("R46C",'Mapa final'!$R$141),"")</f>
        <v/>
      </c>
      <c r="P151" s="48" t="str">
        <f>IF(AND('Mapa final'!$AB$139="Media",'Mapa final'!$AD$139="Moderado"),CONCATENATE("R46C",'Mapa final'!$R$139),"")</f>
        <v/>
      </c>
      <c r="Q151" s="49" t="str">
        <f>IF(AND('Mapa final'!$AB$140="Media",'Mapa final'!$AD$140="Moderado"),CONCATENATE("R46C",'Mapa final'!$R$140),"")</f>
        <v/>
      </c>
      <c r="R151" s="108" t="str">
        <f>IF(AND('Mapa final'!$AB$141="Media",'Mapa final'!$AD$141="Moderado"),CONCATENATE("R46C",'Mapa final'!$R$141),"")</f>
        <v/>
      </c>
      <c r="S151" s="102" t="str">
        <f>IF(AND('Mapa final'!$AB$139="Media",'Mapa final'!$AD$139="Mayor"),CONCATENATE("R46C",'Mapa final'!$R$139),"")</f>
        <v/>
      </c>
      <c r="T151" s="41" t="str">
        <f>IF(AND('Mapa final'!$AB$140="Media",'Mapa final'!$AD$140="Mayor"),CONCATENATE("R46C",'Mapa final'!$R$140),"")</f>
        <v/>
      </c>
      <c r="U151" s="103" t="str">
        <f>IF(AND('Mapa final'!$AB$141="Media",'Mapa final'!$AD$141="Mayor"),CONCATENATE("R46C",'Mapa final'!$R$141),"")</f>
        <v/>
      </c>
      <c r="V151" s="42" t="str">
        <f>IF(AND('Mapa final'!$AB$139="Media",'Mapa final'!$AD$139="Catastrófico"),CONCATENATE("R46C",'Mapa final'!$R$139),"")</f>
        <v/>
      </c>
      <c r="W151" s="43" t="str">
        <f>IF(AND('Mapa final'!$AB$140="Media",'Mapa final'!$AD$140="Catastrófico"),CONCATENATE("R46C",'Mapa final'!$R$140),"")</f>
        <v/>
      </c>
      <c r="X151" s="97" t="str">
        <f>IF(AND('Mapa final'!$AB$141="Media",'Mapa final'!$AD$141="Catastrófico"),CONCATENATE("R46C",'Mapa final'!$R$141),"")</f>
        <v/>
      </c>
      <c r="Y151" s="55"/>
      <c r="Z151" s="312"/>
      <c r="AA151" s="313"/>
      <c r="AB151" s="313"/>
      <c r="AC151" s="313"/>
      <c r="AD151" s="313"/>
      <c r="AE151" s="314"/>
      <c r="AF151" s="55"/>
      <c r="AG151" s="55"/>
      <c r="AH151" s="55"/>
      <c r="AI151" s="55"/>
      <c r="AJ151" s="55"/>
      <c r="AK151" s="55"/>
      <c r="AL151" s="55"/>
      <c r="AM151" s="55"/>
      <c r="AN151" s="55"/>
      <c r="AO151" s="55"/>
      <c r="AP151" s="55"/>
      <c r="AQ151" s="55"/>
      <c r="AR151" s="55"/>
      <c r="AS151" s="55"/>
      <c r="AT151" s="55"/>
      <c r="AU151" s="55"/>
      <c r="AV151" s="55"/>
      <c r="AW151" s="55"/>
      <c r="AX151" s="55"/>
      <c r="AY151" s="55"/>
      <c r="AZ151" s="55"/>
      <c r="BA151" s="55"/>
      <c r="BB151" s="55"/>
      <c r="BC151" s="55"/>
      <c r="BD151" s="55"/>
      <c r="BE151" s="55"/>
      <c r="BF151" s="55"/>
      <c r="BG151" s="55"/>
      <c r="BH151" s="55"/>
      <c r="BI151" s="55"/>
    </row>
    <row r="152" spans="1:61" ht="15" customHeight="1" x14ac:dyDescent="0.25">
      <c r="A152" s="55"/>
      <c r="B152" s="301"/>
      <c r="C152" s="301"/>
      <c r="D152" s="302"/>
      <c r="E152" s="279"/>
      <c r="F152" s="274"/>
      <c r="G152" s="274"/>
      <c r="H152" s="274"/>
      <c r="I152" s="274"/>
      <c r="J152" s="48" t="str">
        <f>IF(AND('Mapa final'!$AB$142="Media",'Mapa final'!$AD$142="Leve"),CONCATENATE("R47C",'Mapa final'!$R$142),"")</f>
        <v/>
      </c>
      <c r="K152" s="49" t="str">
        <f>IF(AND('Mapa final'!$AB$143="Media",'Mapa final'!$AD$143="Leve"),CONCATENATE("R47C",'Mapa final'!$R$143),"")</f>
        <v/>
      </c>
      <c r="L152" s="108" t="str">
        <f>IF(AND('Mapa final'!$AB$144="Media",'Mapa final'!$AD$144="Leve"),CONCATENATE("R47C",'Mapa final'!$R$144),"")</f>
        <v/>
      </c>
      <c r="M152" s="48" t="str">
        <f>IF(AND('Mapa final'!$AB$142="Media",'Mapa final'!$AD$142="Menor"),CONCATENATE("R47C",'Mapa final'!$R$142),"")</f>
        <v/>
      </c>
      <c r="N152" s="49" t="str">
        <f>IF(AND('Mapa final'!$AB$143="Media",'Mapa final'!$AD$143="Menor"),CONCATENATE("R47C",'Mapa final'!$R$143),"")</f>
        <v/>
      </c>
      <c r="O152" s="108" t="str">
        <f>IF(AND('Mapa final'!$AB$144="Media",'Mapa final'!$AD$144="Menor"),CONCATENATE("R47C",'Mapa final'!$R$144),"")</f>
        <v/>
      </c>
      <c r="P152" s="48" t="str">
        <f>IF(AND('Mapa final'!$AB$142="Media",'Mapa final'!$AD$142="Moderado"),CONCATENATE("R47C",'Mapa final'!$R$142),"")</f>
        <v/>
      </c>
      <c r="Q152" s="49" t="str">
        <f>IF(AND('Mapa final'!$AB$143="Media",'Mapa final'!$AD$143="Moderado"),CONCATENATE("R47C",'Mapa final'!$R$143),"")</f>
        <v/>
      </c>
      <c r="R152" s="108" t="str">
        <f>IF(AND('Mapa final'!$AB$144="Media",'Mapa final'!$AD$144="Moderado"),CONCATENATE("R47C",'Mapa final'!$R$144),"")</f>
        <v/>
      </c>
      <c r="S152" s="102" t="str">
        <f>IF(AND('Mapa final'!$AB$142="Media",'Mapa final'!$AD$142="Mayor"),CONCATENATE("R47C",'Mapa final'!$R$142),"")</f>
        <v/>
      </c>
      <c r="T152" s="41" t="str">
        <f>IF(AND('Mapa final'!$AB$143="Media",'Mapa final'!$AD$143="Mayor"),CONCATENATE("R47C",'Mapa final'!$R$143),"")</f>
        <v/>
      </c>
      <c r="U152" s="103" t="str">
        <f>IF(AND('Mapa final'!$AB$144="Media",'Mapa final'!$AD$144="Mayor"),CONCATENATE("R47C",'Mapa final'!$R$144),"")</f>
        <v/>
      </c>
      <c r="V152" s="42" t="str">
        <f>IF(AND('Mapa final'!$AB$142="Media",'Mapa final'!$AD$142="Catastrófico"),CONCATENATE("R47C",'Mapa final'!$R$142),"")</f>
        <v/>
      </c>
      <c r="W152" s="43" t="str">
        <f>IF(AND('Mapa final'!$AB$143="Media",'Mapa final'!$AD$143="Catastrófico"),CONCATENATE("R47C",'Mapa final'!$R$143),"")</f>
        <v/>
      </c>
      <c r="X152" s="97" t="str">
        <f>IF(AND('Mapa final'!$AB$144="Media",'Mapa final'!$AD$144="Catastrófico"),CONCATENATE("R47C",'Mapa final'!$R$144),"")</f>
        <v/>
      </c>
      <c r="Y152" s="55"/>
      <c r="Z152" s="312"/>
      <c r="AA152" s="313"/>
      <c r="AB152" s="313"/>
      <c r="AC152" s="313"/>
      <c r="AD152" s="313"/>
      <c r="AE152" s="314"/>
      <c r="AF152" s="55"/>
      <c r="AG152" s="55"/>
      <c r="AH152" s="55"/>
      <c r="AI152" s="55"/>
      <c r="AJ152" s="55"/>
      <c r="AK152" s="55"/>
      <c r="AL152" s="55"/>
      <c r="AM152" s="55"/>
      <c r="AN152" s="55"/>
      <c r="AO152" s="55"/>
      <c r="AP152" s="55"/>
      <c r="AQ152" s="55"/>
      <c r="AR152" s="55"/>
      <c r="AS152" s="55"/>
      <c r="AT152" s="55"/>
      <c r="AU152" s="55"/>
      <c r="AV152" s="55"/>
      <c r="AW152" s="55"/>
      <c r="AX152" s="55"/>
      <c r="AY152" s="55"/>
      <c r="AZ152" s="55"/>
      <c r="BA152" s="55"/>
      <c r="BB152" s="55"/>
      <c r="BC152" s="55"/>
      <c r="BD152" s="55"/>
      <c r="BE152" s="55"/>
      <c r="BF152" s="55"/>
      <c r="BG152" s="55"/>
      <c r="BH152" s="55"/>
      <c r="BI152" s="55"/>
    </row>
    <row r="153" spans="1:61" ht="15" customHeight="1" x14ac:dyDescent="0.25">
      <c r="A153" s="55"/>
      <c r="B153" s="301"/>
      <c r="C153" s="301"/>
      <c r="D153" s="302"/>
      <c r="E153" s="279"/>
      <c r="F153" s="274"/>
      <c r="G153" s="274"/>
      <c r="H153" s="274"/>
      <c r="I153" s="274"/>
      <c r="J153" s="48" t="str">
        <f>IF(AND('Mapa final'!$AB$145="Media",'Mapa final'!$AD$145="Leve"),CONCATENATE("R48C",'Mapa final'!$R$145),"")</f>
        <v/>
      </c>
      <c r="K153" s="49" t="str">
        <f>IF(AND('Mapa final'!$AB$146="Media",'Mapa final'!$AD$146="Leve"),CONCATENATE("R48C",'Mapa final'!$R$146),"")</f>
        <v/>
      </c>
      <c r="L153" s="108" t="str">
        <f>IF(AND('Mapa final'!$AB$147="Media",'Mapa final'!$AD$147="Leve"),CONCATENATE("R48C",'Mapa final'!$R$147),"")</f>
        <v/>
      </c>
      <c r="M153" s="48" t="str">
        <f>IF(AND('Mapa final'!$AB$145="Media",'Mapa final'!$AD$145="Menor"),CONCATENATE("R48C",'Mapa final'!$R$145),"")</f>
        <v/>
      </c>
      <c r="N153" s="49" t="str">
        <f>IF(AND('Mapa final'!$AB$146="Media",'Mapa final'!$AD$146="Menor"),CONCATENATE("R48C",'Mapa final'!$R$146),"")</f>
        <v/>
      </c>
      <c r="O153" s="108" t="str">
        <f>IF(AND('Mapa final'!$AB$147="Media",'Mapa final'!$AD$147="Menor"),CONCATENATE("R48C",'Mapa final'!$R$147),"")</f>
        <v/>
      </c>
      <c r="P153" s="48" t="str">
        <f>IF(AND('Mapa final'!$AB$145="Media",'Mapa final'!$AD$145="Moderado"),CONCATENATE("R48C",'Mapa final'!$R$145),"")</f>
        <v/>
      </c>
      <c r="Q153" s="49" t="str">
        <f>IF(AND('Mapa final'!$AB$146="Media",'Mapa final'!$AD$146="Moderado"),CONCATENATE("R48C",'Mapa final'!$R$146),"")</f>
        <v/>
      </c>
      <c r="R153" s="108" t="str">
        <f>IF(AND('Mapa final'!$AB$147="Media",'Mapa final'!$AD$147="Moderado"),CONCATENATE("R48C",'Mapa final'!$R$147),"")</f>
        <v/>
      </c>
      <c r="S153" s="102" t="str">
        <f>IF(AND('Mapa final'!$AB$145="Media",'Mapa final'!$AD$145="Mayor"),CONCATENATE("R48C",'Mapa final'!$R$145),"")</f>
        <v/>
      </c>
      <c r="T153" s="41" t="str">
        <f>IF(AND('Mapa final'!$AB$146="Media",'Mapa final'!$AD$146="Mayor"),CONCATENATE("R48C",'Mapa final'!$R$146),"")</f>
        <v/>
      </c>
      <c r="U153" s="103" t="str">
        <f>IF(AND('Mapa final'!$AB$147="Media",'Mapa final'!$AD$147="Mayor"),CONCATENATE("R48C",'Mapa final'!$R$147),"")</f>
        <v/>
      </c>
      <c r="V153" s="42" t="str">
        <f>IF(AND('Mapa final'!$AB$145="Media",'Mapa final'!$AD$145="Catastrófico"),CONCATENATE("R48C",'Mapa final'!$R$145),"")</f>
        <v/>
      </c>
      <c r="W153" s="43" t="str">
        <f>IF(AND('Mapa final'!$AB$146="Media",'Mapa final'!$AD$146="Catastrófico"),CONCATENATE("R48C",'Mapa final'!$R$146),"")</f>
        <v/>
      </c>
      <c r="X153" s="97" t="str">
        <f>IF(AND('Mapa final'!$AB$147="Media",'Mapa final'!$AD$147="Catastrófico"),CONCATENATE("R48C",'Mapa final'!$R$147),"")</f>
        <v/>
      </c>
      <c r="Y153" s="55"/>
      <c r="Z153" s="312"/>
      <c r="AA153" s="313"/>
      <c r="AB153" s="313"/>
      <c r="AC153" s="313"/>
      <c r="AD153" s="313"/>
      <c r="AE153" s="314"/>
      <c r="AF153" s="55"/>
      <c r="AG153" s="55"/>
      <c r="AH153" s="55"/>
      <c r="AI153" s="55"/>
      <c r="AJ153" s="55"/>
      <c r="AK153" s="55"/>
      <c r="AL153" s="55"/>
      <c r="AM153" s="55"/>
      <c r="AN153" s="55"/>
      <c r="AO153" s="55"/>
      <c r="AP153" s="55"/>
      <c r="AQ153" s="55"/>
      <c r="AR153" s="55"/>
      <c r="AS153" s="55"/>
      <c r="AT153" s="55"/>
      <c r="AU153" s="55"/>
      <c r="AV153" s="55"/>
      <c r="AW153" s="55"/>
      <c r="AX153" s="55"/>
      <c r="AY153" s="55"/>
      <c r="AZ153" s="55"/>
      <c r="BA153" s="55"/>
      <c r="BB153" s="55"/>
      <c r="BC153" s="55"/>
      <c r="BD153" s="55"/>
      <c r="BE153" s="55"/>
      <c r="BF153" s="55"/>
      <c r="BG153" s="55"/>
      <c r="BH153" s="55"/>
      <c r="BI153" s="55"/>
    </row>
    <row r="154" spans="1:61" ht="15" customHeight="1" x14ac:dyDescent="0.25">
      <c r="A154" s="55"/>
      <c r="B154" s="301"/>
      <c r="C154" s="301"/>
      <c r="D154" s="302"/>
      <c r="E154" s="279"/>
      <c r="F154" s="274"/>
      <c r="G154" s="274"/>
      <c r="H154" s="274"/>
      <c r="I154" s="274"/>
      <c r="J154" s="48" t="str">
        <f>IF(AND('Mapa final'!$AB$148="Media",'Mapa final'!$AD$148="Leve"),CONCATENATE("R49C",'Mapa final'!$R$148),"")</f>
        <v/>
      </c>
      <c r="K154" s="49" t="str">
        <f>IF(AND('Mapa final'!$AB$149="Media",'Mapa final'!$AD$149="Leve"),CONCATENATE("R49C",'Mapa final'!$R$149),"")</f>
        <v/>
      </c>
      <c r="L154" s="108" t="str">
        <f>IF(AND('Mapa final'!$AB$150="Media",'Mapa final'!$AD$150="Leve"),CONCATENATE("R49C",'Mapa final'!$R$150),"")</f>
        <v/>
      </c>
      <c r="M154" s="48" t="str">
        <f>IF(AND('Mapa final'!$AB$148="Media",'Mapa final'!$AD$148="Menor"),CONCATENATE("R49C",'Mapa final'!$R$148),"")</f>
        <v/>
      </c>
      <c r="N154" s="49" t="str">
        <f>IF(AND('Mapa final'!$AB$149="Media",'Mapa final'!$AD$149="Menor"),CONCATENATE("R49C",'Mapa final'!$R$149),"")</f>
        <v/>
      </c>
      <c r="O154" s="108" t="str">
        <f>IF(AND('Mapa final'!$AB$150="Media",'Mapa final'!$AD$150="Menor"),CONCATENATE("R49C",'Mapa final'!$R$150),"")</f>
        <v/>
      </c>
      <c r="P154" s="48" t="str">
        <f>IF(AND('Mapa final'!$AB$148="Media",'Mapa final'!$AD$148="Moderado"),CONCATENATE("R49C",'Mapa final'!$R$148),"")</f>
        <v/>
      </c>
      <c r="Q154" s="49" t="str">
        <f>IF(AND('Mapa final'!$AB$149="Media",'Mapa final'!$AD$149="Moderado"),CONCATENATE("R49C",'Mapa final'!$R$149),"")</f>
        <v/>
      </c>
      <c r="R154" s="108" t="str">
        <f>IF(AND('Mapa final'!$AB$150="Media",'Mapa final'!$AD$150="Moderado"),CONCATENATE("R49C",'Mapa final'!$R$150),"")</f>
        <v/>
      </c>
      <c r="S154" s="102" t="str">
        <f>IF(AND('Mapa final'!$AB$148="Media",'Mapa final'!$AD$148="Mayor"),CONCATENATE("R49C",'Mapa final'!$R$148),"")</f>
        <v/>
      </c>
      <c r="T154" s="41" t="str">
        <f>IF(AND('Mapa final'!$AB$149="Media",'Mapa final'!$AD$149="Mayor"),CONCATENATE("R49C",'Mapa final'!$R$149),"")</f>
        <v/>
      </c>
      <c r="U154" s="103" t="str">
        <f>IF(AND('Mapa final'!$AB$150="Media",'Mapa final'!$AD$150="Mayor"),CONCATENATE("R49C",'Mapa final'!$R$150),"")</f>
        <v/>
      </c>
      <c r="V154" s="42" t="str">
        <f>IF(AND('Mapa final'!$AB$148="Media",'Mapa final'!$AD$148="Catastrófico"),CONCATENATE("R49C",'Mapa final'!$R$148),"")</f>
        <v/>
      </c>
      <c r="W154" s="43" t="str">
        <f>IF(AND('Mapa final'!$AB$149="Media",'Mapa final'!$AD$149="Catastrófico"),CONCATENATE("R49C",'Mapa final'!$R$149),"")</f>
        <v/>
      </c>
      <c r="X154" s="97" t="str">
        <f>IF(AND('Mapa final'!$AB$150="Media",'Mapa final'!$AD$150="Catastrófico"),CONCATENATE("R49C",'Mapa final'!$R$150),"")</f>
        <v/>
      </c>
      <c r="Y154" s="55"/>
      <c r="Z154" s="312"/>
      <c r="AA154" s="313"/>
      <c r="AB154" s="313"/>
      <c r="AC154" s="313"/>
      <c r="AD154" s="313"/>
      <c r="AE154" s="314"/>
      <c r="AF154" s="55"/>
      <c r="AG154" s="55"/>
      <c r="AH154" s="55"/>
      <c r="AI154" s="55"/>
      <c r="AJ154" s="55"/>
      <c r="AK154" s="55"/>
      <c r="AL154" s="55"/>
      <c r="AM154" s="55"/>
      <c r="AN154" s="55"/>
      <c r="AO154" s="55"/>
      <c r="AP154" s="55"/>
      <c r="AQ154" s="55"/>
      <c r="AR154" s="55"/>
      <c r="AS154" s="55"/>
      <c r="AT154" s="55"/>
      <c r="AU154" s="55"/>
      <c r="AV154" s="55"/>
      <c r="AW154" s="55"/>
      <c r="AX154" s="55"/>
      <c r="AY154" s="55"/>
      <c r="AZ154" s="55"/>
      <c r="BA154" s="55"/>
      <c r="BB154" s="55"/>
      <c r="BC154" s="55"/>
      <c r="BD154" s="55"/>
      <c r="BE154" s="55"/>
      <c r="BF154" s="55"/>
      <c r="BG154" s="55"/>
      <c r="BH154" s="55"/>
      <c r="BI154" s="55"/>
    </row>
    <row r="155" spans="1:61" ht="15" customHeight="1" thickBot="1" x14ac:dyDescent="0.3">
      <c r="A155" s="55"/>
      <c r="B155" s="301"/>
      <c r="C155" s="301"/>
      <c r="D155" s="302"/>
      <c r="E155" s="279"/>
      <c r="F155" s="274"/>
      <c r="G155" s="274"/>
      <c r="H155" s="274"/>
      <c r="I155" s="274"/>
      <c r="J155" s="50" t="str">
        <f>IF(AND('Mapa final'!$AB$151="Media",'Mapa final'!$AD$151="Leve"),CONCATENATE("R50C",'Mapa final'!$R$151),"")</f>
        <v/>
      </c>
      <c r="K155" s="51" t="str">
        <f>IF(AND('Mapa final'!$AB$152="Media",'Mapa final'!$AD$152="Leve"),CONCATENATE("R50C",'Mapa final'!$R$152),"")</f>
        <v/>
      </c>
      <c r="L155" s="109" t="str">
        <f>IF(AND('Mapa final'!$AB$153="Media",'Mapa final'!$AD$153="Leve"),CONCATENATE("R50C",'Mapa final'!$R$153),"")</f>
        <v/>
      </c>
      <c r="M155" s="50" t="str">
        <f>IF(AND('Mapa final'!$AB$151="Media",'Mapa final'!$AD$151="Menor"),CONCATENATE("R50C",'Mapa final'!$R$151),"")</f>
        <v/>
      </c>
      <c r="N155" s="51" t="str">
        <f>IF(AND('Mapa final'!$AB$152="Media",'Mapa final'!$AD$152="Menor"),CONCATENATE("R50C",'Mapa final'!$R$152),"")</f>
        <v/>
      </c>
      <c r="O155" s="109" t="str">
        <f>IF(AND('Mapa final'!$AB$153="Media",'Mapa final'!$AD$153="Menor"),CONCATENATE("R50C",'Mapa final'!$R$153),"")</f>
        <v/>
      </c>
      <c r="P155" s="50" t="str">
        <f>IF(AND('Mapa final'!$AB$151="Media",'Mapa final'!$AD$151="Moderado"),CONCATENATE("R50C",'Mapa final'!$R$151),"")</f>
        <v/>
      </c>
      <c r="Q155" s="51" t="str">
        <f>IF(AND('Mapa final'!$AB$152="Media",'Mapa final'!$AD$152="Moderado"),CONCATENATE("R50C",'Mapa final'!$R$152),"")</f>
        <v/>
      </c>
      <c r="R155" s="109" t="str">
        <f>IF(AND('Mapa final'!$AB$153="Media",'Mapa final'!$AD$153="Moderado"),CONCATENATE("R50C",'Mapa final'!$R$153),"")</f>
        <v/>
      </c>
      <c r="S155" s="104" t="str">
        <f>IF(AND('Mapa final'!$AB$151="Media",'Mapa final'!$AD$151="Mayor"),CONCATENATE("R50C",'Mapa final'!$R$151),"")</f>
        <v/>
      </c>
      <c r="T155" s="105" t="str">
        <f>IF(AND('Mapa final'!$AB$152="Media",'Mapa final'!$AD$152="Mayor"),CONCATENATE("R50C",'Mapa final'!$R$152),"")</f>
        <v/>
      </c>
      <c r="U155" s="106" t="str">
        <f>IF(AND('Mapa final'!$AB$153="Media",'Mapa final'!$AD$153="Mayor"),CONCATENATE("R50C",'Mapa final'!$R$153),"")</f>
        <v/>
      </c>
      <c r="V155" s="44" t="str">
        <f>IF(AND('Mapa final'!$AB$151="Media",'Mapa final'!$AD$151="Catastrófico"),CONCATENATE("R50C",'Mapa final'!$R$151),"")</f>
        <v/>
      </c>
      <c r="W155" s="45" t="str">
        <f>IF(AND('Mapa final'!$AB$152="Media",'Mapa final'!$AD$152="Catastrófico"),CONCATENATE("R50C",'Mapa final'!$R$152),"")</f>
        <v/>
      </c>
      <c r="X155" s="98" t="str">
        <f>IF(AND('Mapa final'!$AB$153="Media",'Mapa final'!$AD$153="Catastrófico"),CONCATENATE("R50C",'Mapa final'!$R$153),"")</f>
        <v/>
      </c>
      <c r="Y155" s="55"/>
      <c r="Z155" s="312"/>
      <c r="AA155" s="313"/>
      <c r="AB155" s="313"/>
      <c r="AC155" s="313"/>
      <c r="AD155" s="313"/>
      <c r="AE155" s="314"/>
      <c r="AF155" s="55"/>
      <c r="AG155" s="55"/>
      <c r="AH155" s="55"/>
      <c r="AI155" s="55"/>
      <c r="AJ155" s="55"/>
      <c r="AK155" s="55"/>
      <c r="AL155" s="55"/>
      <c r="AM155" s="55"/>
      <c r="AN155" s="55"/>
      <c r="AO155" s="55"/>
      <c r="AP155" s="55"/>
      <c r="AQ155" s="55"/>
      <c r="AR155" s="55"/>
      <c r="AS155" s="55"/>
      <c r="AT155" s="55"/>
      <c r="AU155" s="55"/>
      <c r="AV155" s="55"/>
      <c r="AW155" s="55"/>
      <c r="AX155" s="55"/>
      <c r="AY155" s="55"/>
      <c r="AZ155" s="55"/>
      <c r="BA155" s="55"/>
      <c r="BB155" s="55"/>
      <c r="BC155" s="55"/>
      <c r="BD155" s="55"/>
      <c r="BE155" s="55"/>
      <c r="BF155" s="55"/>
      <c r="BG155" s="55"/>
      <c r="BH155" s="55"/>
      <c r="BI155" s="55"/>
    </row>
    <row r="156" spans="1:61" ht="15" customHeight="1" x14ac:dyDescent="0.25">
      <c r="A156" s="55"/>
      <c r="B156" s="301"/>
      <c r="C156" s="301"/>
      <c r="D156" s="302"/>
      <c r="E156" s="290" t="s">
        <v>105</v>
      </c>
      <c r="F156" s="291"/>
      <c r="G156" s="291"/>
      <c r="H156" s="291"/>
      <c r="I156" s="291"/>
      <c r="J156" s="110" t="str">
        <f>IF(AND('Mapa final'!$AB$7="Baja",'Mapa final'!$AD$7="Leve"),CONCATENATE("R1C",'Mapa final'!$R$7),"")</f>
        <v/>
      </c>
      <c r="K156" s="52" t="str">
        <f>IF(AND('Mapa final'!$AB$8="Baja",'Mapa final'!$AD$8="Leve"),CONCATENATE("R1C",'Mapa final'!$R$8),"")</f>
        <v/>
      </c>
      <c r="L156" s="111" t="str">
        <f>IF(AND('Mapa final'!$AB$9="Baja",'Mapa final'!$AD$9="Leve"),CONCATENATE("R1C",'Mapa final'!$R$9),"")</f>
        <v/>
      </c>
      <c r="M156" s="46" t="str">
        <f>IF(AND('Mapa final'!$AB$7="Baja",'Mapa final'!$AD$7="Menor"),CONCATENATE("R1C",'Mapa final'!$R$7),"")</f>
        <v/>
      </c>
      <c r="N156" s="47" t="str">
        <f>IF(AND('Mapa final'!$AB$8="Baja",'Mapa final'!$AD$8="Menor"),CONCATENATE("R1C",'Mapa final'!$R$8),"")</f>
        <v/>
      </c>
      <c r="O156" s="107" t="str">
        <f>IF(AND('Mapa final'!$AB$9="Baja",'Mapa final'!$AD$9="Menor"),CONCATENATE("R1C",'Mapa final'!$R$9),"")</f>
        <v/>
      </c>
      <c r="P156" s="46" t="str">
        <f>IF(AND('Mapa final'!$AB$7="Baja",'Mapa final'!$AD$7="Moderado"),CONCATENATE("R1C",'Mapa final'!$R$7),"")</f>
        <v>R1C1</v>
      </c>
      <c r="Q156" s="47" t="str">
        <f>IF(AND('Mapa final'!$AB$8="Baja",'Mapa final'!$AD$8="Moderado"),CONCATENATE("R1C",'Mapa final'!$R$8),"")</f>
        <v/>
      </c>
      <c r="R156" s="107" t="str">
        <f>IF(AND('Mapa final'!$AB$9="Baja",'Mapa final'!$AD$9="Moderado"),CONCATENATE("R1C",'Mapa final'!$R$9),"")</f>
        <v/>
      </c>
      <c r="S156" s="99" t="str">
        <f>IF(AND('Mapa final'!$AB$7="Baja",'Mapa final'!$AD$7="Mayor"),CONCATENATE("R1C",'Mapa final'!$R$7),"")</f>
        <v/>
      </c>
      <c r="T156" s="100" t="str">
        <f>IF(AND('Mapa final'!$AB$8="Baja",'Mapa final'!$AD$8="Mayor"),CONCATENATE("R1C",'Mapa final'!$R$8),"")</f>
        <v/>
      </c>
      <c r="U156" s="101" t="str">
        <f>IF(AND('Mapa final'!$AB$9="Baja",'Mapa final'!$AD$9="Mayor"),CONCATENATE("R1C",'Mapa final'!$R$9),"")</f>
        <v/>
      </c>
      <c r="V156" s="39" t="str">
        <f>IF(AND('Mapa final'!$AB$7="Baja",'Mapa final'!$AD$7="Catastrófico"),CONCATENATE("R1C",'Mapa final'!$R$7),"")</f>
        <v/>
      </c>
      <c r="W156" s="40" t="str">
        <f>IF(AND('Mapa final'!$AB$8="Baja",'Mapa final'!$AD$8="Catastrófico"),CONCATENATE("R1C",'Mapa final'!$R$8),"")</f>
        <v/>
      </c>
      <c r="X156" s="96" t="str">
        <f>IF(AND('Mapa final'!$AB$9="Baja",'Mapa final'!$AD$9="Catastrófico"),CONCATENATE("R1C",'Mapa final'!$R$9),"")</f>
        <v/>
      </c>
      <c r="Y156" s="55"/>
      <c r="Z156" s="303" t="s">
        <v>76</v>
      </c>
      <c r="AA156" s="304"/>
      <c r="AB156" s="304"/>
      <c r="AC156" s="304"/>
      <c r="AD156" s="304"/>
      <c r="AE156" s="305"/>
      <c r="AF156" s="55"/>
      <c r="AG156" s="55"/>
      <c r="AH156" s="55"/>
      <c r="AI156" s="55"/>
      <c r="AJ156" s="55"/>
      <c r="AK156" s="55"/>
      <c r="AL156" s="55"/>
      <c r="AM156" s="55"/>
      <c r="AN156" s="55"/>
      <c r="AO156" s="55"/>
      <c r="AP156" s="55"/>
      <c r="AQ156" s="55"/>
      <c r="AR156" s="55"/>
      <c r="AS156" s="55"/>
      <c r="AT156" s="55"/>
      <c r="AU156" s="55"/>
      <c r="AV156" s="55"/>
      <c r="AW156" s="55"/>
      <c r="AX156" s="55"/>
      <c r="AY156" s="55"/>
      <c r="AZ156" s="55"/>
      <c r="BA156" s="55"/>
      <c r="BB156" s="55"/>
      <c r="BC156" s="55"/>
      <c r="BD156" s="55"/>
      <c r="BE156" s="55"/>
      <c r="BF156" s="55"/>
      <c r="BG156" s="55"/>
      <c r="BH156" s="55"/>
      <c r="BI156" s="55"/>
    </row>
    <row r="157" spans="1:61" ht="15" customHeight="1" x14ac:dyDescent="0.25">
      <c r="A157" s="55"/>
      <c r="B157" s="301"/>
      <c r="C157" s="301"/>
      <c r="D157" s="302"/>
      <c r="E157" s="278"/>
      <c r="F157" s="274"/>
      <c r="G157" s="274"/>
      <c r="H157" s="274"/>
      <c r="I157" s="274"/>
      <c r="J157" s="112" t="str">
        <f>IF(AND('Mapa final'!$AB$10="Baja",'Mapa final'!$AD$10="Leve"),CONCATENATE("R2C",'Mapa final'!$R$10),"")</f>
        <v/>
      </c>
      <c r="K157" s="53" t="str">
        <f>IF(AND('Mapa final'!$AB$11="Baja",'Mapa final'!$AD$11="Leve"),CONCATENATE("R2C",'Mapa final'!$R$11),"")</f>
        <v/>
      </c>
      <c r="L157" s="113" t="str">
        <f>IF(AND('Mapa final'!$AB$12="Baja",'Mapa final'!$AD$12="Leve"),CONCATENATE("R2C",'Mapa final'!$R$12),"")</f>
        <v/>
      </c>
      <c r="M157" s="48" t="str">
        <f>IF(AND('Mapa final'!$AB$10="Baja",'Mapa final'!$AD$10="Menor"),CONCATENATE("R2C",'Mapa final'!$R$10),"")</f>
        <v/>
      </c>
      <c r="N157" s="49" t="str">
        <f>IF(AND('Mapa final'!$AB$11="Baja",'Mapa final'!$AD$11="Menor"),CONCATENATE("R2C",'Mapa final'!$R$11),"")</f>
        <v/>
      </c>
      <c r="O157" s="108" t="str">
        <f>IF(AND('Mapa final'!$AB$12="Baja",'Mapa final'!$AD$12="Menor"),CONCATENATE("R2C",'Mapa final'!$R$12),"")</f>
        <v/>
      </c>
      <c r="P157" s="48" t="str">
        <f>IF(AND('Mapa final'!$AB$10="Baja",'Mapa final'!$AD$10="Moderado"),CONCATENATE("R2C",'Mapa final'!$R$10),"")</f>
        <v>R2C1</v>
      </c>
      <c r="Q157" s="49" t="str">
        <f>IF(AND('Mapa final'!$AB$11="Baja",'Mapa final'!$AD$11="Moderado"),CONCATENATE("R2C",'Mapa final'!$R$11),"")</f>
        <v/>
      </c>
      <c r="R157" s="108" t="str">
        <f>IF(AND('Mapa final'!$AB$12="Baja",'Mapa final'!$AD$12="Moderado"),CONCATENATE("R2C",'Mapa final'!$R$12),"")</f>
        <v/>
      </c>
      <c r="S157" s="102" t="str">
        <f>IF(AND('Mapa final'!$AB$10="Baja",'Mapa final'!$AD$10="Mayor"),CONCATENATE("R2C",'Mapa final'!$R$10),"")</f>
        <v/>
      </c>
      <c r="T157" s="41" t="str">
        <f>IF(AND('Mapa final'!$AB$11="Baja",'Mapa final'!$AD$11="Mayor"),CONCATENATE("R2C",'Mapa final'!$R$11),"")</f>
        <v/>
      </c>
      <c r="U157" s="103" t="str">
        <f>IF(AND('Mapa final'!$AB$12="Baja",'Mapa final'!$AD$12="Mayor"),CONCATENATE("R2C",'Mapa final'!$R$12),"")</f>
        <v/>
      </c>
      <c r="V157" s="42" t="str">
        <f>IF(AND('Mapa final'!$AB$10="Baja",'Mapa final'!$AD$10="Catastrófico"),CONCATENATE("R2C",'Mapa final'!$R$10),"")</f>
        <v/>
      </c>
      <c r="W157" s="43" t="str">
        <f>IF(AND('Mapa final'!$AB$11="Baja",'Mapa final'!$AD$11="Catastrófico"),CONCATENATE("R2C",'Mapa final'!$R$11),"")</f>
        <v/>
      </c>
      <c r="X157" s="97" t="str">
        <f>IF(AND('Mapa final'!$AB$12="Baja",'Mapa final'!$AD$12="Catastrófico"),CONCATENATE("R2C",'Mapa final'!$R$12),"")</f>
        <v/>
      </c>
      <c r="Y157" s="55"/>
      <c r="Z157" s="306"/>
      <c r="AA157" s="307"/>
      <c r="AB157" s="307"/>
      <c r="AC157" s="307"/>
      <c r="AD157" s="307"/>
      <c r="AE157" s="308"/>
      <c r="AF157" s="55"/>
      <c r="AG157" s="55"/>
      <c r="AH157" s="55"/>
      <c r="AI157" s="55"/>
      <c r="AJ157" s="55"/>
      <c r="AK157" s="55"/>
      <c r="AL157" s="55"/>
      <c r="AM157" s="55"/>
      <c r="AN157" s="55"/>
      <c r="AO157" s="55"/>
      <c r="AP157" s="55"/>
      <c r="AQ157" s="55"/>
      <c r="AR157" s="55"/>
      <c r="AS157" s="55"/>
      <c r="AT157" s="55"/>
      <c r="AU157" s="55"/>
      <c r="AV157" s="55"/>
      <c r="AW157" s="55"/>
      <c r="AX157" s="55"/>
      <c r="AY157" s="55"/>
      <c r="AZ157" s="55"/>
      <c r="BA157" s="55"/>
      <c r="BB157" s="55"/>
      <c r="BC157" s="55"/>
      <c r="BD157" s="55"/>
      <c r="BE157" s="55"/>
      <c r="BF157" s="55"/>
      <c r="BG157" s="55"/>
      <c r="BH157" s="55"/>
      <c r="BI157" s="55"/>
    </row>
    <row r="158" spans="1:61" ht="15" customHeight="1" x14ac:dyDescent="0.25">
      <c r="A158" s="55"/>
      <c r="B158" s="301"/>
      <c r="C158" s="301"/>
      <c r="D158" s="302"/>
      <c r="E158" s="278"/>
      <c r="F158" s="274"/>
      <c r="G158" s="274"/>
      <c r="H158" s="274"/>
      <c r="I158" s="274"/>
      <c r="J158" s="112" t="str">
        <f>IF(AND('Mapa final'!$AB$13="Baja",'Mapa final'!$AD$13="Leve"),CONCATENATE("R3C",'Mapa final'!$R$13),"")</f>
        <v/>
      </c>
      <c r="K158" s="53" t="str">
        <f>IF(AND('Mapa final'!$AB$14="Baja",'Mapa final'!$AD$14="Leve"),CONCATENATE("R3C",'Mapa final'!$R$14),"")</f>
        <v/>
      </c>
      <c r="L158" s="113" t="str">
        <f>IF(AND('Mapa final'!$AB$15="Baja",'Mapa final'!$AD$15="Leve"),CONCATENATE("R3C",'Mapa final'!$R$15),"")</f>
        <v/>
      </c>
      <c r="M158" s="48" t="str">
        <f>IF(AND('Mapa final'!$AB$13="Baja",'Mapa final'!$AD$13="Menor"),CONCATENATE("R3C",'Mapa final'!$R$13),"")</f>
        <v/>
      </c>
      <c r="N158" s="49" t="str">
        <f>IF(AND('Mapa final'!$AB$14="Baja",'Mapa final'!$AD$14="Menor"),CONCATENATE("R3C",'Mapa final'!$R$14),"")</f>
        <v/>
      </c>
      <c r="O158" s="108" t="str">
        <f>IF(AND('Mapa final'!$AB$15="Baja",'Mapa final'!$AD$15="Menor"),CONCATENATE("R3C",'Mapa final'!$R$15),"")</f>
        <v/>
      </c>
      <c r="P158" s="48" t="str">
        <f>IF(AND('Mapa final'!$AB$13="Baja",'Mapa final'!$AD$13="Moderado"),CONCATENATE("R3C",'Mapa final'!$R$13),"")</f>
        <v/>
      </c>
      <c r="Q158" s="49" t="str">
        <f>IF(AND('Mapa final'!$AB$14="Baja",'Mapa final'!$AD$14="Moderado"),CONCATENATE("R3C",'Mapa final'!$R$14),"")</f>
        <v/>
      </c>
      <c r="R158" s="108" t="str">
        <f>IF(AND('Mapa final'!$AB$15="Baja",'Mapa final'!$AD$15="Moderado"),CONCATENATE("R3C",'Mapa final'!$R$15),"")</f>
        <v/>
      </c>
      <c r="S158" s="102" t="str">
        <f>IF(AND('Mapa final'!$AB$13="Baja",'Mapa final'!$AD$13="Mayor"),CONCATENATE("R3C",'Mapa final'!$R$13),"")</f>
        <v/>
      </c>
      <c r="T158" s="41" t="str">
        <f>IF(AND('Mapa final'!$AB$14="Baja",'Mapa final'!$AD$14="Mayor"),CONCATENATE("R3C",'Mapa final'!$R$14),"")</f>
        <v/>
      </c>
      <c r="U158" s="103" t="str">
        <f>IF(AND('Mapa final'!$AB$15="Baja",'Mapa final'!$AD$15="Mayor"),CONCATENATE("R3C",'Mapa final'!$R$15),"")</f>
        <v/>
      </c>
      <c r="V158" s="42" t="str">
        <f>IF(AND('Mapa final'!$AB$13="Baja",'Mapa final'!$AD$13="Catastrófico"),CONCATENATE("R3C",'Mapa final'!$R$13),"")</f>
        <v/>
      </c>
      <c r="W158" s="43" t="str">
        <f>IF(AND('Mapa final'!$AB$14="Baja",'Mapa final'!$AD$14="Catastrófico"),CONCATENATE("R3C",'Mapa final'!$R$14),"")</f>
        <v/>
      </c>
      <c r="X158" s="97" t="str">
        <f>IF(AND('Mapa final'!$AB$15="Baja",'Mapa final'!$AD$15="Catastrófico"),CONCATENATE("R3C",'Mapa final'!$R$15),"")</f>
        <v/>
      </c>
      <c r="Y158" s="55"/>
      <c r="Z158" s="306"/>
      <c r="AA158" s="307"/>
      <c r="AB158" s="307"/>
      <c r="AC158" s="307"/>
      <c r="AD158" s="307"/>
      <c r="AE158" s="308"/>
      <c r="AF158" s="55"/>
      <c r="AG158" s="55"/>
      <c r="AH158" s="55"/>
      <c r="AI158" s="55"/>
      <c r="AJ158" s="55"/>
      <c r="AK158" s="55"/>
      <c r="AL158" s="55"/>
      <c r="AM158" s="55"/>
      <c r="AN158" s="55"/>
      <c r="AO158" s="55"/>
      <c r="AP158" s="55"/>
      <c r="AQ158" s="55"/>
      <c r="AR158" s="55"/>
      <c r="AS158" s="55"/>
      <c r="AT158" s="55"/>
      <c r="AU158" s="55"/>
      <c r="AV158" s="55"/>
      <c r="AW158" s="55"/>
      <c r="AX158" s="55"/>
      <c r="AY158" s="55"/>
      <c r="AZ158" s="55"/>
      <c r="BA158" s="55"/>
      <c r="BB158" s="55"/>
      <c r="BC158" s="55"/>
      <c r="BD158" s="55"/>
      <c r="BE158" s="55"/>
      <c r="BF158" s="55"/>
      <c r="BG158" s="55"/>
      <c r="BH158" s="55"/>
      <c r="BI158" s="55"/>
    </row>
    <row r="159" spans="1:61" ht="15" customHeight="1" x14ac:dyDescent="0.25">
      <c r="A159" s="55"/>
      <c r="B159" s="301"/>
      <c r="C159" s="301"/>
      <c r="D159" s="302"/>
      <c r="E159" s="278"/>
      <c r="F159" s="274"/>
      <c r="G159" s="274"/>
      <c r="H159" s="274"/>
      <c r="I159" s="274"/>
      <c r="J159" s="112" t="e">
        <f>IF(AND('Mapa final'!#REF!="Baja",'Mapa final'!#REF!="Leve"),CONCATENATE("R4C",'Mapa final'!#REF!),"")</f>
        <v>#REF!</v>
      </c>
      <c r="K159" s="53" t="e">
        <f>IF(AND('Mapa final'!#REF!="Baja",'Mapa final'!#REF!="Leve"),CONCATENATE("R4C",'Mapa final'!#REF!),"")</f>
        <v>#REF!</v>
      </c>
      <c r="L159" s="113" t="e">
        <f>IF(AND('Mapa final'!#REF!="Baja",'Mapa final'!#REF!="Leve"),CONCATENATE("R4C",'Mapa final'!#REF!),"")</f>
        <v>#REF!</v>
      </c>
      <c r="M159" s="48" t="e">
        <f>IF(AND('Mapa final'!#REF!="Baja",'Mapa final'!#REF!="Menor"),CONCATENATE("R4C",'Mapa final'!#REF!),"")</f>
        <v>#REF!</v>
      </c>
      <c r="N159" s="49" t="e">
        <f>IF(AND('Mapa final'!#REF!="Baja",'Mapa final'!#REF!="Menor"),CONCATENATE("R4C",'Mapa final'!#REF!),"")</f>
        <v>#REF!</v>
      </c>
      <c r="O159" s="108" t="e">
        <f>IF(AND('Mapa final'!#REF!="Baja",'Mapa final'!#REF!="Menor"),CONCATENATE("R4C",'Mapa final'!#REF!),"")</f>
        <v>#REF!</v>
      </c>
      <c r="P159" s="48" t="e">
        <f>IF(AND('Mapa final'!#REF!="Baja",'Mapa final'!#REF!="Moderado"),CONCATENATE("R4C",'Mapa final'!#REF!),"")</f>
        <v>#REF!</v>
      </c>
      <c r="Q159" s="49" t="e">
        <f>IF(AND('Mapa final'!#REF!="Baja",'Mapa final'!#REF!="Moderado"),CONCATENATE("R4C",'Mapa final'!#REF!),"")</f>
        <v>#REF!</v>
      </c>
      <c r="R159" s="108" t="e">
        <f>IF(AND('Mapa final'!#REF!="Baja",'Mapa final'!#REF!="Moderado"),CONCATENATE("R4C",'Mapa final'!#REF!),"")</f>
        <v>#REF!</v>
      </c>
      <c r="S159" s="102" t="e">
        <f>IF(AND('Mapa final'!#REF!="Baja",'Mapa final'!#REF!="Mayor"),CONCATENATE("R4C",'Mapa final'!#REF!),"")</f>
        <v>#REF!</v>
      </c>
      <c r="T159" s="41" t="e">
        <f>IF(AND('Mapa final'!#REF!="Baja",'Mapa final'!#REF!="Mayor"),CONCATENATE("R4C",'Mapa final'!#REF!),"")</f>
        <v>#REF!</v>
      </c>
      <c r="U159" s="103" t="e">
        <f>IF(AND('Mapa final'!#REF!="Baja",'Mapa final'!#REF!="Mayor"),CONCATENATE("R4C",'Mapa final'!#REF!),"")</f>
        <v>#REF!</v>
      </c>
      <c r="V159" s="42" t="e">
        <f>IF(AND('Mapa final'!#REF!="Baja",'Mapa final'!#REF!="Catastrófico"),CONCATENATE("R4C",'Mapa final'!#REF!),"")</f>
        <v>#REF!</v>
      </c>
      <c r="W159" s="43" t="e">
        <f>IF(AND('Mapa final'!#REF!="Baja",'Mapa final'!#REF!="Catastrófico"),CONCATENATE("R4C",'Mapa final'!#REF!),"")</f>
        <v>#REF!</v>
      </c>
      <c r="X159" s="97" t="e">
        <f>IF(AND('Mapa final'!#REF!="Baja",'Mapa final'!#REF!="Catastrófico"),CONCATENATE("R4C",'Mapa final'!#REF!),"")</f>
        <v>#REF!</v>
      </c>
      <c r="Y159" s="55"/>
      <c r="Z159" s="306"/>
      <c r="AA159" s="307"/>
      <c r="AB159" s="307"/>
      <c r="AC159" s="307"/>
      <c r="AD159" s="307"/>
      <c r="AE159" s="308"/>
      <c r="AF159" s="55"/>
      <c r="AG159" s="55"/>
      <c r="AH159" s="55"/>
      <c r="AI159" s="55"/>
      <c r="AJ159" s="55"/>
      <c r="AK159" s="55"/>
      <c r="AL159" s="55"/>
      <c r="AM159" s="55"/>
      <c r="AN159" s="55"/>
      <c r="AO159" s="55"/>
      <c r="AP159" s="55"/>
      <c r="AQ159" s="55"/>
      <c r="AR159" s="55"/>
      <c r="AS159" s="55"/>
      <c r="AT159" s="55"/>
      <c r="AU159" s="55"/>
      <c r="AV159" s="55"/>
      <c r="AW159" s="55"/>
      <c r="AX159" s="55"/>
      <c r="AY159" s="55"/>
      <c r="AZ159" s="55"/>
      <c r="BA159" s="55"/>
      <c r="BB159" s="55"/>
      <c r="BC159" s="55"/>
      <c r="BD159" s="55"/>
      <c r="BE159" s="55"/>
      <c r="BF159" s="55"/>
      <c r="BG159" s="55"/>
      <c r="BH159" s="55"/>
      <c r="BI159" s="55"/>
    </row>
    <row r="160" spans="1:61" ht="15" customHeight="1" x14ac:dyDescent="0.25">
      <c r="A160" s="55"/>
      <c r="B160" s="301"/>
      <c r="C160" s="301"/>
      <c r="D160" s="302"/>
      <c r="E160" s="278"/>
      <c r="F160" s="274"/>
      <c r="G160" s="274"/>
      <c r="H160" s="274"/>
      <c r="I160" s="274"/>
      <c r="J160" s="112" t="str">
        <f>IF(AND('Mapa final'!$AB$16="Baja",'Mapa final'!$AD$16="Leve"),CONCATENATE("R5C",'Mapa final'!$R$16),"")</f>
        <v/>
      </c>
      <c r="K160" s="53" t="str">
        <f>IF(AND('Mapa final'!$AB$17="Baja",'Mapa final'!$AD$17="Leve"),CONCATENATE("R5C",'Mapa final'!$R$17),"")</f>
        <v/>
      </c>
      <c r="L160" s="113" t="str">
        <f>IF(AND('Mapa final'!$AB$18="Baja",'Mapa final'!$AD$18="Leve"),CONCATENATE("R5C",'Mapa final'!$R$18),"")</f>
        <v/>
      </c>
      <c r="M160" s="48" t="str">
        <f>IF(AND('Mapa final'!$AB$16="Baja",'Mapa final'!$AD$16="Menor"),CONCATENATE("R5C",'Mapa final'!$R$16),"")</f>
        <v/>
      </c>
      <c r="N160" s="49" t="str">
        <f>IF(AND('Mapa final'!$AB$17="Baja",'Mapa final'!$AD$17="Menor"),CONCATENATE("R5C",'Mapa final'!$R$17),"")</f>
        <v/>
      </c>
      <c r="O160" s="108" t="str">
        <f>IF(AND('Mapa final'!$AB$18="Baja",'Mapa final'!$AD$18="Menor"),CONCATENATE("R5C",'Mapa final'!$R$18),"")</f>
        <v/>
      </c>
      <c r="P160" s="48" t="str">
        <f>IF(AND('Mapa final'!$AB$16="Baja",'Mapa final'!$AD$16="Moderado"),CONCATENATE("R5C",'Mapa final'!$R$16),"")</f>
        <v/>
      </c>
      <c r="Q160" s="49" t="str">
        <f>IF(AND('Mapa final'!$AB$17="Baja",'Mapa final'!$AD$17="Moderado"),CONCATENATE("R5C",'Mapa final'!$R$17),"")</f>
        <v/>
      </c>
      <c r="R160" s="108" t="str">
        <f>IF(AND('Mapa final'!$AB$18="Baja",'Mapa final'!$AD$18="Moderado"),CONCATENATE("R5C",'Mapa final'!$R$18),"")</f>
        <v/>
      </c>
      <c r="S160" s="102" t="str">
        <f>IF(AND('Mapa final'!$AB$16="Baja",'Mapa final'!$AD$16="Mayor"),CONCATENATE("R5C",'Mapa final'!$R$16),"")</f>
        <v/>
      </c>
      <c r="T160" s="41" t="str">
        <f>IF(AND('Mapa final'!$AB$17="Baja",'Mapa final'!$AD$17="Mayor"),CONCATENATE("R5C",'Mapa final'!$R$17),"")</f>
        <v/>
      </c>
      <c r="U160" s="103" t="str">
        <f>IF(AND('Mapa final'!$AB$18="Baja",'Mapa final'!$AD$18="Mayor"),CONCATENATE("R5C",'Mapa final'!$R$18),"")</f>
        <v/>
      </c>
      <c r="V160" s="42" t="str">
        <f>IF(AND('Mapa final'!$AB$16="Baja",'Mapa final'!$AD$16="Catastrófico"),CONCATENATE("R5C",'Mapa final'!$R$16),"")</f>
        <v/>
      </c>
      <c r="W160" s="43" t="str">
        <f>IF(AND('Mapa final'!$AB$17="Baja",'Mapa final'!$AD$17="Catastrófico"),CONCATENATE("R5C",'Mapa final'!$R$17),"")</f>
        <v/>
      </c>
      <c r="X160" s="97" t="str">
        <f>IF(AND('Mapa final'!$AB$18="Baja",'Mapa final'!$AD$18="Catastrófico"),CONCATENATE("R5C",'Mapa final'!$R$18),"")</f>
        <v/>
      </c>
      <c r="Y160" s="55"/>
      <c r="Z160" s="306"/>
      <c r="AA160" s="307"/>
      <c r="AB160" s="307"/>
      <c r="AC160" s="307"/>
      <c r="AD160" s="307"/>
      <c r="AE160" s="308"/>
      <c r="AF160" s="55"/>
      <c r="AG160" s="55"/>
      <c r="AH160" s="55"/>
      <c r="AI160" s="55"/>
      <c r="AJ160" s="55"/>
      <c r="AK160" s="55"/>
      <c r="AL160" s="55"/>
      <c r="AM160" s="55"/>
      <c r="AN160" s="55"/>
      <c r="AO160" s="55"/>
      <c r="AP160" s="55"/>
      <c r="AQ160" s="55"/>
      <c r="AR160" s="55"/>
      <c r="AS160" s="55"/>
      <c r="AT160" s="55"/>
      <c r="AU160" s="55"/>
      <c r="AV160" s="55"/>
      <c r="AW160" s="55"/>
      <c r="AX160" s="55"/>
      <c r="AY160" s="55"/>
      <c r="AZ160" s="55"/>
      <c r="BA160" s="55"/>
      <c r="BB160" s="55"/>
      <c r="BC160" s="55"/>
      <c r="BD160" s="55"/>
      <c r="BE160" s="55"/>
      <c r="BF160" s="55"/>
      <c r="BG160" s="55"/>
      <c r="BH160" s="55"/>
      <c r="BI160" s="55"/>
    </row>
    <row r="161" spans="1:61" ht="15" customHeight="1" x14ac:dyDescent="0.25">
      <c r="A161" s="55"/>
      <c r="B161" s="301"/>
      <c r="C161" s="301"/>
      <c r="D161" s="302"/>
      <c r="E161" s="278"/>
      <c r="F161" s="274"/>
      <c r="G161" s="274"/>
      <c r="H161" s="274"/>
      <c r="I161" s="274"/>
      <c r="J161" s="112" t="str">
        <f>IF(AND('Mapa final'!$AB$19="Baja",'Mapa final'!$AD$19="Leve"),CONCATENATE("R6C",'Mapa final'!$R$19),"")</f>
        <v/>
      </c>
      <c r="K161" s="53" t="str">
        <f>IF(AND('Mapa final'!$AB$20="Baja",'Mapa final'!$AD$20="Leve"),CONCATENATE("R6C",'Mapa final'!$R$20),"")</f>
        <v/>
      </c>
      <c r="L161" s="113" t="str">
        <f>IF(AND('Mapa final'!$AB$21="Baja",'Mapa final'!$AD$21="Leve"),CONCATENATE("R6C",'Mapa final'!$R$21),"")</f>
        <v/>
      </c>
      <c r="M161" s="48" t="str">
        <f>IF(AND('Mapa final'!$AB$19="Baja",'Mapa final'!$AD$19="Menor"),CONCATENATE("R6C",'Mapa final'!$R$19),"")</f>
        <v/>
      </c>
      <c r="N161" s="49" t="str">
        <f>IF(AND('Mapa final'!$AB$20="Baja",'Mapa final'!$AD$20="Menor"),CONCATENATE("R6C",'Mapa final'!$R$20),"")</f>
        <v/>
      </c>
      <c r="O161" s="108" t="str">
        <f>IF(AND('Mapa final'!$AB$21="Baja",'Mapa final'!$AD$21="Menor"),CONCATENATE("R6C",'Mapa final'!$R$21),"")</f>
        <v/>
      </c>
      <c r="P161" s="48" t="str">
        <f>IF(AND('Mapa final'!$AB$19="Baja",'Mapa final'!$AD$19="Moderado"),CONCATENATE("R6C",'Mapa final'!$R$19),"")</f>
        <v/>
      </c>
      <c r="Q161" s="49" t="str">
        <f>IF(AND('Mapa final'!$AB$20="Baja",'Mapa final'!$AD$20="Moderado"),CONCATENATE("R6C",'Mapa final'!$R$20),"")</f>
        <v/>
      </c>
      <c r="R161" s="108" t="str">
        <f>IF(AND('Mapa final'!$AB$21="Baja",'Mapa final'!$AD$21="Moderado"),CONCATENATE("R6C",'Mapa final'!$R$21),"")</f>
        <v/>
      </c>
      <c r="S161" s="102" t="str">
        <f>IF(AND('Mapa final'!$AB$19="Baja",'Mapa final'!$AD$19="Mayor"),CONCATENATE("R6C",'Mapa final'!$R$19),"")</f>
        <v/>
      </c>
      <c r="T161" s="41" t="str">
        <f>IF(AND('Mapa final'!$AB$20="Baja",'Mapa final'!$AD$20="Mayor"),CONCATENATE("R6C",'Mapa final'!$R$20),"")</f>
        <v/>
      </c>
      <c r="U161" s="103" t="str">
        <f>IF(AND('Mapa final'!$AB$21="Baja",'Mapa final'!$AD$21="Mayor"),CONCATENATE("R6C",'Mapa final'!$R$21),"")</f>
        <v/>
      </c>
      <c r="V161" s="42" t="str">
        <f>IF(AND('Mapa final'!$AB$19="Baja",'Mapa final'!$AD$19="Catastrófico"),CONCATENATE("R6C",'Mapa final'!$R$19),"")</f>
        <v/>
      </c>
      <c r="W161" s="43" t="str">
        <f>IF(AND('Mapa final'!$AB$20="Baja",'Mapa final'!$AD$20="Catastrófico"),CONCATENATE("R6C",'Mapa final'!$R$20),"")</f>
        <v/>
      </c>
      <c r="X161" s="97" t="str">
        <f>IF(AND('Mapa final'!$AB$21="Baja",'Mapa final'!$AD$21="Catastrófico"),CONCATENATE("R6C",'Mapa final'!$R$21),"")</f>
        <v/>
      </c>
      <c r="Y161" s="55"/>
      <c r="Z161" s="306"/>
      <c r="AA161" s="307"/>
      <c r="AB161" s="307"/>
      <c r="AC161" s="307"/>
      <c r="AD161" s="307"/>
      <c r="AE161" s="308"/>
      <c r="AF161" s="55"/>
      <c r="AG161" s="55"/>
      <c r="AH161" s="55"/>
      <c r="AI161" s="55"/>
      <c r="AJ161" s="55"/>
      <c r="AK161" s="55"/>
      <c r="AL161" s="55"/>
      <c r="AM161" s="55"/>
      <c r="AN161" s="55"/>
      <c r="AO161" s="55"/>
      <c r="AP161" s="55"/>
      <c r="AQ161" s="55"/>
      <c r="AR161" s="55"/>
      <c r="AS161" s="55"/>
      <c r="AT161" s="55"/>
      <c r="AU161" s="55"/>
      <c r="AV161" s="55"/>
      <c r="AW161" s="55"/>
      <c r="AX161" s="55"/>
      <c r="AY161" s="55"/>
      <c r="AZ161" s="55"/>
      <c r="BA161" s="55"/>
      <c r="BB161" s="55"/>
      <c r="BC161" s="55"/>
      <c r="BD161" s="55"/>
      <c r="BE161" s="55"/>
      <c r="BF161" s="55"/>
      <c r="BG161" s="55"/>
      <c r="BH161" s="55"/>
      <c r="BI161" s="55"/>
    </row>
    <row r="162" spans="1:61" ht="15" customHeight="1" x14ac:dyDescent="0.25">
      <c r="A162" s="55"/>
      <c r="B162" s="301"/>
      <c r="C162" s="301"/>
      <c r="D162" s="302"/>
      <c r="E162" s="278"/>
      <c r="F162" s="274"/>
      <c r="G162" s="274"/>
      <c r="H162" s="274"/>
      <c r="I162" s="274"/>
      <c r="J162" s="112" t="str">
        <f>IF(AND('Mapa final'!$AB$22="Baja",'Mapa final'!$AD$22="Leve"),CONCATENATE("R7C",'Mapa final'!$R$22),"")</f>
        <v/>
      </c>
      <c r="K162" s="53" t="str">
        <f>IF(AND('Mapa final'!$AB$23="Baja",'Mapa final'!$AD$23="Leve"),CONCATENATE("R7C",'Mapa final'!$R$23),"")</f>
        <v/>
      </c>
      <c r="L162" s="113" t="str">
        <f>IF(AND('Mapa final'!$AB$24="Baja",'Mapa final'!$AD$24="Leve"),CONCATENATE("R7C",'Mapa final'!$R$24),"")</f>
        <v/>
      </c>
      <c r="M162" s="48" t="str">
        <f>IF(AND('Mapa final'!$AB$22="Baja",'Mapa final'!$AD$22="Menor"),CONCATENATE("R7C",'Mapa final'!$R$22),"")</f>
        <v/>
      </c>
      <c r="N162" s="49" t="str">
        <f>IF(AND('Mapa final'!$AB$23="Baja",'Mapa final'!$AD$23="Menor"),CONCATENATE("R7C",'Mapa final'!$R$23),"")</f>
        <v/>
      </c>
      <c r="O162" s="108" t="str">
        <f>IF(AND('Mapa final'!$AB$24="Baja",'Mapa final'!$AD$24="Menor"),CONCATENATE("R7C",'Mapa final'!$R$24),"")</f>
        <v/>
      </c>
      <c r="P162" s="48" t="str">
        <f>IF(AND('Mapa final'!$AB$22="Baja",'Mapa final'!$AD$22="Moderado"),CONCATENATE("R7C",'Mapa final'!$R$22),"")</f>
        <v/>
      </c>
      <c r="Q162" s="49" t="str">
        <f>IF(AND('Mapa final'!$AB$23="Baja",'Mapa final'!$AD$23="Moderado"),CONCATENATE("R7C",'Mapa final'!$R$23),"")</f>
        <v/>
      </c>
      <c r="R162" s="108" t="str">
        <f>IF(AND('Mapa final'!$AB$24="Baja",'Mapa final'!$AD$24="Moderado"),CONCATENATE("R7C",'Mapa final'!$R$24),"")</f>
        <v/>
      </c>
      <c r="S162" s="102" t="str">
        <f>IF(AND('Mapa final'!$AB$22="Baja",'Mapa final'!$AD$22="Mayor"),CONCATENATE("R7C",'Mapa final'!$R$22),"")</f>
        <v/>
      </c>
      <c r="T162" s="41" t="str">
        <f>IF(AND('Mapa final'!$AB$23="Baja",'Mapa final'!$AD$23="Mayor"),CONCATENATE("R7C",'Mapa final'!$R$23),"")</f>
        <v/>
      </c>
      <c r="U162" s="103" t="str">
        <f>IF(AND('Mapa final'!$AB$24="Baja",'Mapa final'!$AD$24="Mayor"),CONCATENATE("R7C",'Mapa final'!$R$24),"")</f>
        <v/>
      </c>
      <c r="V162" s="42" t="str">
        <f>IF(AND('Mapa final'!$AB$22="Baja",'Mapa final'!$AD$22="Catastrófico"),CONCATENATE("R7C",'Mapa final'!$R$22),"")</f>
        <v/>
      </c>
      <c r="W162" s="43" t="str">
        <f>IF(AND('Mapa final'!$AB$23="Baja",'Mapa final'!$AD$23="Catastrófico"),CONCATENATE("R7C",'Mapa final'!$R$23),"")</f>
        <v/>
      </c>
      <c r="X162" s="97" t="str">
        <f>IF(AND('Mapa final'!$AB$24="Baja",'Mapa final'!$AD$24="Catastrófico"),CONCATENATE("R7C",'Mapa final'!$R$24),"")</f>
        <v/>
      </c>
      <c r="Y162" s="55"/>
      <c r="Z162" s="306"/>
      <c r="AA162" s="307"/>
      <c r="AB162" s="307"/>
      <c r="AC162" s="307"/>
      <c r="AD162" s="307"/>
      <c r="AE162" s="308"/>
      <c r="AF162" s="55"/>
      <c r="AG162" s="55"/>
      <c r="AH162" s="55"/>
      <c r="AI162" s="55"/>
      <c r="AJ162" s="55"/>
      <c r="AK162" s="55"/>
      <c r="AL162" s="55"/>
      <c r="AM162" s="55"/>
      <c r="AN162" s="55"/>
      <c r="AO162" s="55"/>
      <c r="AP162" s="55"/>
      <c r="AQ162" s="55"/>
      <c r="AR162" s="55"/>
      <c r="AS162" s="55"/>
      <c r="AT162" s="55"/>
      <c r="AU162" s="55"/>
      <c r="AV162" s="55"/>
      <c r="AW162" s="55"/>
      <c r="AX162" s="55"/>
      <c r="AY162" s="55"/>
      <c r="AZ162" s="55"/>
      <c r="BA162" s="55"/>
      <c r="BB162" s="55"/>
      <c r="BC162" s="55"/>
      <c r="BD162" s="55"/>
      <c r="BE162" s="55"/>
      <c r="BF162" s="55"/>
      <c r="BG162" s="55"/>
      <c r="BH162" s="55"/>
      <c r="BI162" s="55"/>
    </row>
    <row r="163" spans="1:61" ht="15" customHeight="1" x14ac:dyDescent="0.25">
      <c r="A163" s="55"/>
      <c r="B163" s="301"/>
      <c r="C163" s="301"/>
      <c r="D163" s="302"/>
      <c r="E163" s="278"/>
      <c r="F163" s="274"/>
      <c r="G163" s="274"/>
      <c r="H163" s="274"/>
      <c r="I163" s="274"/>
      <c r="J163" s="112" t="str">
        <f>IF(AND('Mapa final'!$AB$25="Baja",'Mapa final'!$AD$25="Leve"),CONCATENATE("R8C",'Mapa final'!$R$25),"")</f>
        <v/>
      </c>
      <c r="K163" s="53" t="str">
        <f>IF(AND('Mapa final'!$AB$26="Baja",'Mapa final'!$AD$26="Leve"),CONCATENATE("R8C",'Mapa final'!$R$26),"")</f>
        <v/>
      </c>
      <c r="L163" s="113" t="str">
        <f>IF(AND('Mapa final'!$AB$27="Baja",'Mapa final'!$AD$27="Leve"),CONCATENATE("R8C",'Mapa final'!$R$27),"")</f>
        <v/>
      </c>
      <c r="M163" s="48" t="str">
        <f>IF(AND('Mapa final'!$AB$25="Baja",'Mapa final'!$AD$25="Menor"),CONCATENATE("R8C",'Mapa final'!$R$25),"")</f>
        <v/>
      </c>
      <c r="N163" s="49" t="str">
        <f>IF(AND('Mapa final'!$AB$26="Baja",'Mapa final'!$AD$26="Menor"),CONCATENATE("R8C",'Mapa final'!$R$26),"")</f>
        <v/>
      </c>
      <c r="O163" s="108" t="str">
        <f>IF(AND('Mapa final'!$AB$27="Baja",'Mapa final'!$AD$27="Menor"),CONCATENATE("R8C",'Mapa final'!$R$27),"")</f>
        <v/>
      </c>
      <c r="P163" s="48" t="str">
        <f>IF(AND('Mapa final'!$AB$25="Baja",'Mapa final'!$AD$25="Moderado"),CONCATENATE("R8C",'Mapa final'!$R$25),"")</f>
        <v/>
      </c>
      <c r="Q163" s="49" t="str">
        <f>IF(AND('Mapa final'!$AB$26="Baja",'Mapa final'!$AD$26="Moderado"),CONCATENATE("R8C",'Mapa final'!$R$26),"")</f>
        <v/>
      </c>
      <c r="R163" s="108" t="str">
        <f>IF(AND('Mapa final'!$AB$27="Baja",'Mapa final'!$AD$27="Moderado"),CONCATENATE("R8C",'Mapa final'!$R$27),"")</f>
        <v/>
      </c>
      <c r="S163" s="102" t="str">
        <f>IF(AND('Mapa final'!$AB$25="Baja",'Mapa final'!$AD$25="Mayor"),CONCATENATE("R8C",'Mapa final'!$R$25),"")</f>
        <v/>
      </c>
      <c r="T163" s="41" t="str">
        <f>IF(AND('Mapa final'!$AB$26="Baja",'Mapa final'!$AD$26="Mayor"),CONCATENATE("R8C",'Mapa final'!$R$26),"")</f>
        <v/>
      </c>
      <c r="U163" s="103" t="str">
        <f>IF(AND('Mapa final'!$AB$27="Baja",'Mapa final'!$AD$27="Mayor"),CONCATENATE("R8C",'Mapa final'!$R$27),"")</f>
        <v/>
      </c>
      <c r="V163" s="42" t="str">
        <f>IF(AND('Mapa final'!$AB$25="Baja",'Mapa final'!$AD$25="Catastrófico"),CONCATENATE("R8C",'Mapa final'!$R$25),"")</f>
        <v/>
      </c>
      <c r="W163" s="43" t="str">
        <f>IF(AND('Mapa final'!$AB$26="Baja",'Mapa final'!$AD$26="Catastrófico"),CONCATENATE("R8C",'Mapa final'!$R$26),"")</f>
        <v/>
      </c>
      <c r="X163" s="97" t="str">
        <f>IF(AND('Mapa final'!$AB$27="Baja",'Mapa final'!$AD$27="Catastrófico"),CONCATENATE("R8C",'Mapa final'!$R$27),"")</f>
        <v/>
      </c>
      <c r="Y163" s="55"/>
      <c r="Z163" s="306"/>
      <c r="AA163" s="307"/>
      <c r="AB163" s="307"/>
      <c r="AC163" s="307"/>
      <c r="AD163" s="307"/>
      <c r="AE163" s="308"/>
      <c r="AF163" s="55"/>
      <c r="AG163" s="55"/>
      <c r="AH163" s="55"/>
      <c r="AI163" s="55"/>
      <c r="AJ163" s="55"/>
      <c r="AK163" s="55"/>
      <c r="AL163" s="55"/>
      <c r="AM163" s="55"/>
      <c r="AN163" s="55"/>
      <c r="AO163" s="55"/>
      <c r="AP163" s="55"/>
      <c r="AQ163" s="55"/>
      <c r="AR163" s="55"/>
      <c r="AS163" s="55"/>
      <c r="AT163" s="55"/>
      <c r="AU163" s="55"/>
      <c r="AV163" s="55"/>
      <c r="AW163" s="55"/>
      <c r="AX163" s="55"/>
      <c r="AY163" s="55"/>
      <c r="AZ163" s="55"/>
      <c r="BA163" s="55"/>
      <c r="BB163" s="55"/>
      <c r="BC163" s="55"/>
      <c r="BD163" s="55"/>
      <c r="BE163" s="55"/>
      <c r="BF163" s="55"/>
      <c r="BG163" s="55"/>
      <c r="BH163" s="55"/>
      <c r="BI163" s="55"/>
    </row>
    <row r="164" spans="1:61" ht="15" customHeight="1" x14ac:dyDescent="0.25">
      <c r="A164" s="55"/>
      <c r="B164" s="301"/>
      <c r="C164" s="301"/>
      <c r="D164" s="302"/>
      <c r="E164" s="278"/>
      <c r="F164" s="274"/>
      <c r="G164" s="274"/>
      <c r="H164" s="274"/>
      <c r="I164" s="274"/>
      <c r="J164" s="112" t="str">
        <f>IF(AND('Mapa final'!$AB$28="Baja",'Mapa final'!$AD$28="Leve"),CONCATENATE("R9C",'Mapa final'!$R$28),"")</f>
        <v/>
      </c>
      <c r="K164" s="53" t="str">
        <f>IF(AND('Mapa final'!$AB$29="Baja",'Mapa final'!$AD$29="Leve"),CONCATENATE("R9C",'Mapa final'!$R$29),"")</f>
        <v/>
      </c>
      <c r="L164" s="113" t="str">
        <f>IF(AND('Mapa final'!$AB$30="Baja",'Mapa final'!$AD$30="Leve"),CONCATENATE("R9C",'Mapa final'!$R$30),"")</f>
        <v/>
      </c>
      <c r="M164" s="48" t="str">
        <f>IF(AND('Mapa final'!$AB$28="Baja",'Mapa final'!$AD$28="Menor"),CONCATENATE("R9C",'Mapa final'!$R$28),"")</f>
        <v/>
      </c>
      <c r="N164" s="49" t="str">
        <f>IF(AND('Mapa final'!$AB$29="Baja",'Mapa final'!$AD$29="Menor"),CONCATENATE("R9C",'Mapa final'!$R$29),"")</f>
        <v/>
      </c>
      <c r="O164" s="108" t="str">
        <f>IF(AND('Mapa final'!$AB$30="Baja",'Mapa final'!$AD$30="Menor"),CONCATENATE("R9C",'Mapa final'!$R$30),"")</f>
        <v/>
      </c>
      <c r="P164" s="48" t="str">
        <f>IF(AND('Mapa final'!$AB$28="Baja",'Mapa final'!$AD$28="Moderado"),CONCATENATE("R9C",'Mapa final'!$R$28),"")</f>
        <v/>
      </c>
      <c r="Q164" s="49" t="str">
        <f>IF(AND('Mapa final'!$AB$29="Baja",'Mapa final'!$AD$29="Moderado"),CONCATENATE("R9C",'Mapa final'!$R$29),"")</f>
        <v/>
      </c>
      <c r="R164" s="108" t="str">
        <f>IF(AND('Mapa final'!$AB$30="Baja",'Mapa final'!$AD$30="Moderado"),CONCATENATE("R9C",'Mapa final'!$R$30),"")</f>
        <v/>
      </c>
      <c r="S164" s="102" t="str">
        <f>IF(AND('Mapa final'!$AB$28="Baja",'Mapa final'!$AD$28="Mayor"),CONCATENATE("R9C",'Mapa final'!$R$28),"")</f>
        <v/>
      </c>
      <c r="T164" s="41" t="str">
        <f>IF(AND('Mapa final'!$AB$29="Baja",'Mapa final'!$AD$29="Mayor"),CONCATENATE("R9C",'Mapa final'!$R$29),"")</f>
        <v>R9C2</v>
      </c>
      <c r="U164" s="103" t="str">
        <f>IF(AND('Mapa final'!$AB$30="Baja",'Mapa final'!$AD$30="Mayor"),CONCATENATE("R9C",'Mapa final'!$R$30),"")</f>
        <v/>
      </c>
      <c r="V164" s="42" t="str">
        <f>IF(AND('Mapa final'!$AB$28="Baja",'Mapa final'!$AD$28="Catastrófico"),CONCATENATE("R9C",'Mapa final'!$R$28),"")</f>
        <v/>
      </c>
      <c r="W164" s="43" t="str">
        <f>IF(AND('Mapa final'!$AB$29="Baja",'Mapa final'!$AD$29="Catastrófico"),CONCATENATE("R9C",'Mapa final'!$R$29),"")</f>
        <v/>
      </c>
      <c r="X164" s="97" t="str">
        <f>IF(AND('Mapa final'!$AB$30="Baja",'Mapa final'!$AD$30="Catastrófico"),CONCATENATE("R9C",'Mapa final'!$R$30),"")</f>
        <v/>
      </c>
      <c r="Y164" s="55"/>
      <c r="Z164" s="306"/>
      <c r="AA164" s="307"/>
      <c r="AB164" s="307"/>
      <c r="AC164" s="307"/>
      <c r="AD164" s="307"/>
      <c r="AE164" s="308"/>
      <c r="AF164" s="55"/>
      <c r="AG164" s="55"/>
      <c r="AH164" s="55"/>
      <c r="AI164" s="55"/>
      <c r="AJ164" s="55"/>
      <c r="AK164" s="55"/>
      <c r="AL164" s="55"/>
      <c r="AM164" s="55"/>
      <c r="AN164" s="55"/>
      <c r="AO164" s="55"/>
      <c r="AP164" s="55"/>
      <c r="AQ164" s="55"/>
      <c r="AR164" s="55"/>
      <c r="AS164" s="55"/>
      <c r="AT164" s="55"/>
      <c r="AU164" s="55"/>
      <c r="AV164" s="55"/>
      <c r="AW164" s="55"/>
      <c r="AX164" s="55"/>
      <c r="AY164" s="55"/>
      <c r="AZ164" s="55"/>
      <c r="BA164" s="55"/>
      <c r="BB164" s="55"/>
      <c r="BC164" s="55"/>
      <c r="BD164" s="55"/>
      <c r="BE164" s="55"/>
      <c r="BF164" s="55"/>
      <c r="BG164" s="55"/>
      <c r="BH164" s="55"/>
      <c r="BI164" s="55"/>
    </row>
    <row r="165" spans="1:61" ht="15" customHeight="1" x14ac:dyDescent="0.25">
      <c r="A165" s="55"/>
      <c r="B165" s="301"/>
      <c r="C165" s="301"/>
      <c r="D165" s="302"/>
      <c r="E165" s="278"/>
      <c r="F165" s="274"/>
      <c r="G165" s="274"/>
      <c r="H165" s="274"/>
      <c r="I165" s="274"/>
      <c r="J165" s="112" t="str">
        <f>IF(AND('Mapa final'!$AB$31="Baja",'Mapa final'!$AD$31="Leve"),CONCATENATE("R10C",'Mapa final'!$R$31),"")</f>
        <v/>
      </c>
      <c r="K165" s="53" t="str">
        <f>IF(AND('Mapa final'!$AB$32="Baja",'Mapa final'!$AD$32="Leve"),CONCATENATE("R10C",'Mapa final'!$R$32),"")</f>
        <v/>
      </c>
      <c r="L165" s="113" t="str">
        <f>IF(AND('Mapa final'!$AB$33="Baja",'Mapa final'!$AD$33="Leve"),CONCATENATE("R10C",'Mapa final'!$R$33),"")</f>
        <v/>
      </c>
      <c r="M165" s="48" t="str">
        <f>IF(AND('Mapa final'!$AB$31="Baja",'Mapa final'!$AD$31="Menor"),CONCATENATE("R10C",'Mapa final'!$R$31),"")</f>
        <v/>
      </c>
      <c r="N165" s="49" t="str">
        <f>IF(AND('Mapa final'!$AB$32="Baja",'Mapa final'!$AD$32="Menor"),CONCATENATE("R10C",'Mapa final'!$R$32),"")</f>
        <v/>
      </c>
      <c r="O165" s="108" t="str">
        <f>IF(AND('Mapa final'!$AB$33="Baja",'Mapa final'!$AD$33="Menor"),CONCATENATE("R10C",'Mapa final'!$R$33),"")</f>
        <v/>
      </c>
      <c r="P165" s="48" t="str">
        <f>IF(AND('Mapa final'!$AB$31="Baja",'Mapa final'!$AD$31="Moderado"),CONCATENATE("R10C",'Mapa final'!$R$31),"")</f>
        <v/>
      </c>
      <c r="Q165" s="49" t="str">
        <f>IF(AND('Mapa final'!$AB$32="Baja",'Mapa final'!$AD$32="Moderado"),CONCATENATE("R10C",'Mapa final'!$R$32),"")</f>
        <v>R10C2</v>
      </c>
      <c r="R165" s="108" t="str">
        <f>IF(AND('Mapa final'!$AB$33="Baja",'Mapa final'!$AD$33="Moderado"),CONCATENATE("R10C",'Mapa final'!$R$33),"")</f>
        <v>R10C3</v>
      </c>
      <c r="S165" s="102" t="str">
        <f>IF(AND('Mapa final'!$AB$31="Baja",'Mapa final'!$AD$31="Mayor"),CONCATENATE("R10C",'Mapa final'!$R$31),"")</f>
        <v/>
      </c>
      <c r="T165" s="41" t="str">
        <f>IF(AND('Mapa final'!$AB$32="Baja",'Mapa final'!$AD$32="Mayor"),CONCATENATE("R10C",'Mapa final'!$R$32),"")</f>
        <v/>
      </c>
      <c r="U165" s="103" t="str">
        <f>IF(AND('Mapa final'!$AB$33="Baja",'Mapa final'!$AD$33="Mayor"),CONCATENATE("R10C",'Mapa final'!$R$33),"")</f>
        <v/>
      </c>
      <c r="V165" s="42" t="str">
        <f>IF(AND('Mapa final'!$AB$31="Baja",'Mapa final'!$AD$31="Catastrófico"),CONCATENATE("R10C",'Mapa final'!$R$31),"")</f>
        <v/>
      </c>
      <c r="W165" s="43" t="str">
        <f>IF(AND('Mapa final'!$AB$32="Baja",'Mapa final'!$AD$32="Catastrófico"),CONCATENATE("R10C",'Mapa final'!$R$32),"")</f>
        <v/>
      </c>
      <c r="X165" s="97" t="str">
        <f>IF(AND('Mapa final'!$AB$33="Baja",'Mapa final'!$AD$33="Catastrófico"),CONCATENATE("R10C",'Mapa final'!$R$33),"")</f>
        <v/>
      </c>
      <c r="Y165" s="55"/>
      <c r="Z165" s="306"/>
      <c r="AA165" s="307"/>
      <c r="AB165" s="307"/>
      <c r="AC165" s="307"/>
      <c r="AD165" s="307"/>
      <c r="AE165" s="308"/>
      <c r="AF165" s="55"/>
      <c r="AG165" s="55"/>
      <c r="AH165" s="55"/>
      <c r="AI165" s="55"/>
      <c r="AJ165" s="55"/>
      <c r="AK165" s="55"/>
      <c r="AL165" s="55"/>
      <c r="AM165" s="55"/>
      <c r="AN165" s="55"/>
      <c r="AO165" s="55"/>
      <c r="AP165" s="55"/>
      <c r="AQ165" s="55"/>
      <c r="AR165" s="55"/>
      <c r="AS165" s="55"/>
      <c r="AT165" s="55"/>
      <c r="AU165" s="55"/>
      <c r="AV165" s="55"/>
      <c r="AW165" s="55"/>
      <c r="AX165" s="55"/>
      <c r="AY165" s="55"/>
      <c r="AZ165" s="55"/>
      <c r="BA165" s="55"/>
      <c r="BB165" s="55"/>
      <c r="BC165" s="55"/>
      <c r="BD165" s="55"/>
      <c r="BE165" s="55"/>
      <c r="BF165" s="55"/>
      <c r="BG165" s="55"/>
      <c r="BH165" s="55"/>
      <c r="BI165" s="55"/>
    </row>
    <row r="166" spans="1:61" ht="15" customHeight="1" x14ac:dyDescent="0.25">
      <c r="A166" s="55"/>
      <c r="B166" s="301"/>
      <c r="C166" s="301"/>
      <c r="D166" s="302"/>
      <c r="E166" s="278"/>
      <c r="F166" s="274"/>
      <c r="G166" s="274"/>
      <c r="H166" s="274"/>
      <c r="I166" s="274"/>
      <c r="J166" s="112" t="str">
        <f>IF(AND('Mapa final'!$AB$34="Baja",'Mapa final'!$AD$34="Leve"),CONCATENATE("R11C",'Mapa final'!$R$34),"")</f>
        <v/>
      </c>
      <c r="K166" s="53" t="str">
        <f>IF(AND('Mapa final'!$AB$35="Baja",'Mapa final'!$AD$35="Leve"),CONCATENATE("R11C",'Mapa final'!$R$35),"")</f>
        <v/>
      </c>
      <c r="L166" s="113" t="str">
        <f>IF(AND('Mapa final'!$AB$36="Baja",'Mapa final'!$AD$36="Leve"),CONCATENATE("R11C",'Mapa final'!$R$36),"")</f>
        <v/>
      </c>
      <c r="M166" s="48" t="str">
        <f>IF(AND('Mapa final'!$AB$34="Baja",'Mapa final'!$AD$34="Menor"),CONCATENATE("R11C",'Mapa final'!$R$34),"")</f>
        <v/>
      </c>
      <c r="N166" s="49" t="str">
        <f>IF(AND('Mapa final'!$AB$35="Baja",'Mapa final'!$AD$35="Menor"),CONCATENATE("R11C",'Mapa final'!$R$35),"")</f>
        <v/>
      </c>
      <c r="O166" s="108" t="str">
        <f>IF(AND('Mapa final'!$AB$36="Baja",'Mapa final'!$AD$36="Menor"),CONCATENATE("R11C",'Mapa final'!$R$36),"")</f>
        <v/>
      </c>
      <c r="P166" s="48" t="str">
        <f>IF(AND('Mapa final'!$AB$34="Baja",'Mapa final'!$AD$34="Moderado"),CONCATENATE("R11C",'Mapa final'!$R$34),"")</f>
        <v/>
      </c>
      <c r="Q166" s="49" t="str">
        <f>IF(AND('Mapa final'!$AB$35="Baja",'Mapa final'!$AD$35="Moderado"),CONCATENATE("R11C",'Mapa final'!$R$35),"")</f>
        <v/>
      </c>
      <c r="R166" s="108" t="str">
        <f>IF(AND('Mapa final'!$AB$36="Baja",'Mapa final'!$AD$36="Moderado"),CONCATENATE("R11C",'Mapa final'!$R$36),"")</f>
        <v/>
      </c>
      <c r="S166" s="102" t="str">
        <f>IF(AND('Mapa final'!$AB$34="Baja",'Mapa final'!$AD$34="Mayor"),CONCATENATE("R11C",'Mapa final'!$R$34),"")</f>
        <v>R11C1</v>
      </c>
      <c r="T166" s="41" t="str">
        <f>IF(AND('Mapa final'!$AB$35="Baja",'Mapa final'!$AD$35="Mayor"),CONCATENATE("R11C",'Mapa final'!$R$35),"")</f>
        <v/>
      </c>
      <c r="U166" s="103" t="str">
        <f>IF(AND('Mapa final'!$AB$36="Baja",'Mapa final'!$AD$36="Mayor"),CONCATENATE("R11C",'Mapa final'!$R$36),"")</f>
        <v/>
      </c>
      <c r="V166" s="42" t="str">
        <f>IF(AND('Mapa final'!$AB$34="Baja",'Mapa final'!$AD$34="Catastrófico"),CONCATENATE("R11C",'Mapa final'!$R$34),"")</f>
        <v/>
      </c>
      <c r="W166" s="43" t="str">
        <f>IF(AND('Mapa final'!$AB$35="Baja",'Mapa final'!$AD$35="Catastrófico"),CONCATENATE("R11C",'Mapa final'!$R$35),"")</f>
        <v/>
      </c>
      <c r="X166" s="97" t="str">
        <f>IF(AND('Mapa final'!$AB$36="Baja",'Mapa final'!$AD$36="Catastrófico"),CONCATENATE("R11C",'Mapa final'!$R$36),"")</f>
        <v/>
      </c>
      <c r="Y166" s="55"/>
      <c r="Z166" s="306"/>
      <c r="AA166" s="307"/>
      <c r="AB166" s="307"/>
      <c r="AC166" s="307"/>
      <c r="AD166" s="307"/>
      <c r="AE166" s="308"/>
      <c r="AF166" s="55"/>
      <c r="AG166" s="55"/>
      <c r="AH166" s="55"/>
      <c r="AI166" s="55"/>
      <c r="AJ166" s="55"/>
      <c r="AK166" s="55"/>
      <c r="AL166" s="55"/>
      <c r="AM166" s="55"/>
      <c r="AN166" s="55"/>
      <c r="AO166" s="55"/>
      <c r="AP166" s="55"/>
      <c r="AQ166" s="55"/>
      <c r="AR166" s="55"/>
      <c r="AS166" s="55"/>
      <c r="AT166" s="55"/>
      <c r="AU166" s="55"/>
      <c r="AV166" s="55"/>
      <c r="AW166" s="55"/>
      <c r="AX166" s="55"/>
      <c r="AY166" s="55"/>
      <c r="AZ166" s="55"/>
      <c r="BA166" s="55"/>
      <c r="BB166" s="55"/>
      <c r="BC166" s="55"/>
      <c r="BD166" s="55"/>
      <c r="BE166" s="55"/>
      <c r="BF166" s="55"/>
      <c r="BG166" s="55"/>
      <c r="BH166" s="55"/>
      <c r="BI166" s="55"/>
    </row>
    <row r="167" spans="1:61" ht="15" customHeight="1" x14ac:dyDescent="0.25">
      <c r="A167" s="55"/>
      <c r="B167" s="301"/>
      <c r="C167" s="301"/>
      <c r="D167" s="302"/>
      <c r="E167" s="278"/>
      <c r="F167" s="274"/>
      <c r="G167" s="274"/>
      <c r="H167" s="274"/>
      <c r="I167" s="274"/>
      <c r="J167" s="112" t="str">
        <f>IF(AND('Mapa final'!$AB$37="Baja",'Mapa final'!$AD$37="Leve"),CONCATENATE("R12C",'Mapa final'!$R$37),"")</f>
        <v/>
      </c>
      <c r="K167" s="53" t="str">
        <f>IF(AND('Mapa final'!$AB$38="Baja",'Mapa final'!$AD$38="Leve"),CONCATENATE("R12C",'Mapa final'!$R$38),"")</f>
        <v/>
      </c>
      <c r="L167" s="113" t="str">
        <f>IF(AND('Mapa final'!$AB$39="Baja",'Mapa final'!$AD$39="Leve"),CONCATENATE("R12C",'Mapa final'!$R$39),"")</f>
        <v/>
      </c>
      <c r="M167" s="48" t="str">
        <f>IF(AND('Mapa final'!$AB$37="Baja",'Mapa final'!$AD$37="Menor"),CONCATENATE("R12C",'Mapa final'!$R$37),"")</f>
        <v/>
      </c>
      <c r="N167" s="49" t="str">
        <f>IF(AND('Mapa final'!$AB$38="Baja",'Mapa final'!$AD$38="Menor"),CONCATENATE("R12C",'Mapa final'!$R$38),"")</f>
        <v/>
      </c>
      <c r="O167" s="108" t="str">
        <f>IF(AND('Mapa final'!$AB$39="Baja",'Mapa final'!$AD$39="Menor"),CONCATENATE("R12C",'Mapa final'!$R$39),"")</f>
        <v/>
      </c>
      <c r="P167" s="48" t="str">
        <f>IF(AND('Mapa final'!$AB$37="Baja",'Mapa final'!$AD$37="Moderado"),CONCATENATE("R12C",'Mapa final'!$R$37),"")</f>
        <v>R12C1</v>
      </c>
      <c r="Q167" s="49" t="str">
        <f>IF(AND('Mapa final'!$AB$38="Baja",'Mapa final'!$AD$38="Moderado"),CONCATENATE("R12C",'Mapa final'!$R$38),"")</f>
        <v/>
      </c>
      <c r="R167" s="108" t="str">
        <f>IF(AND('Mapa final'!$AB$39="Baja",'Mapa final'!$AD$39="Moderado"),CONCATENATE("R12C",'Mapa final'!$R$39),"")</f>
        <v/>
      </c>
      <c r="S167" s="102" t="str">
        <f>IF(AND('Mapa final'!$AB$37="Baja",'Mapa final'!$AD$37="Mayor"),CONCATENATE("R12C",'Mapa final'!$R$37),"")</f>
        <v/>
      </c>
      <c r="T167" s="41" t="str">
        <f>IF(AND('Mapa final'!$AB$38="Baja",'Mapa final'!$AD$38="Mayor"),CONCATENATE("R12C",'Mapa final'!$R$38),"")</f>
        <v/>
      </c>
      <c r="U167" s="103" t="str">
        <f>IF(AND('Mapa final'!$AB$39="Baja",'Mapa final'!$AD$39="Mayor"),CONCATENATE("R12C",'Mapa final'!$R$39),"")</f>
        <v/>
      </c>
      <c r="V167" s="42" t="str">
        <f>IF(AND('Mapa final'!$AB$37="Baja",'Mapa final'!$AD$37="Catastrófico"),CONCATENATE("R12C",'Mapa final'!$R$37),"")</f>
        <v/>
      </c>
      <c r="W167" s="43" t="str">
        <f>IF(AND('Mapa final'!$AB$38="Baja",'Mapa final'!$AD$38="Catastrófico"),CONCATENATE("R12C",'Mapa final'!$R$38),"")</f>
        <v/>
      </c>
      <c r="X167" s="97" t="str">
        <f>IF(AND('Mapa final'!$AB$39="Baja",'Mapa final'!$AD$39="Catastrófico"),CONCATENATE("R12C",'Mapa final'!$R$39),"")</f>
        <v/>
      </c>
      <c r="Y167" s="55"/>
      <c r="Z167" s="306"/>
      <c r="AA167" s="307"/>
      <c r="AB167" s="307"/>
      <c r="AC167" s="307"/>
      <c r="AD167" s="307"/>
      <c r="AE167" s="308"/>
      <c r="AF167" s="55"/>
      <c r="AG167" s="55"/>
      <c r="AH167" s="55"/>
      <c r="AI167" s="55"/>
      <c r="AJ167" s="55"/>
      <c r="AK167" s="55"/>
      <c r="AL167" s="55"/>
      <c r="AM167" s="55"/>
      <c r="AN167" s="55"/>
      <c r="AO167" s="55"/>
      <c r="AP167" s="55"/>
      <c r="AQ167" s="55"/>
      <c r="AR167" s="55"/>
      <c r="AS167" s="55"/>
      <c r="AT167" s="55"/>
      <c r="AU167" s="55"/>
      <c r="AV167" s="55"/>
      <c r="AW167" s="55"/>
      <c r="AX167" s="55"/>
      <c r="AY167" s="55"/>
      <c r="AZ167" s="55"/>
      <c r="BA167" s="55"/>
      <c r="BB167" s="55"/>
      <c r="BC167" s="55"/>
      <c r="BD167" s="55"/>
      <c r="BE167" s="55"/>
      <c r="BF167" s="55"/>
      <c r="BG167" s="55"/>
      <c r="BH167" s="55"/>
      <c r="BI167" s="55"/>
    </row>
    <row r="168" spans="1:61" ht="15" customHeight="1" x14ac:dyDescent="0.25">
      <c r="A168" s="55"/>
      <c r="B168" s="301"/>
      <c r="C168" s="301"/>
      <c r="D168" s="302"/>
      <c r="E168" s="278"/>
      <c r="F168" s="274"/>
      <c r="G168" s="274"/>
      <c r="H168" s="274"/>
      <c r="I168" s="274"/>
      <c r="J168" s="112" t="str">
        <f>IF(AND('Mapa final'!$AB$40="Baja",'Mapa final'!$AD$40="Leve"),CONCATENATE("R13C",'Mapa final'!$R$40),"")</f>
        <v/>
      </c>
      <c r="K168" s="53" t="str">
        <f>IF(AND('Mapa final'!$AB$41="Baja",'Mapa final'!$AD$41="Leve"),CONCATENATE("R13C",'Mapa final'!$R$41),"")</f>
        <v/>
      </c>
      <c r="L168" s="113" t="str">
        <f>IF(AND('Mapa final'!$AB$42="Baja",'Mapa final'!$AD$42="Leve"),CONCATENATE("R13C",'Mapa final'!$R$42),"")</f>
        <v/>
      </c>
      <c r="M168" s="48" t="str">
        <f>IF(AND('Mapa final'!$AB$40="Baja",'Mapa final'!$AD$40="Menor"),CONCATENATE("R13C",'Mapa final'!$R$40),"")</f>
        <v/>
      </c>
      <c r="N168" s="49" t="str">
        <f>IF(AND('Mapa final'!$AB$41="Baja",'Mapa final'!$AD$41="Menor"),CONCATENATE("R13C",'Mapa final'!$R$41),"")</f>
        <v/>
      </c>
      <c r="O168" s="108" t="str">
        <f>IF(AND('Mapa final'!$AB$42="Baja",'Mapa final'!$AD$42="Menor"),CONCATENATE("R13C",'Mapa final'!$R$42),"")</f>
        <v/>
      </c>
      <c r="P168" s="48" t="str">
        <f>IF(AND('Mapa final'!$AB$40="Baja",'Mapa final'!$AD$40="Moderado"),CONCATENATE("R13C",'Mapa final'!$R$40),"")</f>
        <v/>
      </c>
      <c r="Q168" s="49" t="str">
        <f>IF(AND('Mapa final'!$AB$41="Baja",'Mapa final'!$AD$41="Moderado"),CONCATENATE("R13C",'Mapa final'!$R$41),"")</f>
        <v/>
      </c>
      <c r="R168" s="108" t="str">
        <f>IF(AND('Mapa final'!$AB$42="Baja",'Mapa final'!$AD$42="Moderado"),CONCATENATE("R13C",'Mapa final'!$R$42),"")</f>
        <v/>
      </c>
      <c r="S168" s="102" t="str">
        <f>IF(AND('Mapa final'!$AB$40="Baja",'Mapa final'!$AD$40="Mayor"),CONCATENATE("R13C",'Mapa final'!$R$40),"")</f>
        <v/>
      </c>
      <c r="T168" s="41" t="str">
        <f>IF(AND('Mapa final'!$AB$41="Baja",'Mapa final'!$AD$41="Mayor"),CONCATENATE("R13C",'Mapa final'!$R$41),"")</f>
        <v/>
      </c>
      <c r="U168" s="103" t="str">
        <f>IF(AND('Mapa final'!$AB$42="Baja",'Mapa final'!$AD$42="Mayor"),CONCATENATE("R13C",'Mapa final'!$R$42),"")</f>
        <v/>
      </c>
      <c r="V168" s="42" t="str">
        <f>IF(AND('Mapa final'!$AB$40="Baja",'Mapa final'!$AD$40="Catastrófico"),CONCATENATE("R13C",'Mapa final'!$R$40),"")</f>
        <v/>
      </c>
      <c r="W168" s="43" t="str">
        <f>IF(AND('Mapa final'!$AB$41="Baja",'Mapa final'!$AD$41="Catastrófico"),CONCATENATE("R13C",'Mapa final'!$R$41),"")</f>
        <v/>
      </c>
      <c r="X168" s="97" t="str">
        <f>IF(AND('Mapa final'!$AB$42="Baja",'Mapa final'!$AD$42="Catastrófico"),CONCATENATE("R13C",'Mapa final'!$R$42),"")</f>
        <v/>
      </c>
      <c r="Y168" s="55"/>
      <c r="Z168" s="306"/>
      <c r="AA168" s="307"/>
      <c r="AB168" s="307"/>
      <c r="AC168" s="307"/>
      <c r="AD168" s="307"/>
      <c r="AE168" s="308"/>
      <c r="AF168" s="55"/>
      <c r="AG168" s="55"/>
      <c r="AH168" s="55"/>
      <c r="AI168" s="55"/>
      <c r="AJ168" s="55"/>
      <c r="AK168" s="55"/>
      <c r="AL168" s="55"/>
      <c r="AM168" s="55"/>
      <c r="AN168" s="55"/>
      <c r="AO168" s="55"/>
      <c r="AP168" s="55"/>
      <c r="AQ168" s="55"/>
      <c r="AR168" s="55"/>
      <c r="AS168" s="55"/>
      <c r="AT168" s="55"/>
      <c r="AU168" s="55"/>
      <c r="AV168" s="55"/>
      <c r="AW168" s="55"/>
      <c r="AX168" s="55"/>
      <c r="AY168" s="55"/>
      <c r="AZ168" s="55"/>
      <c r="BA168" s="55"/>
      <c r="BB168" s="55"/>
      <c r="BC168" s="55"/>
      <c r="BD168" s="55"/>
      <c r="BE168" s="55"/>
      <c r="BF168" s="55"/>
      <c r="BG168" s="55"/>
      <c r="BH168" s="55"/>
      <c r="BI168" s="55"/>
    </row>
    <row r="169" spans="1:61" ht="15" customHeight="1" x14ac:dyDescent="0.25">
      <c r="A169" s="55"/>
      <c r="B169" s="301"/>
      <c r="C169" s="301"/>
      <c r="D169" s="302"/>
      <c r="E169" s="278"/>
      <c r="F169" s="274"/>
      <c r="G169" s="274"/>
      <c r="H169" s="274"/>
      <c r="I169" s="274"/>
      <c r="J169" s="112" t="str">
        <f>IF(AND('Mapa final'!$AB$43="Baja",'Mapa final'!$AD$43="Leve"),CONCATENATE("R14C",'Mapa final'!$R$43),"")</f>
        <v/>
      </c>
      <c r="K169" s="53" t="str">
        <f>IF(AND('Mapa final'!$AB$44="Baja",'Mapa final'!$AD$44="Leve"),CONCATENATE("R14C",'Mapa final'!$R$44),"")</f>
        <v/>
      </c>
      <c r="L169" s="113" t="str">
        <f>IF(AND('Mapa final'!$AB$45="Baja",'Mapa final'!$AD$45="Leve"),CONCATENATE("R14C",'Mapa final'!$R$45),"")</f>
        <v/>
      </c>
      <c r="M169" s="48" t="str">
        <f>IF(AND('Mapa final'!$AB$43="Baja",'Mapa final'!$AD$43="Menor"),CONCATENATE("R14C",'Mapa final'!$R$43),"")</f>
        <v/>
      </c>
      <c r="N169" s="49" t="str">
        <f>IF(AND('Mapa final'!$AB$44="Baja",'Mapa final'!$AD$44="Menor"),CONCATENATE("R14C",'Mapa final'!$R$44),"")</f>
        <v/>
      </c>
      <c r="O169" s="108" t="str">
        <f>IF(AND('Mapa final'!$AB$45="Baja",'Mapa final'!$AD$45="Menor"),CONCATENATE("R14C",'Mapa final'!$R$45),"")</f>
        <v/>
      </c>
      <c r="P169" s="48" t="str">
        <f>IF(AND('Mapa final'!$AB$43="Baja",'Mapa final'!$AD$43="Moderado"),CONCATENATE("R14C",'Mapa final'!$R$43),"")</f>
        <v>R14C1</v>
      </c>
      <c r="Q169" s="49" t="str">
        <f>IF(AND('Mapa final'!$AB$44="Baja",'Mapa final'!$AD$44="Moderado"),CONCATENATE("R14C",'Mapa final'!$R$44),"")</f>
        <v/>
      </c>
      <c r="R169" s="108" t="str">
        <f>IF(AND('Mapa final'!$AB$45="Baja",'Mapa final'!$AD$45="Moderado"),CONCATENATE("R14C",'Mapa final'!$R$45),"")</f>
        <v/>
      </c>
      <c r="S169" s="102" t="str">
        <f>IF(AND('Mapa final'!$AB$43="Baja",'Mapa final'!$AD$43="Mayor"),CONCATENATE("R14C",'Mapa final'!$R$43),"")</f>
        <v/>
      </c>
      <c r="T169" s="41" t="str">
        <f>IF(AND('Mapa final'!$AB$44="Baja",'Mapa final'!$AD$44="Mayor"),CONCATENATE("R14C",'Mapa final'!$R$44),"")</f>
        <v/>
      </c>
      <c r="U169" s="103" t="str">
        <f>IF(AND('Mapa final'!$AB$45="Baja",'Mapa final'!$AD$45="Mayor"),CONCATENATE("R14C",'Mapa final'!$R$45),"")</f>
        <v/>
      </c>
      <c r="V169" s="42" t="str">
        <f>IF(AND('Mapa final'!$AB$43="Baja",'Mapa final'!$AD$43="Catastrófico"),CONCATENATE("R14C",'Mapa final'!$R$43),"")</f>
        <v/>
      </c>
      <c r="W169" s="43" t="str">
        <f>IF(AND('Mapa final'!$AB$44="Baja",'Mapa final'!$AD$44="Catastrófico"),CONCATENATE("R14C",'Mapa final'!$R$44),"")</f>
        <v/>
      </c>
      <c r="X169" s="97" t="str">
        <f>IF(AND('Mapa final'!$AB$45="Baja",'Mapa final'!$AD$45="Catastrófico"),CONCATENATE("R14C",'Mapa final'!$R$45),"")</f>
        <v/>
      </c>
      <c r="Y169" s="55"/>
      <c r="Z169" s="306"/>
      <c r="AA169" s="307"/>
      <c r="AB169" s="307"/>
      <c r="AC169" s="307"/>
      <c r="AD169" s="307"/>
      <c r="AE169" s="308"/>
      <c r="AF169" s="55"/>
      <c r="AG169" s="55"/>
      <c r="AH169" s="55"/>
      <c r="AI169" s="55"/>
      <c r="AJ169" s="55"/>
      <c r="AK169" s="55"/>
      <c r="AL169" s="55"/>
      <c r="AM169" s="55"/>
      <c r="AN169" s="55"/>
      <c r="AO169" s="55"/>
      <c r="AP169" s="55"/>
      <c r="AQ169" s="55"/>
      <c r="AR169" s="55"/>
      <c r="AS169" s="55"/>
      <c r="AT169" s="55"/>
      <c r="AU169" s="55"/>
      <c r="AV169" s="55"/>
      <c r="AW169" s="55"/>
      <c r="AX169" s="55"/>
      <c r="AY169" s="55"/>
      <c r="AZ169" s="55"/>
      <c r="BA169" s="55"/>
      <c r="BB169" s="55"/>
      <c r="BC169" s="55"/>
      <c r="BD169" s="55"/>
      <c r="BE169" s="55"/>
      <c r="BF169" s="55"/>
      <c r="BG169" s="55"/>
      <c r="BH169" s="55"/>
      <c r="BI169" s="55"/>
    </row>
    <row r="170" spans="1:61" ht="15" customHeight="1" x14ac:dyDescent="0.25">
      <c r="A170" s="55"/>
      <c r="B170" s="301"/>
      <c r="C170" s="301"/>
      <c r="D170" s="302"/>
      <c r="E170" s="278"/>
      <c r="F170" s="274"/>
      <c r="G170" s="274"/>
      <c r="H170" s="274"/>
      <c r="I170" s="274"/>
      <c r="J170" s="112" t="str">
        <f>IF(AND('Mapa final'!$AB$46="Baja",'Mapa final'!$AD$46="Leve"),CONCATENATE("R15C",'Mapa final'!$R$46),"")</f>
        <v/>
      </c>
      <c r="K170" s="53" t="str">
        <f>IF(AND('Mapa final'!$AB$47="Baja",'Mapa final'!$AD$47="Leve"),CONCATENATE("R15C",'Mapa final'!$R$47),"")</f>
        <v/>
      </c>
      <c r="L170" s="113" t="str">
        <f>IF(AND('Mapa final'!$AB$48="Baja",'Mapa final'!$AD$48="Leve"),CONCATENATE("R15C",'Mapa final'!$R$48),"")</f>
        <v/>
      </c>
      <c r="M170" s="48" t="str">
        <f>IF(AND('Mapa final'!$AB$46="Baja",'Mapa final'!$AD$46="Menor"),CONCATENATE("R15C",'Mapa final'!$R$46),"")</f>
        <v/>
      </c>
      <c r="N170" s="49" t="str">
        <f>IF(AND('Mapa final'!$AB$47="Baja",'Mapa final'!$AD$47="Menor"),CONCATENATE("R15C",'Mapa final'!$R$47),"")</f>
        <v/>
      </c>
      <c r="O170" s="108" t="str">
        <f>IF(AND('Mapa final'!$AB$48="Baja",'Mapa final'!$AD$48="Menor"),CONCATENATE("R15C",'Mapa final'!$R$48),"")</f>
        <v/>
      </c>
      <c r="P170" s="48" t="str">
        <f>IF(AND('Mapa final'!$AB$46="Baja",'Mapa final'!$AD$46="Moderado"),CONCATENATE("R15C",'Mapa final'!$R$46),"")</f>
        <v/>
      </c>
      <c r="Q170" s="49" t="str">
        <f>IF(AND('Mapa final'!$AB$47="Baja",'Mapa final'!$AD$47="Moderado"),CONCATENATE("R15C",'Mapa final'!$R$47),"")</f>
        <v/>
      </c>
      <c r="R170" s="108" t="str">
        <f>IF(AND('Mapa final'!$AB$48="Baja",'Mapa final'!$AD$48="Moderado"),CONCATENATE("R15C",'Mapa final'!$R$48),"")</f>
        <v/>
      </c>
      <c r="S170" s="102" t="str">
        <f>IF(AND('Mapa final'!$AB$46="Baja",'Mapa final'!$AD$46="Mayor"),CONCATENATE("R15C",'Mapa final'!$R$46),"")</f>
        <v/>
      </c>
      <c r="T170" s="41" t="str">
        <f>IF(AND('Mapa final'!$AB$47="Baja",'Mapa final'!$AD$47="Mayor"),CONCATENATE("R15C",'Mapa final'!$R$47),"")</f>
        <v/>
      </c>
      <c r="U170" s="103" t="str">
        <f>IF(AND('Mapa final'!$AB$48="Baja",'Mapa final'!$AD$48="Mayor"),CONCATENATE("R15C",'Mapa final'!$R$48),"")</f>
        <v/>
      </c>
      <c r="V170" s="42" t="str">
        <f>IF(AND('Mapa final'!$AB$46="Baja",'Mapa final'!$AD$46="Catastrófico"),CONCATENATE("R15C",'Mapa final'!$R$46),"")</f>
        <v/>
      </c>
      <c r="W170" s="43" t="str">
        <f>IF(AND('Mapa final'!$AB$47="Baja",'Mapa final'!$AD$47="Catastrófico"),CONCATENATE("R15C",'Mapa final'!$R$47),"")</f>
        <v/>
      </c>
      <c r="X170" s="97" t="str">
        <f>IF(AND('Mapa final'!$AB$48="Baja",'Mapa final'!$AD$48="Catastrófico"),CONCATENATE("R15C",'Mapa final'!$R$48),"")</f>
        <v/>
      </c>
      <c r="Y170" s="55"/>
      <c r="Z170" s="306"/>
      <c r="AA170" s="307"/>
      <c r="AB170" s="307"/>
      <c r="AC170" s="307"/>
      <c r="AD170" s="307"/>
      <c r="AE170" s="308"/>
      <c r="AF170" s="55"/>
      <c r="AG170" s="55"/>
      <c r="AH170" s="55"/>
      <c r="AI170" s="55"/>
      <c r="AJ170" s="55"/>
      <c r="AK170" s="55"/>
      <c r="AL170" s="55"/>
      <c r="AM170" s="55"/>
      <c r="AN170" s="55"/>
      <c r="AO170" s="55"/>
      <c r="AP170" s="55"/>
      <c r="AQ170" s="55"/>
      <c r="AR170" s="55"/>
      <c r="AS170" s="55"/>
      <c r="AT170" s="55"/>
      <c r="AU170" s="55"/>
      <c r="AV170" s="55"/>
      <c r="AW170" s="55"/>
      <c r="AX170" s="55"/>
      <c r="AY170" s="55"/>
      <c r="AZ170" s="55"/>
      <c r="BA170" s="55"/>
      <c r="BB170" s="55"/>
      <c r="BC170" s="55"/>
      <c r="BD170" s="55"/>
      <c r="BE170" s="55"/>
      <c r="BF170" s="55"/>
      <c r="BG170" s="55"/>
      <c r="BH170" s="55"/>
      <c r="BI170" s="55"/>
    </row>
    <row r="171" spans="1:61" ht="15" customHeight="1" x14ac:dyDescent="0.25">
      <c r="A171" s="55"/>
      <c r="B171" s="301"/>
      <c r="C171" s="301"/>
      <c r="D171" s="302"/>
      <c r="E171" s="278"/>
      <c r="F171" s="274"/>
      <c r="G171" s="274"/>
      <c r="H171" s="274"/>
      <c r="I171" s="274"/>
      <c r="J171" s="112" t="str">
        <f>IF(AND('Mapa final'!$AB$49="Baja",'Mapa final'!$AD$49="Leve"),CONCATENATE("R16C",'Mapa final'!$R$49),"")</f>
        <v/>
      </c>
      <c r="K171" s="53" t="str">
        <f>IF(AND('Mapa final'!$AB$50="Baja",'Mapa final'!$AD$50="Leve"),CONCATENATE("R16C",'Mapa final'!$R$50),"")</f>
        <v/>
      </c>
      <c r="L171" s="113" t="str">
        <f>IF(AND('Mapa final'!$AB$51="Baja",'Mapa final'!$AD$51="Leve"),CONCATENATE("R16C",'Mapa final'!$R$51),"")</f>
        <v/>
      </c>
      <c r="M171" s="48" t="str">
        <f>IF(AND('Mapa final'!$AB$49="Baja",'Mapa final'!$AD$49="Menor"),CONCATENATE("R16C",'Mapa final'!$R$49),"")</f>
        <v/>
      </c>
      <c r="N171" s="49" t="str">
        <f>IF(AND('Mapa final'!$AB$50="Baja",'Mapa final'!$AD$50="Menor"),CONCATENATE("R16C",'Mapa final'!$R$50),"")</f>
        <v/>
      </c>
      <c r="O171" s="108" t="str">
        <f>IF(AND('Mapa final'!$AB$51="Baja",'Mapa final'!$AD$51="Menor"),CONCATENATE("R16C",'Mapa final'!$R$51),"")</f>
        <v/>
      </c>
      <c r="P171" s="48" t="str">
        <f>IF(AND('Mapa final'!$AB$49="Baja",'Mapa final'!$AD$49="Moderado"),CONCATENATE("R16C",'Mapa final'!$R$49),"")</f>
        <v>R16C1</v>
      </c>
      <c r="Q171" s="49" t="str">
        <f>IF(AND('Mapa final'!$AB$50="Baja",'Mapa final'!$AD$50="Moderado"),CONCATENATE("R16C",'Mapa final'!$R$50),"")</f>
        <v/>
      </c>
      <c r="R171" s="108" t="str">
        <f>IF(AND('Mapa final'!$AB$51="Baja",'Mapa final'!$AD$51="Moderado"),CONCATENATE("R16C",'Mapa final'!$R$51),"")</f>
        <v/>
      </c>
      <c r="S171" s="102" t="str">
        <f>IF(AND('Mapa final'!$AB$49="Baja",'Mapa final'!$AD$49="Mayor"),CONCATENATE("R16C",'Mapa final'!$R$49),"")</f>
        <v/>
      </c>
      <c r="T171" s="41" t="str">
        <f>IF(AND('Mapa final'!$AB$50="Baja",'Mapa final'!$AD$50="Mayor"),CONCATENATE("R16C",'Mapa final'!$R$50),"")</f>
        <v/>
      </c>
      <c r="U171" s="103" t="str">
        <f>IF(AND('Mapa final'!$AB$51="Baja",'Mapa final'!$AD$51="Mayor"),CONCATENATE("R16C",'Mapa final'!$R$51),"")</f>
        <v/>
      </c>
      <c r="V171" s="42" t="str">
        <f>IF(AND('Mapa final'!$AB$49="Baja",'Mapa final'!$AD$49="Catastrófico"),CONCATENATE("R16C",'Mapa final'!$R$49),"")</f>
        <v/>
      </c>
      <c r="W171" s="43" t="str">
        <f>IF(AND('Mapa final'!$AB$50="Baja",'Mapa final'!$AD$50="Catastrófico"),CONCATENATE("R16C",'Mapa final'!$R$50),"")</f>
        <v/>
      </c>
      <c r="X171" s="97" t="str">
        <f>IF(AND('Mapa final'!$AB$51="Baja",'Mapa final'!$AD$51="Catastrófico"),CONCATENATE("R16C",'Mapa final'!$R$51),"")</f>
        <v/>
      </c>
      <c r="Y171" s="55"/>
      <c r="Z171" s="306"/>
      <c r="AA171" s="307"/>
      <c r="AB171" s="307"/>
      <c r="AC171" s="307"/>
      <c r="AD171" s="307"/>
      <c r="AE171" s="308"/>
      <c r="AF171" s="55"/>
      <c r="AG171" s="55"/>
      <c r="AH171" s="55"/>
      <c r="AI171" s="55"/>
      <c r="AJ171" s="55"/>
      <c r="AK171" s="55"/>
      <c r="AL171" s="55"/>
      <c r="AM171" s="55"/>
      <c r="AN171" s="55"/>
      <c r="AO171" s="55"/>
      <c r="AP171" s="55"/>
      <c r="AQ171" s="55"/>
      <c r="AR171" s="55"/>
      <c r="AS171" s="55"/>
      <c r="AT171" s="55"/>
      <c r="AU171" s="55"/>
      <c r="AV171" s="55"/>
      <c r="AW171" s="55"/>
      <c r="AX171" s="55"/>
      <c r="AY171" s="55"/>
      <c r="AZ171" s="55"/>
      <c r="BA171" s="55"/>
      <c r="BB171" s="55"/>
      <c r="BC171" s="55"/>
      <c r="BD171" s="55"/>
      <c r="BE171" s="55"/>
      <c r="BF171" s="55"/>
      <c r="BG171" s="55"/>
      <c r="BH171" s="55"/>
      <c r="BI171" s="55"/>
    </row>
    <row r="172" spans="1:61" ht="15" customHeight="1" x14ac:dyDescent="0.25">
      <c r="A172" s="55"/>
      <c r="B172" s="301"/>
      <c r="C172" s="301"/>
      <c r="D172" s="302"/>
      <c r="E172" s="278"/>
      <c r="F172" s="274"/>
      <c r="G172" s="274"/>
      <c r="H172" s="274"/>
      <c r="I172" s="274"/>
      <c r="J172" s="112" t="str">
        <f>IF(AND('Mapa final'!$AB$52="Baja",'Mapa final'!$AD$52="Leve"),CONCATENATE("R17C",'Mapa final'!$R$52),"")</f>
        <v/>
      </c>
      <c r="K172" s="53" t="str">
        <f>IF(AND('Mapa final'!$AB$53="Baja",'Mapa final'!$AD$53="Leve"),CONCATENATE("R17C",'Mapa final'!$R$53),"")</f>
        <v/>
      </c>
      <c r="L172" s="113" t="str">
        <f>IF(AND('Mapa final'!$AB$54="Baja",'Mapa final'!$AD$54="Leve"),CONCATENATE("R17C",'Mapa final'!$R$54),"")</f>
        <v/>
      </c>
      <c r="M172" s="48" t="str">
        <f>IF(AND('Mapa final'!$AB$52="Baja",'Mapa final'!$AD$52="Menor"),CONCATENATE("R17C",'Mapa final'!$R$52),"")</f>
        <v/>
      </c>
      <c r="N172" s="49" t="str">
        <f>IF(AND('Mapa final'!$AB$53="Baja",'Mapa final'!$AD$53="Menor"),CONCATENATE("R17C",'Mapa final'!$R$53),"")</f>
        <v/>
      </c>
      <c r="O172" s="108" t="str">
        <f>IF(AND('Mapa final'!$AB$54="Baja",'Mapa final'!$AD$54="Menor"),CONCATENATE("R17C",'Mapa final'!$R$54),"")</f>
        <v/>
      </c>
      <c r="P172" s="48" t="str">
        <f>IF(AND('Mapa final'!$AB$52="Baja",'Mapa final'!$AD$52="Moderado"),CONCATENATE("R17C",'Mapa final'!$R$52),"")</f>
        <v/>
      </c>
      <c r="Q172" s="49" t="str">
        <f>IF(AND('Mapa final'!$AB$53="Baja",'Mapa final'!$AD$53="Moderado"),CONCATENATE("R17C",'Mapa final'!$R$53),"")</f>
        <v/>
      </c>
      <c r="R172" s="108" t="str">
        <f>IF(AND('Mapa final'!$AB$54="Baja",'Mapa final'!$AD$54="Moderado"),CONCATENATE("R17C",'Mapa final'!$R$54),"")</f>
        <v/>
      </c>
      <c r="S172" s="102" t="str">
        <f>IF(AND('Mapa final'!$AB$52="Baja",'Mapa final'!$AD$52="Mayor"),CONCATENATE("R17C",'Mapa final'!$R$52),"")</f>
        <v/>
      </c>
      <c r="T172" s="41" t="str">
        <f>IF(AND('Mapa final'!$AB$53="Baja",'Mapa final'!$AD$53="Mayor"),CONCATENATE("R17C",'Mapa final'!$R$53),"")</f>
        <v/>
      </c>
      <c r="U172" s="103" t="str">
        <f>IF(AND('Mapa final'!$AB$54="Baja",'Mapa final'!$AD$54="Mayor"),CONCATENATE("R17C",'Mapa final'!$R$54),"")</f>
        <v/>
      </c>
      <c r="V172" s="42" t="str">
        <f>IF(AND('Mapa final'!$AB$52="Baja",'Mapa final'!$AD$52="Catastrófico"),CONCATENATE("R17C",'Mapa final'!$R$52),"")</f>
        <v/>
      </c>
      <c r="W172" s="43" t="str">
        <f>IF(AND('Mapa final'!$AB$53="Baja",'Mapa final'!$AD$53="Catastrófico"),CONCATENATE("R17C",'Mapa final'!$R$53),"")</f>
        <v/>
      </c>
      <c r="X172" s="97" t="str">
        <f>IF(AND('Mapa final'!$AB$54="Baja",'Mapa final'!$AD$54="Catastrófico"),CONCATENATE("R17C",'Mapa final'!$R$54),"")</f>
        <v/>
      </c>
      <c r="Y172" s="55"/>
      <c r="Z172" s="306"/>
      <c r="AA172" s="307"/>
      <c r="AB172" s="307"/>
      <c r="AC172" s="307"/>
      <c r="AD172" s="307"/>
      <c r="AE172" s="308"/>
      <c r="AF172" s="55"/>
      <c r="AG172" s="55"/>
      <c r="AH172" s="55"/>
      <c r="AI172" s="55"/>
      <c r="AJ172" s="55"/>
      <c r="AK172" s="55"/>
      <c r="AL172" s="55"/>
      <c r="AM172" s="55"/>
      <c r="AN172" s="55"/>
      <c r="AO172" s="55"/>
      <c r="AP172" s="55"/>
      <c r="AQ172" s="55"/>
      <c r="AR172" s="55"/>
      <c r="AS172" s="55"/>
      <c r="AT172" s="55"/>
      <c r="AU172" s="55"/>
      <c r="AV172" s="55"/>
      <c r="AW172" s="55"/>
      <c r="AX172" s="55"/>
      <c r="AY172" s="55"/>
      <c r="AZ172" s="55"/>
      <c r="BA172" s="55"/>
      <c r="BB172" s="55"/>
      <c r="BC172" s="55"/>
      <c r="BD172" s="55"/>
      <c r="BE172" s="55"/>
      <c r="BF172" s="55"/>
      <c r="BG172" s="55"/>
      <c r="BH172" s="55"/>
      <c r="BI172" s="55"/>
    </row>
    <row r="173" spans="1:61" ht="15" customHeight="1" x14ac:dyDescent="0.25">
      <c r="A173" s="55"/>
      <c r="B173" s="301"/>
      <c r="C173" s="301"/>
      <c r="D173" s="302"/>
      <c r="E173" s="278"/>
      <c r="F173" s="274"/>
      <c r="G173" s="274"/>
      <c r="H173" s="274"/>
      <c r="I173" s="274"/>
      <c r="J173" s="112" t="str">
        <f>IF(AND('Mapa final'!$AB$55="Baja",'Mapa final'!$AD$55="Leve"),CONCATENATE("R18C",'Mapa final'!$R$55),"")</f>
        <v/>
      </c>
      <c r="K173" s="53" t="str">
        <f>IF(AND('Mapa final'!$AB$56="Baja",'Mapa final'!$AD$56="Leve"),CONCATENATE("R18C",'Mapa final'!$R$56),"")</f>
        <v/>
      </c>
      <c r="L173" s="113" t="str">
        <f>IF(AND('Mapa final'!$AB$57="Baja",'Mapa final'!$AD$57="Leve"),CONCATENATE("R18C",'Mapa final'!$R$57),"")</f>
        <v/>
      </c>
      <c r="M173" s="48" t="str">
        <f>IF(AND('Mapa final'!$AB$55="Baja",'Mapa final'!$AD$55="Menor"),CONCATENATE("R18C",'Mapa final'!$R$55),"")</f>
        <v/>
      </c>
      <c r="N173" s="49" t="str">
        <f>IF(AND('Mapa final'!$AB$56="Baja",'Mapa final'!$AD$56="Menor"),CONCATENATE("R18C",'Mapa final'!$R$56),"")</f>
        <v/>
      </c>
      <c r="O173" s="108" t="str">
        <f>IF(AND('Mapa final'!$AB$57="Baja",'Mapa final'!$AD$57="Menor"),CONCATENATE("R18C",'Mapa final'!$R$57),"")</f>
        <v/>
      </c>
      <c r="P173" s="48" t="str">
        <f>IF(AND('Mapa final'!$AB$55="Baja",'Mapa final'!$AD$55="Moderado"),CONCATENATE("R18C",'Mapa final'!$R$55),"")</f>
        <v/>
      </c>
      <c r="Q173" s="49" t="str">
        <f>IF(AND('Mapa final'!$AB$56="Baja",'Mapa final'!$AD$56="Moderado"),CONCATENATE("R18C",'Mapa final'!$R$56),"")</f>
        <v>R18C2</v>
      </c>
      <c r="R173" s="108" t="str">
        <f>IF(AND('Mapa final'!$AB$57="Baja",'Mapa final'!$AD$57="Moderado"),CONCATENATE("R18C",'Mapa final'!$R$57),"")</f>
        <v/>
      </c>
      <c r="S173" s="102" t="str">
        <f>IF(AND('Mapa final'!$AB$55="Baja",'Mapa final'!$AD$55="Mayor"),CONCATENATE("R18C",'Mapa final'!$R$55),"")</f>
        <v/>
      </c>
      <c r="T173" s="41" t="str">
        <f>IF(AND('Mapa final'!$AB$56="Baja",'Mapa final'!$AD$56="Mayor"),CONCATENATE("R18C",'Mapa final'!$R$56),"")</f>
        <v/>
      </c>
      <c r="U173" s="103" t="str">
        <f>IF(AND('Mapa final'!$AB$57="Baja",'Mapa final'!$AD$57="Mayor"),CONCATENATE("R18C",'Mapa final'!$R$57),"")</f>
        <v/>
      </c>
      <c r="V173" s="42" t="str">
        <f>IF(AND('Mapa final'!$AB$55="Baja",'Mapa final'!$AD$55="Catastrófico"),CONCATENATE("R18C",'Mapa final'!$R$55),"")</f>
        <v/>
      </c>
      <c r="W173" s="43" t="str">
        <f>IF(AND('Mapa final'!$AB$56="Baja",'Mapa final'!$AD$56="Catastrófico"),CONCATENATE("R18C",'Mapa final'!$R$56),"")</f>
        <v/>
      </c>
      <c r="X173" s="97" t="str">
        <f>IF(AND('Mapa final'!$AB$57="Baja",'Mapa final'!$AD$57="Catastrófico"),CONCATENATE("R18C",'Mapa final'!$R$57),"")</f>
        <v/>
      </c>
      <c r="Y173" s="55"/>
      <c r="Z173" s="306"/>
      <c r="AA173" s="307"/>
      <c r="AB173" s="307"/>
      <c r="AC173" s="307"/>
      <c r="AD173" s="307"/>
      <c r="AE173" s="308"/>
      <c r="AF173" s="55"/>
      <c r="AG173" s="55"/>
      <c r="AH173" s="55"/>
      <c r="AI173" s="55"/>
      <c r="AJ173" s="55"/>
      <c r="AK173" s="55"/>
      <c r="AL173" s="55"/>
      <c r="AM173" s="55"/>
      <c r="AN173" s="55"/>
      <c r="AO173" s="55"/>
      <c r="AP173" s="55"/>
      <c r="AQ173" s="55"/>
      <c r="AR173" s="55"/>
      <c r="AS173" s="55"/>
      <c r="AT173" s="55"/>
      <c r="AU173" s="55"/>
      <c r="AV173" s="55"/>
      <c r="AW173" s="55"/>
      <c r="AX173" s="55"/>
      <c r="AY173" s="55"/>
      <c r="AZ173" s="55"/>
      <c r="BA173" s="55"/>
      <c r="BB173" s="55"/>
      <c r="BC173" s="55"/>
      <c r="BD173" s="55"/>
      <c r="BE173" s="55"/>
      <c r="BF173" s="55"/>
      <c r="BG173" s="55"/>
      <c r="BH173" s="55"/>
      <c r="BI173" s="55"/>
    </row>
    <row r="174" spans="1:61" ht="15" customHeight="1" x14ac:dyDescent="0.25">
      <c r="A174" s="55"/>
      <c r="B174" s="301"/>
      <c r="C174" s="301"/>
      <c r="D174" s="302"/>
      <c r="E174" s="278"/>
      <c r="F174" s="274"/>
      <c r="G174" s="274"/>
      <c r="H174" s="274"/>
      <c r="I174" s="274"/>
      <c r="J174" s="112" t="str">
        <f>IF(AND('Mapa final'!$AB$58="Baja",'Mapa final'!$AD$58="Leve"),CONCATENATE("R19C",'Mapa final'!$R$58),"")</f>
        <v/>
      </c>
      <c r="K174" s="53" t="str">
        <f>IF(AND('Mapa final'!$AB$59="Baja",'Mapa final'!$AD$59="Leve"),CONCATENATE("R19C",'Mapa final'!$R$59),"")</f>
        <v/>
      </c>
      <c r="L174" s="113" t="str">
        <f>IF(AND('Mapa final'!$AB$60="Baja",'Mapa final'!$AD$60="Leve"),CONCATENATE("R19C",'Mapa final'!$R$60),"")</f>
        <v/>
      </c>
      <c r="M174" s="48" t="str">
        <f>IF(AND('Mapa final'!$AB$58="Baja",'Mapa final'!$AD$58="Menor"),CONCATENATE("R19C",'Mapa final'!$R$58),"")</f>
        <v/>
      </c>
      <c r="N174" s="49" t="str">
        <f>IF(AND('Mapa final'!$AB$59="Baja",'Mapa final'!$AD$59="Menor"),CONCATENATE("R19C",'Mapa final'!$R$59),"")</f>
        <v/>
      </c>
      <c r="O174" s="108" t="str">
        <f>IF(AND('Mapa final'!$AB$60="Baja",'Mapa final'!$AD$60="Menor"),CONCATENATE("R19C",'Mapa final'!$R$60),"")</f>
        <v/>
      </c>
      <c r="P174" s="48" t="str">
        <f>IF(AND('Mapa final'!$AB$58="Baja",'Mapa final'!$AD$58="Moderado"),CONCATENATE("R19C",'Mapa final'!$R$58),"")</f>
        <v/>
      </c>
      <c r="Q174" s="49" t="str">
        <f>IF(AND('Mapa final'!$AB$59="Baja",'Mapa final'!$AD$59="Moderado"),CONCATENATE("R19C",'Mapa final'!$R$59),"")</f>
        <v/>
      </c>
      <c r="R174" s="108" t="str">
        <f>IF(AND('Mapa final'!$AB$60="Baja",'Mapa final'!$AD$60="Moderado"),CONCATENATE("R19C",'Mapa final'!$R$60),"")</f>
        <v/>
      </c>
      <c r="S174" s="102" t="str">
        <f>IF(AND('Mapa final'!$AB$58="Baja",'Mapa final'!$AD$58="Mayor"),CONCATENATE("R19C",'Mapa final'!$R$58),"")</f>
        <v/>
      </c>
      <c r="T174" s="41" t="str">
        <f>IF(AND('Mapa final'!$AB$59="Baja",'Mapa final'!$AD$59="Mayor"),CONCATENATE("R19C",'Mapa final'!$R$59),"")</f>
        <v/>
      </c>
      <c r="U174" s="103" t="str">
        <f>IF(AND('Mapa final'!$AB$60="Baja",'Mapa final'!$AD$60="Mayor"),CONCATENATE("R19C",'Mapa final'!$R$60),"")</f>
        <v/>
      </c>
      <c r="V174" s="42" t="str">
        <f>IF(AND('Mapa final'!$AB$58="Baja",'Mapa final'!$AD$58="Catastrófico"),CONCATENATE("R19C",'Mapa final'!$R$58),"")</f>
        <v/>
      </c>
      <c r="W174" s="43" t="str">
        <f>IF(AND('Mapa final'!$AB$59="Baja",'Mapa final'!$AD$59="Catastrófico"),CONCATENATE("R19C",'Mapa final'!$R$59),"")</f>
        <v/>
      </c>
      <c r="X174" s="97" t="str">
        <f>IF(AND('Mapa final'!$AB$60="Baja",'Mapa final'!$AD$60="Catastrófico"),CONCATENATE("R19C",'Mapa final'!$R$60),"")</f>
        <v/>
      </c>
      <c r="Y174" s="55"/>
      <c r="Z174" s="306"/>
      <c r="AA174" s="307"/>
      <c r="AB174" s="307"/>
      <c r="AC174" s="307"/>
      <c r="AD174" s="307"/>
      <c r="AE174" s="308"/>
      <c r="AF174" s="55"/>
      <c r="AG174" s="55"/>
      <c r="AH174" s="55"/>
      <c r="AI174" s="55"/>
      <c r="AJ174" s="55"/>
      <c r="AK174" s="55"/>
      <c r="AL174" s="55"/>
      <c r="AM174" s="55"/>
      <c r="AN174" s="55"/>
      <c r="AO174" s="55"/>
      <c r="AP174" s="55"/>
      <c r="AQ174" s="55"/>
      <c r="AR174" s="55"/>
      <c r="AS174" s="55"/>
      <c r="AT174" s="55"/>
      <c r="AU174" s="55"/>
      <c r="AV174" s="55"/>
      <c r="AW174" s="55"/>
      <c r="AX174" s="55"/>
      <c r="AY174" s="55"/>
      <c r="AZ174" s="55"/>
      <c r="BA174" s="55"/>
      <c r="BB174" s="55"/>
      <c r="BC174" s="55"/>
      <c r="BD174" s="55"/>
      <c r="BE174" s="55"/>
      <c r="BF174" s="55"/>
      <c r="BG174" s="55"/>
      <c r="BH174" s="55"/>
      <c r="BI174" s="55"/>
    </row>
    <row r="175" spans="1:61" ht="15" customHeight="1" x14ac:dyDescent="0.25">
      <c r="A175" s="55"/>
      <c r="B175" s="301"/>
      <c r="C175" s="301"/>
      <c r="D175" s="302"/>
      <c r="E175" s="278"/>
      <c r="F175" s="274"/>
      <c r="G175" s="274"/>
      <c r="H175" s="274"/>
      <c r="I175" s="274"/>
      <c r="J175" s="112" t="str">
        <f>IF(AND('Mapa final'!$AB$61="Baja",'Mapa final'!$AD$61="Leve"),CONCATENATE("R20C",'Mapa final'!$R$61),"")</f>
        <v/>
      </c>
      <c r="K175" s="53" t="str">
        <f>IF(AND('Mapa final'!$AB$62="Baja",'Mapa final'!$AD$62="Leve"),CONCATENATE("R20C",'Mapa final'!$R$62),"")</f>
        <v/>
      </c>
      <c r="L175" s="113" t="str">
        <f>IF(AND('Mapa final'!$AB$63="Baja",'Mapa final'!$AD$63="Leve"),CONCATENATE("R20C",'Mapa final'!$R$63),"")</f>
        <v/>
      </c>
      <c r="M175" s="48" t="str">
        <f>IF(AND('Mapa final'!$AB$61="Baja",'Mapa final'!$AD$61="Menor"),CONCATENATE("R20C",'Mapa final'!$R$61),"")</f>
        <v/>
      </c>
      <c r="N175" s="49" t="str">
        <f>IF(AND('Mapa final'!$AB$62="Baja",'Mapa final'!$AD$62="Menor"),CONCATENATE("R20C",'Mapa final'!$R$62),"")</f>
        <v/>
      </c>
      <c r="O175" s="108" t="str">
        <f>IF(AND('Mapa final'!$AB$63="Baja",'Mapa final'!$AD$63="Menor"),CONCATENATE("R20C",'Mapa final'!$R$63),"")</f>
        <v/>
      </c>
      <c r="P175" s="48" t="str">
        <f>IF(AND('Mapa final'!$AB$61="Baja",'Mapa final'!$AD$61="Moderado"),CONCATENATE("R20C",'Mapa final'!$R$61),"")</f>
        <v/>
      </c>
      <c r="Q175" s="49" t="str">
        <f>IF(AND('Mapa final'!$AB$62="Baja",'Mapa final'!$AD$62="Moderado"),CONCATENATE("R20C",'Mapa final'!$R$62),"")</f>
        <v/>
      </c>
      <c r="R175" s="108" t="str">
        <f>IF(AND('Mapa final'!$AB$63="Baja",'Mapa final'!$AD$63="Moderado"),CONCATENATE("R20C",'Mapa final'!$R$63),"")</f>
        <v/>
      </c>
      <c r="S175" s="102" t="str">
        <f>IF(AND('Mapa final'!$AB$61="Baja",'Mapa final'!$AD$61="Mayor"),CONCATENATE("R20C",'Mapa final'!$R$61),"")</f>
        <v>R20C1</v>
      </c>
      <c r="T175" s="41" t="str">
        <f>IF(AND('Mapa final'!$AB$62="Baja",'Mapa final'!$AD$62="Mayor"),CONCATENATE("R20C",'Mapa final'!$R$62),"")</f>
        <v/>
      </c>
      <c r="U175" s="103" t="str">
        <f>IF(AND('Mapa final'!$AB$63="Baja",'Mapa final'!$AD$63="Mayor"),CONCATENATE("R20C",'Mapa final'!$R$63),"")</f>
        <v/>
      </c>
      <c r="V175" s="42" t="str">
        <f>IF(AND('Mapa final'!$AB$61="Baja",'Mapa final'!$AD$61="Catastrófico"),CONCATENATE("R20C",'Mapa final'!$R$61),"")</f>
        <v/>
      </c>
      <c r="W175" s="43" t="str">
        <f>IF(AND('Mapa final'!$AB$62="Baja",'Mapa final'!$AD$62="Catastrófico"),CONCATENATE("R20C",'Mapa final'!$R$62),"")</f>
        <v/>
      </c>
      <c r="X175" s="97" t="str">
        <f>IF(AND('Mapa final'!$AB$63="Baja",'Mapa final'!$AD$63="Catastrófico"),CONCATENATE("R20C",'Mapa final'!$R$63),"")</f>
        <v/>
      </c>
      <c r="Y175" s="55"/>
      <c r="Z175" s="306"/>
      <c r="AA175" s="307"/>
      <c r="AB175" s="307"/>
      <c r="AC175" s="307"/>
      <c r="AD175" s="307"/>
      <c r="AE175" s="308"/>
      <c r="AF175" s="55"/>
      <c r="AG175" s="55"/>
      <c r="AH175" s="55"/>
      <c r="AI175" s="55"/>
      <c r="AJ175" s="55"/>
      <c r="AK175" s="55"/>
      <c r="AL175" s="55"/>
      <c r="AM175" s="55"/>
      <c r="AN175" s="55"/>
      <c r="AO175" s="55"/>
      <c r="AP175" s="55"/>
      <c r="AQ175" s="55"/>
      <c r="AR175" s="55"/>
      <c r="AS175" s="55"/>
      <c r="AT175" s="55"/>
      <c r="AU175" s="55"/>
      <c r="AV175" s="55"/>
      <c r="AW175" s="55"/>
      <c r="AX175" s="55"/>
      <c r="AY175" s="55"/>
      <c r="AZ175" s="55"/>
      <c r="BA175" s="55"/>
      <c r="BB175" s="55"/>
      <c r="BC175" s="55"/>
      <c r="BD175" s="55"/>
      <c r="BE175" s="55"/>
      <c r="BF175" s="55"/>
      <c r="BG175" s="55"/>
      <c r="BH175" s="55"/>
      <c r="BI175" s="55"/>
    </row>
    <row r="176" spans="1:61" ht="15" customHeight="1" x14ac:dyDescent="0.25">
      <c r="A176" s="55"/>
      <c r="B176" s="301"/>
      <c r="C176" s="301"/>
      <c r="D176" s="302"/>
      <c r="E176" s="278"/>
      <c r="F176" s="274"/>
      <c r="G176" s="274"/>
      <c r="H176" s="274"/>
      <c r="I176" s="274"/>
      <c r="J176" s="112" t="str">
        <f>IF(AND('Mapa final'!$AB$64="Baja",'Mapa final'!$AD$64="Leve"),CONCATENATE("R21C",'Mapa final'!$R$64),"")</f>
        <v>R21C1</v>
      </c>
      <c r="K176" s="53" t="str">
        <f>IF(AND('Mapa final'!$AB$65="Baja",'Mapa final'!$AD$65="Leve"),CONCATENATE("R21C",'Mapa final'!$R$65),"")</f>
        <v/>
      </c>
      <c r="L176" s="113" t="str">
        <f>IF(AND('Mapa final'!$AB$66="Baja",'Mapa final'!$AD$66="Leve"),CONCATENATE("R21C",'Mapa final'!$R$66),"")</f>
        <v/>
      </c>
      <c r="M176" s="48" t="str">
        <f>IF(AND('Mapa final'!$AB$64="Baja",'Mapa final'!$AD$64="Menor"),CONCATENATE("R21C",'Mapa final'!$R$64),"")</f>
        <v/>
      </c>
      <c r="N176" s="49" t="str">
        <f>IF(AND('Mapa final'!$AB$65="Baja",'Mapa final'!$AD$65="Menor"),CONCATENATE("R21C",'Mapa final'!$R$65),"")</f>
        <v/>
      </c>
      <c r="O176" s="108" t="str">
        <f>IF(AND('Mapa final'!$AB$66="Baja",'Mapa final'!$AD$66="Menor"),CONCATENATE("R21C",'Mapa final'!$R$66),"")</f>
        <v/>
      </c>
      <c r="P176" s="48" t="str">
        <f>IF(AND('Mapa final'!$AB$64="Baja",'Mapa final'!$AD$64="Moderado"),CONCATENATE("R21C",'Mapa final'!$R$64),"")</f>
        <v/>
      </c>
      <c r="Q176" s="49" t="str">
        <f>IF(AND('Mapa final'!$AB$65="Baja",'Mapa final'!$AD$65="Moderado"),CONCATENATE("R21C",'Mapa final'!$R$65),"")</f>
        <v/>
      </c>
      <c r="R176" s="108" t="str">
        <f>IF(AND('Mapa final'!$AB$66="Baja",'Mapa final'!$AD$66="Moderado"),CONCATENATE("R21C",'Mapa final'!$R$66),"")</f>
        <v/>
      </c>
      <c r="S176" s="102" t="str">
        <f>IF(AND('Mapa final'!$AB$64="Baja",'Mapa final'!$AD$64="Mayor"),CONCATENATE("R21C",'Mapa final'!$R$64),"")</f>
        <v/>
      </c>
      <c r="T176" s="41" t="str">
        <f>IF(AND('Mapa final'!$AB$65="Baja",'Mapa final'!$AD$65="Mayor"),CONCATENATE("R21C",'Mapa final'!$R$65),"")</f>
        <v/>
      </c>
      <c r="U176" s="103" t="str">
        <f>IF(AND('Mapa final'!$AB$66="Baja",'Mapa final'!$AD$66="Mayor"),CONCATENATE("R21C",'Mapa final'!$R$66),"")</f>
        <v/>
      </c>
      <c r="V176" s="42" t="str">
        <f>IF(AND('Mapa final'!$AB$64="Baja",'Mapa final'!$AD$64="Catastrófico"),CONCATENATE("R21C",'Mapa final'!$R$64),"")</f>
        <v/>
      </c>
      <c r="W176" s="43" t="str">
        <f>IF(AND('Mapa final'!$AB$65="Baja",'Mapa final'!$AD$65="Catastrófico"),CONCATENATE("R21C",'Mapa final'!$R$65),"")</f>
        <v/>
      </c>
      <c r="X176" s="97" t="str">
        <f>IF(AND('Mapa final'!$AB$66="Baja",'Mapa final'!$AD$66="Catastrófico"),CONCATENATE("R21C",'Mapa final'!$R$66),"")</f>
        <v/>
      </c>
      <c r="Y176" s="55"/>
      <c r="Z176" s="306"/>
      <c r="AA176" s="307"/>
      <c r="AB176" s="307"/>
      <c r="AC176" s="307"/>
      <c r="AD176" s="307"/>
      <c r="AE176" s="308"/>
      <c r="AF176" s="55"/>
      <c r="AG176" s="55"/>
      <c r="AH176" s="55"/>
      <c r="AI176" s="55"/>
      <c r="AJ176" s="55"/>
      <c r="AK176" s="55"/>
      <c r="AL176" s="55"/>
      <c r="AM176" s="55"/>
      <c r="AN176" s="55"/>
      <c r="AO176" s="55"/>
      <c r="AP176" s="55"/>
      <c r="AQ176" s="55"/>
      <c r="AR176" s="55"/>
      <c r="AS176" s="55"/>
      <c r="AT176" s="55"/>
      <c r="AU176" s="55"/>
      <c r="AV176" s="55"/>
      <c r="AW176" s="55"/>
      <c r="AX176" s="55"/>
      <c r="AY176" s="55"/>
      <c r="AZ176" s="55"/>
      <c r="BA176" s="55"/>
      <c r="BB176" s="55"/>
      <c r="BC176" s="55"/>
      <c r="BD176" s="55"/>
      <c r="BE176" s="55"/>
      <c r="BF176" s="55"/>
      <c r="BG176" s="55"/>
      <c r="BH176" s="55"/>
      <c r="BI176" s="55"/>
    </row>
    <row r="177" spans="1:61" ht="15" customHeight="1" x14ac:dyDescent="0.25">
      <c r="A177" s="55"/>
      <c r="B177" s="301"/>
      <c r="C177" s="301"/>
      <c r="D177" s="302"/>
      <c r="E177" s="278"/>
      <c r="F177" s="274"/>
      <c r="G177" s="274"/>
      <c r="H177" s="274"/>
      <c r="I177" s="274"/>
      <c r="J177" s="112" t="str">
        <f>IF(AND('Mapa final'!$AB$67="Baja",'Mapa final'!$AD$67="Leve"),CONCATENATE("R22C",'Mapa final'!$R$67),"")</f>
        <v/>
      </c>
      <c r="K177" s="53" t="str">
        <f>IF(AND('Mapa final'!$AB$68="Baja",'Mapa final'!$AD$68="Leve"),CONCATENATE("R22C",'Mapa final'!$R$68),"")</f>
        <v/>
      </c>
      <c r="L177" s="113" t="str">
        <f>IF(AND('Mapa final'!$AB$69="Baja",'Mapa final'!$AD$69="Leve"),CONCATENATE("R22C",'Mapa final'!$R$69),"")</f>
        <v/>
      </c>
      <c r="M177" s="48" t="str">
        <f>IF(AND('Mapa final'!$AB$67="Baja",'Mapa final'!$AD$67="Menor"),CONCATENATE("R22C",'Mapa final'!$R$67),"")</f>
        <v>R22C1</v>
      </c>
      <c r="N177" s="49" t="str">
        <f>IF(AND('Mapa final'!$AB$68="Baja",'Mapa final'!$AD$68="Menor"),CONCATENATE("R22C",'Mapa final'!$R$68),"")</f>
        <v/>
      </c>
      <c r="O177" s="108" t="str">
        <f>IF(AND('Mapa final'!$AB$69="Baja",'Mapa final'!$AD$69="Menor"),CONCATENATE("R22C",'Mapa final'!$R$69),"")</f>
        <v/>
      </c>
      <c r="P177" s="48" t="str">
        <f>IF(AND('Mapa final'!$AB$67="Baja",'Mapa final'!$AD$67="Moderado"),CONCATENATE("R22C",'Mapa final'!$R$67),"")</f>
        <v/>
      </c>
      <c r="Q177" s="49" t="str">
        <f>IF(AND('Mapa final'!$AB$68="Baja",'Mapa final'!$AD$68="Moderado"),CONCATENATE("R22C",'Mapa final'!$R$68),"")</f>
        <v/>
      </c>
      <c r="R177" s="108" t="str">
        <f>IF(AND('Mapa final'!$AB$69="Baja",'Mapa final'!$AD$69="Moderado"),CONCATENATE("R22C",'Mapa final'!$R$69),"")</f>
        <v/>
      </c>
      <c r="S177" s="102" t="str">
        <f>IF(AND('Mapa final'!$AB$67="Baja",'Mapa final'!$AD$67="Mayor"),CONCATENATE("R22C",'Mapa final'!$R$67),"")</f>
        <v/>
      </c>
      <c r="T177" s="41" t="str">
        <f>IF(AND('Mapa final'!$AB$68="Baja",'Mapa final'!$AD$68="Mayor"),CONCATENATE("R22C",'Mapa final'!$R$68),"")</f>
        <v/>
      </c>
      <c r="U177" s="103" t="str">
        <f>IF(AND('Mapa final'!$AB$69="Baja",'Mapa final'!$AD$69="Mayor"),CONCATENATE("R22C",'Mapa final'!$R$69),"")</f>
        <v/>
      </c>
      <c r="V177" s="42" t="str">
        <f>IF(AND('Mapa final'!$AB$67="Baja",'Mapa final'!$AD$67="Catastrófico"),CONCATENATE("R22C",'Mapa final'!$R$67),"")</f>
        <v/>
      </c>
      <c r="W177" s="43" t="str">
        <f>IF(AND('Mapa final'!$AB$68="Baja",'Mapa final'!$AD$68="Catastrófico"),CONCATENATE("R22C",'Mapa final'!$R$68),"")</f>
        <v/>
      </c>
      <c r="X177" s="97" t="str">
        <f>IF(AND('Mapa final'!$AB$69="Baja",'Mapa final'!$AD$69="Catastrófico"),CONCATENATE("R22C",'Mapa final'!$R$69),"")</f>
        <v/>
      </c>
      <c r="Y177" s="55"/>
      <c r="Z177" s="306"/>
      <c r="AA177" s="307"/>
      <c r="AB177" s="307"/>
      <c r="AC177" s="307"/>
      <c r="AD177" s="307"/>
      <c r="AE177" s="308"/>
      <c r="AF177" s="55"/>
      <c r="AG177" s="55"/>
      <c r="AH177" s="55"/>
      <c r="AI177" s="55"/>
      <c r="AJ177" s="55"/>
      <c r="AK177" s="55"/>
      <c r="AL177" s="55"/>
      <c r="AM177" s="55"/>
      <c r="AN177" s="55"/>
      <c r="AO177" s="55"/>
      <c r="AP177" s="55"/>
      <c r="AQ177" s="55"/>
      <c r="AR177" s="55"/>
      <c r="AS177" s="55"/>
      <c r="AT177" s="55"/>
      <c r="AU177" s="55"/>
      <c r="AV177" s="55"/>
      <c r="AW177" s="55"/>
      <c r="AX177" s="55"/>
      <c r="AY177" s="55"/>
      <c r="AZ177" s="55"/>
      <c r="BA177" s="55"/>
      <c r="BB177" s="55"/>
      <c r="BC177" s="55"/>
      <c r="BD177" s="55"/>
      <c r="BE177" s="55"/>
      <c r="BF177" s="55"/>
      <c r="BG177" s="55"/>
      <c r="BH177" s="55"/>
      <c r="BI177" s="55"/>
    </row>
    <row r="178" spans="1:61" ht="15" customHeight="1" x14ac:dyDescent="0.25">
      <c r="A178" s="55"/>
      <c r="B178" s="301"/>
      <c r="C178" s="301"/>
      <c r="D178" s="302"/>
      <c r="E178" s="278"/>
      <c r="F178" s="274"/>
      <c r="G178" s="274"/>
      <c r="H178" s="274"/>
      <c r="I178" s="274"/>
      <c r="J178" s="112" t="str">
        <f>IF(AND('Mapa final'!$AB$73="Baja",'Mapa final'!$AD$73="Leve"),CONCATENATE("R23C",'Mapa final'!$R$73),"")</f>
        <v/>
      </c>
      <c r="K178" s="53" t="str">
        <f>IF(AND('Mapa final'!$AB$74="Baja",'Mapa final'!$AD$74="Leve"),CONCATENATE("R23C",'Mapa final'!$R$74),"")</f>
        <v/>
      </c>
      <c r="L178" s="113" t="str">
        <f>IF(AND('Mapa final'!$AB$75="Baja",'Mapa final'!$AD$75="Leve"),CONCATENATE("R23C",'Mapa final'!$R$75),"")</f>
        <v/>
      </c>
      <c r="M178" s="48" t="str">
        <f>IF(AND('Mapa final'!$AB$73="Baja",'Mapa final'!$AD$73="Menor"),CONCATENATE("R23C",'Mapa final'!$R$73),"")</f>
        <v/>
      </c>
      <c r="N178" s="49" t="str">
        <f>IF(AND('Mapa final'!$AB$74="Baja",'Mapa final'!$AD$74="Menor"),CONCATENATE("R23C",'Mapa final'!$R$74),"")</f>
        <v/>
      </c>
      <c r="O178" s="108" t="str">
        <f>IF(AND('Mapa final'!$AB$75="Baja",'Mapa final'!$AD$75="Menor"),CONCATENATE("R23C",'Mapa final'!$R$75),"")</f>
        <v/>
      </c>
      <c r="P178" s="48" t="str">
        <f>IF(AND('Mapa final'!$AB$73="Baja",'Mapa final'!$AD$73="Moderado"),CONCATENATE("R23C",'Mapa final'!$R$73),"")</f>
        <v/>
      </c>
      <c r="Q178" s="49" t="str">
        <f>IF(AND('Mapa final'!$AB$74="Baja",'Mapa final'!$AD$74="Moderado"),CONCATENATE("R23C",'Mapa final'!$R$74),"")</f>
        <v/>
      </c>
      <c r="R178" s="108" t="str">
        <f>IF(AND('Mapa final'!$AB$75="Baja",'Mapa final'!$AD$75="Moderado"),CONCATENATE("R23C",'Mapa final'!$R$75),"")</f>
        <v/>
      </c>
      <c r="S178" s="102" t="str">
        <f>IF(AND('Mapa final'!$AB$73="Baja",'Mapa final'!$AD$73="Mayor"),CONCATENATE("R23C",'Mapa final'!$R$73),"")</f>
        <v>R23C1</v>
      </c>
      <c r="T178" s="41" t="str">
        <f>IF(AND('Mapa final'!$AB$74="Baja",'Mapa final'!$AD$74="Mayor"),CONCATENATE("R23C",'Mapa final'!$R$74),"")</f>
        <v/>
      </c>
      <c r="U178" s="103" t="str">
        <f>IF(AND('Mapa final'!$AB$75="Baja",'Mapa final'!$AD$75="Mayor"),CONCATENATE("R23C",'Mapa final'!$R$75),"")</f>
        <v/>
      </c>
      <c r="V178" s="42" t="str">
        <f>IF(AND('Mapa final'!$AB$73="Baja",'Mapa final'!$AD$73="Catastrófico"),CONCATENATE("R23C",'Mapa final'!$R$73),"")</f>
        <v/>
      </c>
      <c r="W178" s="43" t="str">
        <f>IF(AND('Mapa final'!$AB$74="Baja",'Mapa final'!$AD$74="Catastrófico"),CONCATENATE("R23C",'Mapa final'!$R$74),"")</f>
        <v/>
      </c>
      <c r="X178" s="97" t="str">
        <f>IF(AND('Mapa final'!$AB$75="Baja",'Mapa final'!$AD$75="Catastrófico"),CONCATENATE("R23C",'Mapa final'!$R$75),"")</f>
        <v/>
      </c>
      <c r="Y178" s="55"/>
      <c r="Z178" s="306"/>
      <c r="AA178" s="307"/>
      <c r="AB178" s="307"/>
      <c r="AC178" s="307"/>
      <c r="AD178" s="307"/>
      <c r="AE178" s="308"/>
      <c r="AF178" s="55"/>
      <c r="AG178" s="55"/>
      <c r="AH178" s="55"/>
      <c r="AI178" s="55"/>
      <c r="AJ178" s="55"/>
      <c r="AK178" s="55"/>
      <c r="AL178" s="55"/>
      <c r="AM178" s="55"/>
      <c r="AN178" s="55"/>
      <c r="AO178" s="55"/>
      <c r="AP178" s="55"/>
      <c r="AQ178" s="55"/>
      <c r="AR178" s="55"/>
      <c r="AS178" s="55"/>
      <c r="AT178" s="55"/>
      <c r="AU178" s="55"/>
      <c r="AV178" s="55"/>
      <c r="AW178" s="55"/>
      <c r="AX178" s="55"/>
      <c r="AY178" s="55"/>
      <c r="AZ178" s="55"/>
      <c r="BA178" s="55"/>
      <c r="BB178" s="55"/>
      <c r="BC178" s="55"/>
      <c r="BD178" s="55"/>
      <c r="BE178" s="55"/>
      <c r="BF178" s="55"/>
      <c r="BG178" s="55"/>
      <c r="BH178" s="55"/>
      <c r="BI178" s="55"/>
    </row>
    <row r="179" spans="1:61" ht="15" customHeight="1" x14ac:dyDescent="0.25">
      <c r="A179" s="55"/>
      <c r="B179" s="301"/>
      <c r="C179" s="301"/>
      <c r="D179" s="302"/>
      <c r="E179" s="278"/>
      <c r="F179" s="274"/>
      <c r="G179" s="274"/>
      <c r="H179" s="274"/>
      <c r="I179" s="274"/>
      <c r="J179" s="112" t="str">
        <f>IF(AND('Mapa final'!$AB$76="Baja",'Mapa final'!$AD$76="Leve"),CONCATENATE("R24C",'Mapa final'!$R$76),"")</f>
        <v/>
      </c>
      <c r="K179" s="53" t="str">
        <f>IF(AND('Mapa final'!$AB$77="Baja",'Mapa final'!$AD$77="Leve"),CONCATENATE("R24C",'Mapa final'!$R$77),"")</f>
        <v/>
      </c>
      <c r="L179" s="113" t="str">
        <f>IF(AND('Mapa final'!$AB$78="Baja",'Mapa final'!$AD$78="Leve"),CONCATENATE("R24C",'Mapa final'!$R$78),"")</f>
        <v/>
      </c>
      <c r="M179" s="48" t="str">
        <f>IF(AND('Mapa final'!$AB$76="Baja",'Mapa final'!$AD$76="Menor"),CONCATENATE("R24C",'Mapa final'!$R$76),"")</f>
        <v/>
      </c>
      <c r="N179" s="49" t="str">
        <f>IF(AND('Mapa final'!$AB$77="Baja",'Mapa final'!$AD$77="Menor"),CONCATENATE("R24C",'Mapa final'!$R$77),"")</f>
        <v/>
      </c>
      <c r="O179" s="108" t="str">
        <f>IF(AND('Mapa final'!$AB$78="Baja",'Mapa final'!$AD$78="Menor"),CONCATENATE("R24C",'Mapa final'!$R$78),"")</f>
        <v/>
      </c>
      <c r="P179" s="48" t="str">
        <f>IF(AND('Mapa final'!$AB$76="Baja",'Mapa final'!$AD$76="Moderado"),CONCATENATE("R24C",'Mapa final'!$R$76),"")</f>
        <v>R24C1</v>
      </c>
      <c r="Q179" s="49" t="str">
        <f>IF(AND('Mapa final'!$AB$77="Baja",'Mapa final'!$AD$77="Moderado"),CONCATENATE("R24C",'Mapa final'!$R$77),"")</f>
        <v/>
      </c>
      <c r="R179" s="108" t="str">
        <f>IF(AND('Mapa final'!$AB$78="Baja",'Mapa final'!$AD$78="Moderado"),CONCATENATE("R24C",'Mapa final'!$R$78),"")</f>
        <v/>
      </c>
      <c r="S179" s="102" t="str">
        <f>IF(AND('Mapa final'!$AB$76="Baja",'Mapa final'!$AD$76="Mayor"),CONCATENATE("R24C",'Mapa final'!$R$76),"")</f>
        <v/>
      </c>
      <c r="T179" s="41" t="str">
        <f>IF(AND('Mapa final'!$AB$77="Baja",'Mapa final'!$AD$77="Mayor"),CONCATENATE("R24C",'Mapa final'!$R$77),"")</f>
        <v/>
      </c>
      <c r="U179" s="103" t="str">
        <f>IF(AND('Mapa final'!$AB$78="Baja",'Mapa final'!$AD$78="Mayor"),CONCATENATE("R24C",'Mapa final'!$R$78),"")</f>
        <v/>
      </c>
      <c r="V179" s="42" t="str">
        <f>IF(AND('Mapa final'!$AB$76="Baja",'Mapa final'!$AD$76="Catastrófico"),CONCATENATE("R24C",'Mapa final'!$R$76),"")</f>
        <v/>
      </c>
      <c r="W179" s="43" t="str">
        <f>IF(AND('Mapa final'!$AB$77="Baja",'Mapa final'!$AD$77="Catastrófico"),CONCATENATE("R24C",'Mapa final'!$R$77),"")</f>
        <v/>
      </c>
      <c r="X179" s="97" t="str">
        <f>IF(AND('Mapa final'!$AB$78="Baja",'Mapa final'!$AD$78="Catastrófico"),CONCATENATE("R24C",'Mapa final'!$R$78),"")</f>
        <v/>
      </c>
      <c r="Y179" s="55"/>
      <c r="Z179" s="306"/>
      <c r="AA179" s="307"/>
      <c r="AB179" s="307"/>
      <c r="AC179" s="307"/>
      <c r="AD179" s="307"/>
      <c r="AE179" s="308"/>
      <c r="AF179" s="55"/>
      <c r="AG179" s="55"/>
      <c r="AH179" s="55"/>
      <c r="AI179" s="55"/>
      <c r="AJ179" s="55"/>
      <c r="AK179" s="55"/>
      <c r="AL179" s="55"/>
      <c r="AM179" s="55"/>
      <c r="AN179" s="55"/>
      <c r="AO179" s="55"/>
      <c r="AP179" s="55"/>
      <c r="AQ179" s="55"/>
      <c r="AR179" s="55"/>
      <c r="AS179" s="55"/>
      <c r="AT179" s="55"/>
      <c r="AU179" s="55"/>
      <c r="AV179" s="55"/>
      <c r="AW179" s="55"/>
      <c r="AX179" s="55"/>
      <c r="AY179" s="55"/>
      <c r="AZ179" s="55"/>
      <c r="BA179" s="55"/>
      <c r="BB179" s="55"/>
      <c r="BC179" s="55"/>
      <c r="BD179" s="55"/>
      <c r="BE179" s="55"/>
      <c r="BF179" s="55"/>
      <c r="BG179" s="55"/>
      <c r="BH179" s="55"/>
      <c r="BI179" s="55"/>
    </row>
    <row r="180" spans="1:61" ht="15" customHeight="1" x14ac:dyDescent="0.25">
      <c r="A180" s="55"/>
      <c r="B180" s="301"/>
      <c r="C180" s="301"/>
      <c r="D180" s="302"/>
      <c r="E180" s="278"/>
      <c r="F180" s="274"/>
      <c r="G180" s="274"/>
      <c r="H180" s="274"/>
      <c r="I180" s="274"/>
      <c r="J180" s="112" t="str">
        <f>IF(AND('Mapa final'!$AB$79="Baja",'Mapa final'!$AD$79="Leve"),CONCATENATE("R25C",'Mapa final'!$R$79),"")</f>
        <v/>
      </c>
      <c r="K180" s="53" t="str">
        <f>IF(AND('Mapa final'!$AB$80="Baja",'Mapa final'!$AD$80="Leve"),CONCATENATE("R25C",'Mapa final'!$R$80),"")</f>
        <v/>
      </c>
      <c r="L180" s="113" t="str">
        <f>IF(AND('Mapa final'!$AB$81="Baja",'Mapa final'!$AD$81="Leve"),CONCATENATE("R25C",'Mapa final'!$R$81),"")</f>
        <v/>
      </c>
      <c r="M180" s="48" t="str">
        <f>IF(AND('Mapa final'!$AB$79="Baja",'Mapa final'!$AD$79="Menor"),CONCATENATE("R25C",'Mapa final'!$R$79),"")</f>
        <v/>
      </c>
      <c r="N180" s="49" t="str">
        <f>IF(AND('Mapa final'!$AB$80="Baja",'Mapa final'!$AD$80="Menor"),CONCATENATE("R25C",'Mapa final'!$R$80),"")</f>
        <v/>
      </c>
      <c r="O180" s="108" t="str">
        <f>IF(AND('Mapa final'!$AB$81="Baja",'Mapa final'!$AD$81="Menor"),CONCATENATE("R25C",'Mapa final'!$R$81),"")</f>
        <v/>
      </c>
      <c r="P180" s="48" t="str">
        <f>IF(AND('Mapa final'!$AB$79="Baja",'Mapa final'!$AD$79="Moderado"),CONCATENATE("R25C",'Mapa final'!$R$79),"")</f>
        <v>R25C1</v>
      </c>
      <c r="Q180" s="49" t="str">
        <f>IF(AND('Mapa final'!$AB$80="Baja",'Mapa final'!$AD$80="Moderado"),CONCATENATE("R25C",'Mapa final'!$R$80),"")</f>
        <v/>
      </c>
      <c r="R180" s="108" t="str">
        <f>IF(AND('Mapa final'!$AB$81="Baja",'Mapa final'!$AD$81="Moderado"),CONCATENATE("R25C",'Mapa final'!$R$81),"")</f>
        <v/>
      </c>
      <c r="S180" s="102" t="str">
        <f>IF(AND('Mapa final'!$AB$79="Baja",'Mapa final'!$AD$79="Mayor"),CONCATENATE("R25C",'Mapa final'!$R$79),"")</f>
        <v/>
      </c>
      <c r="T180" s="41" t="str">
        <f>IF(AND('Mapa final'!$AB$80="Baja",'Mapa final'!$AD$80="Mayor"),CONCATENATE("R25C",'Mapa final'!$R$80),"")</f>
        <v/>
      </c>
      <c r="U180" s="103" t="str">
        <f>IF(AND('Mapa final'!$AB$81="Baja",'Mapa final'!$AD$81="Mayor"),CONCATENATE("R25C",'Mapa final'!$R$81),"")</f>
        <v/>
      </c>
      <c r="V180" s="42" t="str">
        <f>IF(AND('Mapa final'!$AB$79="Baja",'Mapa final'!$AD$79="Catastrófico"),CONCATENATE("R25C",'Mapa final'!$R$79),"")</f>
        <v/>
      </c>
      <c r="W180" s="43" t="str">
        <f>IF(AND('Mapa final'!$AB$80="Baja",'Mapa final'!$AD$80="Catastrófico"),CONCATENATE("R25C",'Mapa final'!$R$80),"")</f>
        <v/>
      </c>
      <c r="X180" s="97" t="str">
        <f>IF(AND('Mapa final'!$AB$81="Baja",'Mapa final'!$AD$81="Catastrófico"),CONCATENATE("R25C",'Mapa final'!$R$81),"")</f>
        <v/>
      </c>
      <c r="Y180" s="55"/>
      <c r="Z180" s="306"/>
      <c r="AA180" s="307"/>
      <c r="AB180" s="307"/>
      <c r="AC180" s="307"/>
      <c r="AD180" s="307"/>
      <c r="AE180" s="308"/>
      <c r="AF180" s="55"/>
      <c r="AG180" s="55"/>
      <c r="AH180" s="55"/>
      <c r="AI180" s="55"/>
      <c r="AJ180" s="55"/>
      <c r="AK180" s="55"/>
      <c r="AL180" s="55"/>
      <c r="AM180" s="55"/>
      <c r="AN180" s="55"/>
      <c r="AO180" s="55"/>
      <c r="AP180" s="55"/>
      <c r="AQ180" s="55"/>
      <c r="AR180" s="55"/>
      <c r="AS180" s="55"/>
      <c r="AT180" s="55"/>
      <c r="AU180" s="55"/>
      <c r="AV180" s="55"/>
      <c r="AW180" s="55"/>
      <c r="AX180" s="55"/>
      <c r="AY180" s="55"/>
      <c r="AZ180" s="55"/>
      <c r="BA180" s="55"/>
      <c r="BB180" s="55"/>
      <c r="BC180" s="55"/>
      <c r="BD180" s="55"/>
      <c r="BE180" s="55"/>
      <c r="BF180" s="55"/>
      <c r="BG180" s="55"/>
      <c r="BH180" s="55"/>
      <c r="BI180" s="55"/>
    </row>
    <row r="181" spans="1:61" ht="15" customHeight="1" x14ac:dyDescent="0.25">
      <c r="A181" s="55"/>
      <c r="B181" s="301"/>
      <c r="C181" s="301"/>
      <c r="D181" s="302"/>
      <c r="E181" s="278"/>
      <c r="F181" s="274"/>
      <c r="G181" s="274"/>
      <c r="H181" s="274"/>
      <c r="I181" s="274"/>
      <c r="J181" s="112" t="str">
        <f>IF(AND('Mapa final'!$AB$82="Baja",'Mapa final'!$AD$82="Leve"),CONCATENATE("R26C",'Mapa final'!$R$82),"")</f>
        <v/>
      </c>
      <c r="K181" s="53" t="str">
        <f>IF(AND('Mapa final'!$AB$83="Baja",'Mapa final'!$AD$83="Leve"),CONCATENATE("R26C",'Mapa final'!$R$83),"")</f>
        <v/>
      </c>
      <c r="L181" s="113" t="str">
        <f>IF(AND('Mapa final'!$AB$84="Baja",'Mapa final'!$AD$84="Leve"),CONCATENATE("R26C",'Mapa final'!$R$84),"")</f>
        <v/>
      </c>
      <c r="M181" s="48" t="str">
        <f>IF(AND('Mapa final'!$AB$82="Baja",'Mapa final'!$AD$82="Menor"),CONCATENATE("R26C",'Mapa final'!$R$82),"")</f>
        <v/>
      </c>
      <c r="N181" s="49" t="str">
        <f>IF(AND('Mapa final'!$AB$83="Baja",'Mapa final'!$AD$83="Menor"),CONCATENATE("R26C",'Mapa final'!$R$83),"")</f>
        <v/>
      </c>
      <c r="O181" s="108" t="str">
        <f>IF(AND('Mapa final'!$AB$84="Baja",'Mapa final'!$AD$84="Menor"),CONCATENATE("R26C",'Mapa final'!$R$84),"")</f>
        <v/>
      </c>
      <c r="P181" s="48" t="str">
        <f>IF(AND('Mapa final'!$AB$82="Baja",'Mapa final'!$AD$82="Moderado"),CONCATENATE("R26C",'Mapa final'!$R$82),"")</f>
        <v/>
      </c>
      <c r="Q181" s="49" t="str">
        <f>IF(AND('Mapa final'!$AB$83="Baja",'Mapa final'!$AD$83="Moderado"),CONCATENATE("R26C",'Mapa final'!$R$83),"")</f>
        <v/>
      </c>
      <c r="R181" s="108" t="str">
        <f>IF(AND('Mapa final'!$AB$84="Baja",'Mapa final'!$AD$84="Moderado"),CONCATENATE("R26C",'Mapa final'!$R$84),"")</f>
        <v/>
      </c>
      <c r="S181" s="102" t="str">
        <f>IF(AND('Mapa final'!$AB$82="Baja",'Mapa final'!$AD$82="Mayor"),CONCATENATE("R26C",'Mapa final'!$R$82),"")</f>
        <v/>
      </c>
      <c r="T181" s="41" t="str">
        <f>IF(AND('Mapa final'!$AB$83="Baja",'Mapa final'!$AD$83="Mayor"),CONCATENATE("R26C",'Mapa final'!$R$83),"")</f>
        <v/>
      </c>
      <c r="U181" s="103" t="str">
        <f>IF(AND('Mapa final'!$AB$84="Baja",'Mapa final'!$AD$84="Mayor"),CONCATENATE("R26C",'Mapa final'!$R$84),"")</f>
        <v/>
      </c>
      <c r="V181" s="42" t="str">
        <f>IF(AND('Mapa final'!$AB$82="Baja",'Mapa final'!$AD$82="Catastrófico"),CONCATENATE("R26C",'Mapa final'!$R$82),"")</f>
        <v/>
      </c>
      <c r="W181" s="43" t="str">
        <f>IF(AND('Mapa final'!$AB$83="Baja",'Mapa final'!$AD$83="Catastrófico"),CONCATENATE("R26C",'Mapa final'!$R$83),"")</f>
        <v/>
      </c>
      <c r="X181" s="97" t="str">
        <f>IF(AND('Mapa final'!$AB$84="Baja",'Mapa final'!$AD$84="Catastrófico"),CONCATENATE("R26C",'Mapa final'!$R$84),"")</f>
        <v/>
      </c>
      <c r="Y181" s="55"/>
      <c r="Z181" s="306"/>
      <c r="AA181" s="307"/>
      <c r="AB181" s="307"/>
      <c r="AC181" s="307"/>
      <c r="AD181" s="307"/>
      <c r="AE181" s="308"/>
      <c r="AF181" s="55"/>
      <c r="AG181" s="55"/>
      <c r="AH181" s="55"/>
      <c r="AI181" s="55"/>
      <c r="AJ181" s="55"/>
      <c r="AK181" s="55"/>
      <c r="AL181" s="55"/>
      <c r="AM181" s="55"/>
      <c r="AN181" s="55"/>
      <c r="AO181" s="55"/>
      <c r="AP181" s="55"/>
      <c r="AQ181" s="55"/>
      <c r="AR181" s="55"/>
      <c r="AS181" s="55"/>
      <c r="AT181" s="55"/>
      <c r="AU181" s="55"/>
      <c r="AV181" s="55"/>
      <c r="AW181" s="55"/>
      <c r="AX181" s="55"/>
      <c r="AY181" s="55"/>
      <c r="AZ181" s="55"/>
      <c r="BA181" s="55"/>
      <c r="BB181" s="55"/>
      <c r="BC181" s="55"/>
      <c r="BD181" s="55"/>
      <c r="BE181" s="55"/>
      <c r="BF181" s="55"/>
      <c r="BG181" s="55"/>
      <c r="BH181" s="55"/>
      <c r="BI181" s="55"/>
    </row>
    <row r="182" spans="1:61" ht="15" customHeight="1" x14ac:dyDescent="0.25">
      <c r="A182" s="55"/>
      <c r="B182" s="301"/>
      <c r="C182" s="301"/>
      <c r="D182" s="302"/>
      <c r="E182" s="278"/>
      <c r="F182" s="274"/>
      <c r="G182" s="274"/>
      <c r="H182" s="274"/>
      <c r="I182" s="274"/>
      <c r="J182" s="112" t="str">
        <f>IF(AND('Mapa final'!$AB$85="Baja",'Mapa final'!$AD$85="Leve"),CONCATENATE("R27C",'Mapa final'!$R$85),"")</f>
        <v/>
      </c>
      <c r="K182" s="53" t="str">
        <f>IF(AND('Mapa final'!$AB$86="Baja",'Mapa final'!$AD$86="Leve"),CONCATENATE("R27C",'Mapa final'!$R$86),"")</f>
        <v/>
      </c>
      <c r="L182" s="113" t="str">
        <f>IF(AND('Mapa final'!$AB$87="Baja",'Mapa final'!$AD$87="Leve"),CONCATENATE("R27C",'Mapa final'!$R$87),"")</f>
        <v/>
      </c>
      <c r="M182" s="48" t="str">
        <f>IF(AND('Mapa final'!$AB$85="Baja",'Mapa final'!$AD$85="Menor"),CONCATENATE("R27C",'Mapa final'!$R$85),"")</f>
        <v/>
      </c>
      <c r="N182" s="49" t="str">
        <f>IF(AND('Mapa final'!$AB$86="Baja",'Mapa final'!$AD$86="Menor"),CONCATENATE("R27C",'Mapa final'!$R$86),"")</f>
        <v/>
      </c>
      <c r="O182" s="108" t="str">
        <f>IF(AND('Mapa final'!$AB$87="Baja",'Mapa final'!$AD$87="Menor"),CONCATENATE("R27C",'Mapa final'!$R$87),"")</f>
        <v/>
      </c>
      <c r="P182" s="48" t="str">
        <f>IF(AND('Mapa final'!$AB$85="Baja",'Mapa final'!$AD$85="Moderado"),CONCATENATE("R27C",'Mapa final'!$R$85),"")</f>
        <v>R27C1</v>
      </c>
      <c r="Q182" s="49" t="str">
        <f>IF(AND('Mapa final'!$AB$86="Baja",'Mapa final'!$AD$86="Moderado"),CONCATENATE("R27C",'Mapa final'!$R$86),"")</f>
        <v/>
      </c>
      <c r="R182" s="108" t="str">
        <f>IF(AND('Mapa final'!$AB$87="Baja",'Mapa final'!$AD$87="Moderado"),CONCATENATE("R27C",'Mapa final'!$R$87),"")</f>
        <v/>
      </c>
      <c r="S182" s="102" t="str">
        <f>IF(AND('Mapa final'!$AB$85="Baja",'Mapa final'!$AD$85="Mayor"),CONCATENATE("R27C",'Mapa final'!$R$85),"")</f>
        <v/>
      </c>
      <c r="T182" s="41" t="str">
        <f>IF(AND('Mapa final'!$AB$86="Baja",'Mapa final'!$AD$86="Mayor"),CONCATENATE("R27C",'Mapa final'!$R$86),"")</f>
        <v/>
      </c>
      <c r="U182" s="103" t="str">
        <f>IF(AND('Mapa final'!$AB$87="Baja",'Mapa final'!$AD$87="Mayor"),CONCATENATE("R27C",'Mapa final'!$R$87),"")</f>
        <v/>
      </c>
      <c r="V182" s="42" t="str">
        <f>IF(AND('Mapa final'!$AB$85="Baja",'Mapa final'!$AD$85="Catastrófico"),CONCATENATE("R27C",'Mapa final'!$R$85),"")</f>
        <v/>
      </c>
      <c r="W182" s="43" t="str">
        <f>IF(AND('Mapa final'!$AB$86="Baja",'Mapa final'!$AD$86="Catastrófico"),CONCATENATE("R27C",'Mapa final'!$R$86),"")</f>
        <v/>
      </c>
      <c r="X182" s="97" t="str">
        <f>IF(AND('Mapa final'!$AB$87="Baja",'Mapa final'!$AD$87="Catastrófico"),CONCATENATE("R27C",'Mapa final'!$R$87),"")</f>
        <v/>
      </c>
      <c r="Y182" s="55"/>
      <c r="Z182" s="306"/>
      <c r="AA182" s="307"/>
      <c r="AB182" s="307"/>
      <c r="AC182" s="307"/>
      <c r="AD182" s="307"/>
      <c r="AE182" s="308"/>
      <c r="AF182" s="55"/>
      <c r="AG182" s="55"/>
      <c r="AH182" s="55"/>
      <c r="AI182" s="55"/>
      <c r="AJ182" s="55"/>
      <c r="AK182" s="55"/>
      <c r="AL182" s="55"/>
      <c r="AM182" s="55"/>
      <c r="AN182" s="55"/>
      <c r="AO182" s="55"/>
      <c r="AP182" s="55"/>
      <c r="AQ182" s="55"/>
      <c r="AR182" s="55"/>
      <c r="AS182" s="55"/>
      <c r="AT182" s="55"/>
      <c r="AU182" s="55"/>
      <c r="AV182" s="55"/>
      <c r="AW182" s="55"/>
      <c r="AX182" s="55"/>
      <c r="AY182" s="55"/>
      <c r="AZ182" s="55"/>
      <c r="BA182" s="55"/>
      <c r="BB182" s="55"/>
      <c r="BC182" s="55"/>
      <c r="BD182" s="55"/>
      <c r="BE182" s="55"/>
      <c r="BF182" s="55"/>
      <c r="BG182" s="55"/>
      <c r="BH182" s="55"/>
      <c r="BI182" s="55"/>
    </row>
    <row r="183" spans="1:61" ht="15" customHeight="1" x14ac:dyDescent="0.25">
      <c r="A183" s="55"/>
      <c r="B183" s="301"/>
      <c r="C183" s="301"/>
      <c r="D183" s="302"/>
      <c r="E183" s="278"/>
      <c r="F183" s="274"/>
      <c r="G183" s="274"/>
      <c r="H183" s="274"/>
      <c r="I183" s="274"/>
      <c r="J183" s="112" t="str">
        <f>IF(AND('Mapa final'!$AB$88="Baja",'Mapa final'!$AD$88="Leve"),CONCATENATE("R28C",'Mapa final'!$R$88),"")</f>
        <v/>
      </c>
      <c r="K183" s="53" t="str">
        <f>IF(AND('Mapa final'!$AB$89="Baja",'Mapa final'!$AD$89="Leve"),CONCATENATE("R28C",'Mapa final'!$R$89),"")</f>
        <v/>
      </c>
      <c r="L183" s="113" t="str">
        <f>IF(AND('Mapa final'!$AB$90="Baja",'Mapa final'!$AD$90="Leve"),CONCATENATE("R28C",'Mapa final'!$R$90),"")</f>
        <v/>
      </c>
      <c r="M183" s="48" t="str">
        <f>IF(AND('Mapa final'!$AB$88="Baja",'Mapa final'!$AD$88="Menor"),CONCATENATE("R28C",'Mapa final'!$R$88),"")</f>
        <v/>
      </c>
      <c r="N183" s="49" t="str">
        <f>IF(AND('Mapa final'!$AB$89="Baja",'Mapa final'!$AD$89="Menor"),CONCATENATE("R28C",'Mapa final'!$R$89),"")</f>
        <v/>
      </c>
      <c r="O183" s="108" t="str">
        <f>IF(AND('Mapa final'!$AB$90="Baja",'Mapa final'!$AD$90="Menor"),CONCATENATE("R28C",'Mapa final'!$R$90),"")</f>
        <v/>
      </c>
      <c r="P183" s="48" t="str">
        <f>IF(AND('Mapa final'!$AB$88="Baja",'Mapa final'!$AD$88="Moderado"),CONCATENATE("R28C",'Mapa final'!$R$88),"")</f>
        <v/>
      </c>
      <c r="Q183" s="49" t="str">
        <f>IF(AND('Mapa final'!$AB$89="Baja",'Mapa final'!$AD$89="Moderado"),CONCATENATE("R28C",'Mapa final'!$R$89),"")</f>
        <v/>
      </c>
      <c r="R183" s="108" t="str">
        <f>IF(AND('Mapa final'!$AB$90="Baja",'Mapa final'!$AD$90="Moderado"),CONCATENATE("R28C",'Mapa final'!$R$90),"")</f>
        <v/>
      </c>
      <c r="S183" s="102" t="str">
        <f>IF(AND('Mapa final'!$AB$88="Baja",'Mapa final'!$AD$88="Mayor"),CONCATENATE("R28C",'Mapa final'!$R$88),"")</f>
        <v>R28C1</v>
      </c>
      <c r="T183" s="41" t="str">
        <f>IF(AND('Mapa final'!$AB$89="Baja",'Mapa final'!$AD$89="Mayor"),CONCATENATE("R28C",'Mapa final'!$R$89),"")</f>
        <v/>
      </c>
      <c r="U183" s="103" t="str">
        <f>IF(AND('Mapa final'!$AB$90="Baja",'Mapa final'!$AD$90="Mayor"),CONCATENATE("R28C",'Mapa final'!$R$90),"")</f>
        <v/>
      </c>
      <c r="V183" s="42" t="str">
        <f>IF(AND('Mapa final'!$AB$88="Baja",'Mapa final'!$AD$88="Catastrófico"),CONCATENATE("R28C",'Mapa final'!$R$88),"")</f>
        <v/>
      </c>
      <c r="W183" s="43" t="str">
        <f>IF(AND('Mapa final'!$AB$89="Baja",'Mapa final'!$AD$89="Catastrófico"),CONCATENATE("R28C",'Mapa final'!$R$89),"")</f>
        <v/>
      </c>
      <c r="X183" s="97" t="str">
        <f>IF(AND('Mapa final'!$AB$90="Baja",'Mapa final'!$AD$90="Catastrófico"),CONCATENATE("R28C",'Mapa final'!$R$90),"")</f>
        <v/>
      </c>
      <c r="Y183" s="55"/>
      <c r="Z183" s="306"/>
      <c r="AA183" s="307"/>
      <c r="AB183" s="307"/>
      <c r="AC183" s="307"/>
      <c r="AD183" s="307"/>
      <c r="AE183" s="308"/>
      <c r="AF183" s="55"/>
      <c r="AG183" s="55"/>
      <c r="AH183" s="55"/>
      <c r="AI183" s="55"/>
      <c r="AJ183" s="55"/>
      <c r="AK183" s="55"/>
      <c r="AL183" s="55"/>
      <c r="AM183" s="55"/>
      <c r="AN183" s="55"/>
      <c r="AO183" s="55"/>
      <c r="AP183" s="55"/>
      <c r="AQ183" s="55"/>
      <c r="AR183" s="55"/>
      <c r="AS183" s="55"/>
      <c r="AT183" s="55"/>
      <c r="AU183" s="55"/>
      <c r="AV183" s="55"/>
      <c r="AW183" s="55"/>
      <c r="AX183" s="55"/>
      <c r="AY183" s="55"/>
      <c r="AZ183" s="55"/>
      <c r="BA183" s="55"/>
      <c r="BB183" s="55"/>
      <c r="BC183" s="55"/>
      <c r="BD183" s="55"/>
      <c r="BE183" s="55"/>
      <c r="BF183" s="55"/>
      <c r="BG183" s="55"/>
      <c r="BH183" s="55"/>
      <c r="BI183" s="55"/>
    </row>
    <row r="184" spans="1:61" ht="15" customHeight="1" x14ac:dyDescent="0.25">
      <c r="A184" s="55"/>
      <c r="B184" s="301"/>
      <c r="C184" s="301"/>
      <c r="D184" s="302"/>
      <c r="E184" s="279"/>
      <c r="F184" s="274"/>
      <c r="G184" s="274"/>
      <c r="H184" s="274"/>
      <c r="I184" s="274"/>
      <c r="J184" s="112" t="str">
        <f>IF(AND('Mapa final'!$AB$91="Baja",'Mapa final'!$AD$91="Leve"),CONCATENATE("R29C",'Mapa final'!$R$91),"")</f>
        <v/>
      </c>
      <c r="K184" s="53" t="str">
        <f>IF(AND('Mapa final'!$AB$92="Baja",'Mapa final'!$AD$92="Leve"),CONCATENATE("R29C",'Mapa final'!$R$92),"")</f>
        <v/>
      </c>
      <c r="L184" s="113" t="str">
        <f>IF(AND('Mapa final'!$AB$93="Baja",'Mapa final'!$AD$93="Leve"),CONCATENATE("R29C",'Mapa final'!$R$93),"")</f>
        <v/>
      </c>
      <c r="M184" s="48" t="str">
        <f>IF(AND('Mapa final'!$AB$91="Baja",'Mapa final'!$AD$91="Menor"),CONCATENATE("R29C",'Mapa final'!$R$91),"")</f>
        <v/>
      </c>
      <c r="N184" s="49" t="str">
        <f>IF(AND('Mapa final'!$AB$92="Baja",'Mapa final'!$AD$92="Menor"),CONCATENATE("R29C",'Mapa final'!$R$92),"")</f>
        <v/>
      </c>
      <c r="O184" s="108" t="str">
        <f>IF(AND('Mapa final'!$AB$93="Baja",'Mapa final'!$AD$93="Menor"),CONCATENATE("R29C",'Mapa final'!$R$93),"")</f>
        <v/>
      </c>
      <c r="P184" s="48" t="str">
        <f>IF(AND('Mapa final'!$AB$91="Baja",'Mapa final'!$AD$91="Moderado"),CONCATENATE("R29C",'Mapa final'!$R$91),"")</f>
        <v/>
      </c>
      <c r="Q184" s="49" t="str">
        <f>IF(AND('Mapa final'!$AB$92="Baja",'Mapa final'!$AD$92="Moderado"),CONCATENATE("R29C",'Mapa final'!$R$92),"")</f>
        <v/>
      </c>
      <c r="R184" s="108" t="str">
        <f>IF(AND('Mapa final'!$AB$93="Baja",'Mapa final'!$AD$93="Moderado"),CONCATENATE("R29C",'Mapa final'!$R$93),"")</f>
        <v/>
      </c>
      <c r="S184" s="102" t="str">
        <f>IF(AND('Mapa final'!$AB$91="Baja",'Mapa final'!$AD$91="Mayor"),CONCATENATE("R29C",'Mapa final'!$R$91),"")</f>
        <v>R29C1</v>
      </c>
      <c r="T184" s="41" t="str">
        <f>IF(AND('Mapa final'!$AB$92="Baja",'Mapa final'!$AD$92="Mayor"),CONCATENATE("R29C",'Mapa final'!$R$92),"")</f>
        <v/>
      </c>
      <c r="U184" s="103" t="str">
        <f>IF(AND('Mapa final'!$AB$93="Baja",'Mapa final'!$AD$93="Mayor"),CONCATENATE("R29C",'Mapa final'!$R$93),"")</f>
        <v/>
      </c>
      <c r="V184" s="42" t="str">
        <f>IF(AND('Mapa final'!$AB$91="Baja",'Mapa final'!$AD$91="Catastrófico"),CONCATENATE("R29C",'Mapa final'!$R$91),"")</f>
        <v/>
      </c>
      <c r="W184" s="43" t="str">
        <f>IF(AND('Mapa final'!$AB$92="Baja",'Mapa final'!$AD$92="Catastrófico"),CONCATENATE("R29C",'Mapa final'!$R$92),"")</f>
        <v/>
      </c>
      <c r="X184" s="97" t="str">
        <f>IF(AND('Mapa final'!$AB$93="Baja",'Mapa final'!$AD$93="Catastrófico"),CONCATENATE("R29C",'Mapa final'!$R$93),"")</f>
        <v/>
      </c>
      <c r="Y184" s="55"/>
      <c r="Z184" s="306"/>
      <c r="AA184" s="307"/>
      <c r="AB184" s="307"/>
      <c r="AC184" s="307"/>
      <c r="AD184" s="307"/>
      <c r="AE184" s="308"/>
      <c r="AF184" s="55"/>
      <c r="AG184" s="55"/>
      <c r="AH184" s="55"/>
      <c r="AI184" s="55"/>
      <c r="AJ184" s="55"/>
      <c r="AK184" s="55"/>
      <c r="AL184" s="55"/>
      <c r="AM184" s="55"/>
      <c r="AN184" s="55"/>
      <c r="AO184" s="55"/>
      <c r="AP184" s="55"/>
      <c r="AQ184" s="55"/>
      <c r="AR184" s="55"/>
      <c r="AS184" s="55"/>
      <c r="AT184" s="55"/>
      <c r="AU184" s="55"/>
      <c r="AV184" s="55"/>
      <c r="AW184" s="55"/>
      <c r="AX184" s="55"/>
      <c r="AY184" s="55"/>
      <c r="AZ184" s="55"/>
      <c r="BA184" s="55"/>
      <c r="BB184" s="55"/>
      <c r="BC184" s="55"/>
      <c r="BD184" s="55"/>
      <c r="BE184" s="55"/>
      <c r="BF184" s="55"/>
      <c r="BG184" s="55"/>
      <c r="BH184" s="55"/>
      <c r="BI184" s="55"/>
    </row>
    <row r="185" spans="1:61" ht="15" customHeight="1" x14ac:dyDescent="0.25">
      <c r="A185" s="55"/>
      <c r="B185" s="301"/>
      <c r="C185" s="301"/>
      <c r="D185" s="302"/>
      <c r="E185" s="279"/>
      <c r="F185" s="274"/>
      <c r="G185" s="274"/>
      <c r="H185" s="274"/>
      <c r="I185" s="274"/>
      <c r="J185" s="112" t="str">
        <f>IF(AND('Mapa final'!$AB$94="Baja",'Mapa final'!$AD$94="Leve"),CONCATENATE("R30C",'Mapa final'!$R$94),"")</f>
        <v/>
      </c>
      <c r="K185" s="53" t="str">
        <f>IF(AND('Mapa final'!$AB$95="Baja",'Mapa final'!$AD$95="Leve"),CONCATENATE("R30C",'Mapa final'!$R$95),"")</f>
        <v/>
      </c>
      <c r="L185" s="113" t="str">
        <f>IF(AND('Mapa final'!$AB$96="Baja",'Mapa final'!$AD$96="Leve"),CONCATENATE("R30C",'Mapa final'!$R$96),"")</f>
        <v/>
      </c>
      <c r="M185" s="48" t="str">
        <f>IF(AND('Mapa final'!$AB$94="Baja",'Mapa final'!$AD$94="Menor"),CONCATENATE("R30C",'Mapa final'!$R$94),"")</f>
        <v/>
      </c>
      <c r="N185" s="49" t="str">
        <f>IF(AND('Mapa final'!$AB$95="Baja",'Mapa final'!$AD$95="Menor"),CONCATENATE("R30C",'Mapa final'!$R$95),"")</f>
        <v/>
      </c>
      <c r="O185" s="108" t="str">
        <f>IF(AND('Mapa final'!$AB$96="Baja",'Mapa final'!$AD$96="Menor"),CONCATENATE("R30C",'Mapa final'!$R$96),"")</f>
        <v/>
      </c>
      <c r="P185" s="48" t="str">
        <f>IF(AND('Mapa final'!$AB$94="Baja",'Mapa final'!$AD$94="Moderado"),CONCATENATE("R30C",'Mapa final'!$R$94),"")</f>
        <v/>
      </c>
      <c r="Q185" s="49" t="str">
        <f>IF(AND('Mapa final'!$AB$95="Baja",'Mapa final'!$AD$95="Moderado"),CONCATENATE("R30C",'Mapa final'!$R$95),"")</f>
        <v/>
      </c>
      <c r="R185" s="108" t="str">
        <f>IF(AND('Mapa final'!$AB$96="Baja",'Mapa final'!$AD$96="Moderado"),CONCATENATE("R30C",'Mapa final'!$R$96),"")</f>
        <v/>
      </c>
      <c r="S185" s="102" t="str">
        <f>IF(AND('Mapa final'!$AB$94="Baja",'Mapa final'!$AD$94="Mayor"),CONCATENATE("R30C",'Mapa final'!$R$94),"")</f>
        <v/>
      </c>
      <c r="T185" s="41" t="str">
        <f>IF(AND('Mapa final'!$AB$95="Baja",'Mapa final'!$AD$95="Mayor"),CONCATENATE("R30C",'Mapa final'!$R$95),"")</f>
        <v>R30C2</v>
      </c>
      <c r="U185" s="103" t="str">
        <f>IF(AND('Mapa final'!$AB$96="Baja",'Mapa final'!$AD$96="Mayor"),CONCATENATE("R30C",'Mapa final'!$R$96),"")</f>
        <v/>
      </c>
      <c r="V185" s="42" t="str">
        <f>IF(AND('Mapa final'!$AB$94="Baja",'Mapa final'!$AD$94="Catastrófico"),CONCATENATE("R30C",'Mapa final'!$R$94),"")</f>
        <v/>
      </c>
      <c r="W185" s="43" t="str">
        <f>IF(AND('Mapa final'!$AB$95="Baja",'Mapa final'!$AD$95="Catastrófico"),CONCATENATE("R30C",'Mapa final'!$R$95),"")</f>
        <v/>
      </c>
      <c r="X185" s="97" t="str">
        <f>IF(AND('Mapa final'!$AB$96="Baja",'Mapa final'!$AD$96="Catastrófico"),CONCATENATE("R30C",'Mapa final'!$R$96),"")</f>
        <v/>
      </c>
      <c r="Y185" s="55"/>
      <c r="Z185" s="306"/>
      <c r="AA185" s="307"/>
      <c r="AB185" s="307"/>
      <c r="AC185" s="307"/>
      <c r="AD185" s="307"/>
      <c r="AE185" s="308"/>
      <c r="AF185" s="55"/>
      <c r="AG185" s="55"/>
      <c r="AH185" s="55"/>
      <c r="AI185" s="55"/>
      <c r="AJ185" s="55"/>
      <c r="AK185" s="55"/>
      <c r="AL185" s="55"/>
      <c r="AM185" s="55"/>
      <c r="AN185" s="55"/>
      <c r="AO185" s="55"/>
      <c r="AP185" s="55"/>
      <c r="AQ185" s="55"/>
      <c r="AR185" s="55"/>
      <c r="AS185" s="55"/>
      <c r="AT185" s="55"/>
      <c r="AU185" s="55"/>
      <c r="AV185" s="55"/>
      <c r="AW185" s="55"/>
      <c r="AX185" s="55"/>
      <c r="AY185" s="55"/>
      <c r="AZ185" s="55"/>
      <c r="BA185" s="55"/>
      <c r="BB185" s="55"/>
      <c r="BC185" s="55"/>
      <c r="BD185" s="55"/>
      <c r="BE185" s="55"/>
      <c r="BF185" s="55"/>
      <c r="BG185" s="55"/>
      <c r="BH185" s="55"/>
      <c r="BI185" s="55"/>
    </row>
    <row r="186" spans="1:61" ht="15" customHeight="1" x14ac:dyDescent="0.25">
      <c r="A186" s="55"/>
      <c r="B186" s="301"/>
      <c r="C186" s="301"/>
      <c r="D186" s="302"/>
      <c r="E186" s="279"/>
      <c r="F186" s="274"/>
      <c r="G186" s="274"/>
      <c r="H186" s="274"/>
      <c r="I186" s="274"/>
      <c r="J186" s="112" t="str">
        <f>IF(AND('Mapa final'!$AB$97="Baja",'Mapa final'!$AD$97="Leve"),CONCATENATE("R31C",'Mapa final'!$R$97),"")</f>
        <v/>
      </c>
      <c r="K186" s="53" t="str">
        <f>IF(AND('Mapa final'!$AB$98="Baja",'Mapa final'!$AD$98="Leve"),CONCATENATE("R31C",'Mapa final'!$R$98),"")</f>
        <v/>
      </c>
      <c r="L186" s="113" t="str">
        <f>IF(AND('Mapa final'!$AB$99="Baja",'Mapa final'!$AD$99="Leve"),CONCATENATE("R31C",'Mapa final'!$R$99),"")</f>
        <v/>
      </c>
      <c r="M186" s="48" t="str">
        <f>IF(AND('Mapa final'!$AB$97="Baja",'Mapa final'!$AD$97="Menor"),CONCATENATE("R31C",'Mapa final'!$R$97),"")</f>
        <v/>
      </c>
      <c r="N186" s="49" t="str">
        <f>IF(AND('Mapa final'!$AB$98="Baja",'Mapa final'!$AD$98="Menor"),CONCATENATE("R31C",'Mapa final'!$R$98),"")</f>
        <v/>
      </c>
      <c r="O186" s="108" t="str">
        <f>IF(AND('Mapa final'!$AB$99="Baja",'Mapa final'!$AD$99="Menor"),CONCATENATE("R31C",'Mapa final'!$R$99),"")</f>
        <v/>
      </c>
      <c r="P186" s="48" t="str">
        <f>IF(AND('Mapa final'!$AB$97="Baja",'Mapa final'!$AD$97="Moderado"),CONCATENATE("R31C",'Mapa final'!$R$97),"")</f>
        <v>R31C1</v>
      </c>
      <c r="Q186" s="49" t="str">
        <f>IF(AND('Mapa final'!$AB$98="Baja",'Mapa final'!$AD$98="Moderado"),CONCATENATE("R31C",'Mapa final'!$R$98),"")</f>
        <v/>
      </c>
      <c r="R186" s="108" t="str">
        <f>IF(AND('Mapa final'!$AB$99="Baja",'Mapa final'!$AD$99="Moderado"),CONCATENATE("R31C",'Mapa final'!$R$99),"")</f>
        <v/>
      </c>
      <c r="S186" s="102" t="str">
        <f>IF(AND('Mapa final'!$AB$97="Baja",'Mapa final'!$AD$97="Mayor"),CONCATENATE("R31C",'Mapa final'!$R$97),"")</f>
        <v/>
      </c>
      <c r="T186" s="41" t="str">
        <f>IF(AND('Mapa final'!$AB$98="Baja",'Mapa final'!$AD$98="Mayor"),CONCATENATE("R31C",'Mapa final'!$R$98),"")</f>
        <v/>
      </c>
      <c r="U186" s="103" t="str">
        <f>IF(AND('Mapa final'!$AB$99="Baja",'Mapa final'!$AD$99="Mayor"),CONCATENATE("R31C",'Mapa final'!$R$99),"")</f>
        <v/>
      </c>
      <c r="V186" s="42" t="str">
        <f>IF(AND('Mapa final'!$AB$97="Baja",'Mapa final'!$AD$97="Catastrófico"),CONCATENATE("R31C",'Mapa final'!$R$97),"")</f>
        <v/>
      </c>
      <c r="W186" s="43" t="str">
        <f>IF(AND('Mapa final'!$AB$98="Baja",'Mapa final'!$AD$98="Catastrófico"),CONCATENATE("R31C",'Mapa final'!$R$98),"")</f>
        <v/>
      </c>
      <c r="X186" s="97" t="str">
        <f>IF(AND('Mapa final'!$AB$99="Baja",'Mapa final'!$AD$99="Catastrófico"),CONCATENATE("R31C",'Mapa final'!$R$99),"")</f>
        <v/>
      </c>
      <c r="Y186" s="55"/>
      <c r="Z186" s="306"/>
      <c r="AA186" s="307"/>
      <c r="AB186" s="307"/>
      <c r="AC186" s="307"/>
      <c r="AD186" s="307"/>
      <c r="AE186" s="308"/>
      <c r="AF186" s="55"/>
      <c r="AG186" s="55"/>
      <c r="AH186" s="55"/>
      <c r="AI186" s="55"/>
      <c r="AJ186" s="55"/>
      <c r="AK186" s="55"/>
      <c r="AL186" s="55"/>
      <c r="AM186" s="55"/>
      <c r="AN186" s="55"/>
      <c r="AO186" s="55"/>
      <c r="AP186" s="55"/>
      <c r="AQ186" s="55"/>
      <c r="AR186" s="55"/>
      <c r="AS186" s="55"/>
      <c r="AT186" s="55"/>
      <c r="AU186" s="55"/>
      <c r="AV186" s="55"/>
      <c r="AW186" s="55"/>
      <c r="AX186" s="55"/>
      <c r="AY186" s="55"/>
      <c r="AZ186" s="55"/>
      <c r="BA186" s="55"/>
      <c r="BB186" s="55"/>
      <c r="BC186" s="55"/>
      <c r="BD186" s="55"/>
      <c r="BE186" s="55"/>
      <c r="BF186" s="55"/>
      <c r="BG186" s="55"/>
      <c r="BH186" s="55"/>
      <c r="BI186" s="55"/>
    </row>
    <row r="187" spans="1:61" ht="15" customHeight="1" x14ac:dyDescent="0.25">
      <c r="A187" s="55"/>
      <c r="B187" s="301"/>
      <c r="C187" s="301"/>
      <c r="D187" s="302"/>
      <c r="E187" s="279"/>
      <c r="F187" s="274"/>
      <c r="G187" s="274"/>
      <c r="H187" s="274"/>
      <c r="I187" s="274"/>
      <c r="J187" s="112" t="e">
        <f>IF(AND('Mapa final'!#REF!="Baja",'Mapa final'!#REF!="Leve"),CONCATENATE("R32C",'Mapa final'!#REF!),"")</f>
        <v>#REF!</v>
      </c>
      <c r="K187" s="53" t="e">
        <f>IF(AND('Mapa final'!#REF!="Baja",'Mapa final'!#REF!="Leve"),CONCATENATE("R32C",'Mapa final'!#REF!),"")</f>
        <v>#REF!</v>
      </c>
      <c r="L187" s="113" t="e">
        <f>IF(AND('Mapa final'!#REF!="Baja",'Mapa final'!#REF!="Leve"),CONCATENATE("R32C",'Mapa final'!#REF!),"")</f>
        <v>#REF!</v>
      </c>
      <c r="M187" s="48" t="e">
        <f>IF(AND('Mapa final'!#REF!="Baja",'Mapa final'!#REF!="Menor"),CONCATENATE("R32C",'Mapa final'!#REF!),"")</f>
        <v>#REF!</v>
      </c>
      <c r="N187" s="49" t="e">
        <f>IF(AND('Mapa final'!#REF!="Baja",'Mapa final'!#REF!="Menor"),CONCATENATE("R32C",'Mapa final'!#REF!),"")</f>
        <v>#REF!</v>
      </c>
      <c r="O187" s="108" t="e">
        <f>IF(AND('Mapa final'!#REF!="Baja",'Mapa final'!#REF!="Menor"),CONCATENATE("R32C",'Mapa final'!#REF!),"")</f>
        <v>#REF!</v>
      </c>
      <c r="P187" s="48" t="e">
        <f>IF(AND('Mapa final'!#REF!="Baja",'Mapa final'!#REF!="Moderado"),CONCATENATE("R32C",'Mapa final'!#REF!),"")</f>
        <v>#REF!</v>
      </c>
      <c r="Q187" s="49" t="e">
        <f>IF(AND('Mapa final'!#REF!="Baja",'Mapa final'!#REF!="Moderado"),CONCATENATE("R32C",'Mapa final'!#REF!),"")</f>
        <v>#REF!</v>
      </c>
      <c r="R187" s="108" t="e">
        <f>IF(AND('Mapa final'!#REF!="Baja",'Mapa final'!#REF!="Moderado"),CONCATENATE("R32C",'Mapa final'!#REF!),"")</f>
        <v>#REF!</v>
      </c>
      <c r="S187" s="102" t="e">
        <f>IF(AND('Mapa final'!#REF!="Baja",'Mapa final'!#REF!="Mayor"),CONCATENATE("R32C",'Mapa final'!#REF!),"")</f>
        <v>#REF!</v>
      </c>
      <c r="T187" s="41" t="e">
        <f>IF(AND('Mapa final'!#REF!="Baja",'Mapa final'!#REF!="Mayor"),CONCATENATE("R32C",'Mapa final'!#REF!),"")</f>
        <v>#REF!</v>
      </c>
      <c r="U187" s="103" t="e">
        <f>IF(AND('Mapa final'!#REF!="Baja",'Mapa final'!#REF!="Mayor"),CONCATENATE("R32C",'Mapa final'!#REF!),"")</f>
        <v>#REF!</v>
      </c>
      <c r="V187" s="42" t="e">
        <f>IF(AND('Mapa final'!#REF!="Baja",'Mapa final'!#REF!="Catastrófico"),CONCATENATE("R32C",'Mapa final'!#REF!),"")</f>
        <v>#REF!</v>
      </c>
      <c r="W187" s="43" t="e">
        <f>IF(AND('Mapa final'!#REF!="Baja",'Mapa final'!#REF!="Catastrófico"),CONCATENATE("R32C",'Mapa final'!#REF!),"")</f>
        <v>#REF!</v>
      </c>
      <c r="X187" s="97" t="e">
        <f>IF(AND('Mapa final'!#REF!="Baja",'Mapa final'!#REF!="Catastrófico"),CONCATENATE("R32C",'Mapa final'!#REF!),"")</f>
        <v>#REF!</v>
      </c>
      <c r="Y187" s="55"/>
      <c r="Z187" s="306"/>
      <c r="AA187" s="307"/>
      <c r="AB187" s="307"/>
      <c r="AC187" s="307"/>
      <c r="AD187" s="307"/>
      <c r="AE187" s="308"/>
      <c r="AF187" s="55"/>
      <c r="AG187" s="55"/>
      <c r="AH187" s="55"/>
      <c r="AI187" s="55"/>
      <c r="AJ187" s="55"/>
      <c r="AK187" s="55"/>
      <c r="AL187" s="55"/>
      <c r="AM187" s="55"/>
      <c r="AN187" s="55"/>
      <c r="AO187" s="55"/>
      <c r="AP187" s="55"/>
      <c r="AQ187" s="55"/>
      <c r="AR187" s="55"/>
      <c r="AS187" s="55"/>
      <c r="AT187" s="55"/>
      <c r="AU187" s="55"/>
      <c r="AV187" s="55"/>
      <c r="AW187" s="55"/>
      <c r="AX187" s="55"/>
      <c r="AY187" s="55"/>
      <c r="AZ187" s="55"/>
      <c r="BA187" s="55"/>
      <c r="BB187" s="55"/>
      <c r="BC187" s="55"/>
      <c r="BD187" s="55"/>
      <c r="BE187" s="55"/>
      <c r="BF187" s="55"/>
      <c r="BG187" s="55"/>
      <c r="BH187" s="55"/>
      <c r="BI187" s="55"/>
    </row>
    <row r="188" spans="1:61" ht="15" customHeight="1" x14ac:dyDescent="0.25">
      <c r="A188" s="55"/>
      <c r="B188" s="301"/>
      <c r="C188" s="301"/>
      <c r="D188" s="302"/>
      <c r="E188" s="279"/>
      <c r="F188" s="274"/>
      <c r="G188" s="274"/>
      <c r="H188" s="274"/>
      <c r="I188" s="274"/>
      <c r="J188" s="112" t="str">
        <f>IF(AND('Mapa final'!$AB$100="Baja",'Mapa final'!$AD$100="Leve"),CONCATENATE("R33C",'Mapa final'!$R$100),"")</f>
        <v/>
      </c>
      <c r="K188" s="53" t="str">
        <f>IF(AND('Mapa final'!$AB$101="Baja",'Mapa final'!$AD$101="Leve"),CONCATENATE("R33C",'Mapa final'!$R$101),"")</f>
        <v/>
      </c>
      <c r="L188" s="113" t="str">
        <f>IF(AND('Mapa final'!$AB$102="Baja",'Mapa final'!$AD$102="Leve"),CONCATENATE("R33C",'Mapa final'!$R$102),"")</f>
        <v/>
      </c>
      <c r="M188" s="48" t="str">
        <f>IF(AND('Mapa final'!$AB$100="Baja",'Mapa final'!$AD$100="Menor"),CONCATENATE("R33C",'Mapa final'!$R$100),"")</f>
        <v/>
      </c>
      <c r="N188" s="49" t="str">
        <f>IF(AND('Mapa final'!$AB$101="Baja",'Mapa final'!$AD$101="Menor"),CONCATENATE("R33C",'Mapa final'!$R$101),"")</f>
        <v/>
      </c>
      <c r="O188" s="108" t="str">
        <f>IF(AND('Mapa final'!$AB$102="Baja",'Mapa final'!$AD$102="Menor"),CONCATENATE("R33C",'Mapa final'!$R$102),"")</f>
        <v/>
      </c>
      <c r="P188" s="48" t="str">
        <f>IF(AND('Mapa final'!$AB$100="Baja",'Mapa final'!$AD$100="Moderado"),CONCATENATE("R33C",'Mapa final'!$R$100),"")</f>
        <v/>
      </c>
      <c r="Q188" s="49" t="str">
        <f>IF(AND('Mapa final'!$AB$101="Baja",'Mapa final'!$AD$101="Moderado"),CONCATENATE("R33C",'Mapa final'!$R$101),"")</f>
        <v/>
      </c>
      <c r="R188" s="108" t="str">
        <f>IF(AND('Mapa final'!$AB$102="Baja",'Mapa final'!$AD$102="Moderado"),CONCATENATE("R33C",'Mapa final'!$R$102),"")</f>
        <v/>
      </c>
      <c r="S188" s="102" t="str">
        <f>IF(AND('Mapa final'!$AB$100="Baja",'Mapa final'!$AD$100="Mayor"),CONCATENATE("R33C",'Mapa final'!$R$100),"")</f>
        <v/>
      </c>
      <c r="T188" s="41" t="str">
        <f>IF(AND('Mapa final'!$AB$101="Baja",'Mapa final'!$AD$101="Mayor"),CONCATENATE("R33C",'Mapa final'!$R$101),"")</f>
        <v/>
      </c>
      <c r="U188" s="103" t="str">
        <f>IF(AND('Mapa final'!$AB$102="Baja",'Mapa final'!$AD$102="Mayor"),CONCATENATE("R33C",'Mapa final'!$R$102),"")</f>
        <v/>
      </c>
      <c r="V188" s="42" t="str">
        <f>IF(AND('Mapa final'!$AB$100="Baja",'Mapa final'!$AD$100="Catastrófico"),CONCATENATE("R33C",'Mapa final'!$R$100),"")</f>
        <v/>
      </c>
      <c r="W188" s="43" t="str">
        <f>IF(AND('Mapa final'!$AB$101="Baja",'Mapa final'!$AD$101="Catastrófico"),CONCATENATE("R33C",'Mapa final'!$R$101),"")</f>
        <v/>
      </c>
      <c r="X188" s="97" t="str">
        <f>IF(AND('Mapa final'!$AB$102="Baja",'Mapa final'!$AD$102="Catastrófico"),CONCATENATE("R33C",'Mapa final'!$R$102),"")</f>
        <v/>
      </c>
      <c r="Y188" s="55"/>
      <c r="Z188" s="306"/>
      <c r="AA188" s="307"/>
      <c r="AB188" s="307"/>
      <c r="AC188" s="307"/>
      <c r="AD188" s="307"/>
      <c r="AE188" s="308"/>
      <c r="AF188" s="55"/>
      <c r="AG188" s="55"/>
      <c r="AH188" s="55"/>
      <c r="AI188" s="55"/>
      <c r="AJ188" s="55"/>
      <c r="AK188" s="55"/>
      <c r="AL188" s="55"/>
      <c r="AM188" s="55"/>
      <c r="AN188" s="55"/>
      <c r="AO188" s="55"/>
      <c r="AP188" s="55"/>
      <c r="AQ188" s="55"/>
      <c r="AR188" s="55"/>
      <c r="AS188" s="55"/>
      <c r="AT188" s="55"/>
      <c r="AU188" s="55"/>
      <c r="AV188" s="55"/>
      <c r="AW188" s="55"/>
      <c r="AX188" s="55"/>
      <c r="AY188" s="55"/>
      <c r="AZ188" s="55"/>
      <c r="BA188" s="55"/>
      <c r="BB188" s="55"/>
      <c r="BC188" s="55"/>
      <c r="BD188" s="55"/>
      <c r="BE188" s="55"/>
      <c r="BF188" s="55"/>
      <c r="BG188" s="55"/>
      <c r="BH188" s="55"/>
      <c r="BI188" s="55"/>
    </row>
    <row r="189" spans="1:61" ht="15" customHeight="1" x14ac:dyDescent="0.25">
      <c r="A189" s="55"/>
      <c r="B189" s="301"/>
      <c r="C189" s="301"/>
      <c r="D189" s="302"/>
      <c r="E189" s="279"/>
      <c r="F189" s="274"/>
      <c r="G189" s="274"/>
      <c r="H189" s="274"/>
      <c r="I189" s="274"/>
      <c r="J189" s="112" t="str">
        <f>IF(AND('Mapa final'!$AB$103="Baja",'Mapa final'!$AD$103="Leve"),CONCATENATE("R34C",'Mapa final'!$R$103),"")</f>
        <v/>
      </c>
      <c r="K189" s="53" t="str">
        <f>IF(AND('Mapa final'!$AB$104="Baja",'Mapa final'!$AD$104="Leve"),CONCATENATE("R34C",'Mapa final'!$R$104),"")</f>
        <v/>
      </c>
      <c r="L189" s="113" t="str">
        <f>IF(AND('Mapa final'!$AB$105="Baja",'Mapa final'!$AD$105="Leve"),CONCATENATE("R34C",'Mapa final'!$R$105),"")</f>
        <v/>
      </c>
      <c r="M189" s="48" t="str">
        <f>IF(AND('Mapa final'!$AB$103="Baja",'Mapa final'!$AD$103="Menor"),CONCATENATE("R34C",'Mapa final'!$R$103),"")</f>
        <v/>
      </c>
      <c r="N189" s="49" t="str">
        <f>IF(AND('Mapa final'!$AB$104="Baja",'Mapa final'!$AD$104="Menor"),CONCATENATE("R34C",'Mapa final'!$R$104),"")</f>
        <v/>
      </c>
      <c r="O189" s="108" t="str">
        <f>IF(AND('Mapa final'!$AB$105="Baja",'Mapa final'!$AD$105="Menor"),CONCATENATE("R34C",'Mapa final'!$R$105),"")</f>
        <v/>
      </c>
      <c r="P189" s="48" t="str">
        <f>IF(AND('Mapa final'!$AB$103="Baja",'Mapa final'!$AD$103="Moderado"),CONCATENATE("R34C",'Mapa final'!$R$103),"")</f>
        <v/>
      </c>
      <c r="Q189" s="49" t="str">
        <f>IF(AND('Mapa final'!$AB$104="Baja",'Mapa final'!$AD$104="Moderado"),CONCATENATE("R34C",'Mapa final'!$R$104),"")</f>
        <v>R34C2</v>
      </c>
      <c r="R189" s="108" t="str">
        <f>IF(AND('Mapa final'!$AB$105="Baja",'Mapa final'!$AD$105="Moderado"),CONCATENATE("R34C",'Mapa final'!$R$105),"")</f>
        <v/>
      </c>
      <c r="S189" s="102" t="str">
        <f>IF(AND('Mapa final'!$AB$103="Baja",'Mapa final'!$AD$103="Mayor"),CONCATENATE("R34C",'Mapa final'!$R$103),"")</f>
        <v/>
      </c>
      <c r="T189" s="41" t="str">
        <f>IF(AND('Mapa final'!$AB$104="Baja",'Mapa final'!$AD$104="Mayor"),CONCATENATE("R34C",'Mapa final'!$R$104),"")</f>
        <v/>
      </c>
      <c r="U189" s="103" t="str">
        <f>IF(AND('Mapa final'!$AB$105="Baja",'Mapa final'!$AD$105="Mayor"),CONCATENATE("R34C",'Mapa final'!$R$105),"")</f>
        <v/>
      </c>
      <c r="V189" s="42" t="str">
        <f>IF(AND('Mapa final'!$AB$103="Baja",'Mapa final'!$AD$103="Catastrófico"),CONCATENATE("R34C",'Mapa final'!$R$103),"")</f>
        <v/>
      </c>
      <c r="W189" s="43" t="str">
        <f>IF(AND('Mapa final'!$AB$104="Baja",'Mapa final'!$AD$104="Catastrófico"),CONCATENATE("R34C",'Mapa final'!$R$104),"")</f>
        <v/>
      </c>
      <c r="X189" s="97" t="str">
        <f>IF(AND('Mapa final'!$AB$105="Baja",'Mapa final'!$AD$105="Catastrófico"),CONCATENATE("R34C",'Mapa final'!$R$105),"")</f>
        <v/>
      </c>
      <c r="Y189" s="55"/>
      <c r="Z189" s="306"/>
      <c r="AA189" s="307"/>
      <c r="AB189" s="307"/>
      <c r="AC189" s="307"/>
      <c r="AD189" s="307"/>
      <c r="AE189" s="308"/>
      <c r="AF189" s="55"/>
      <c r="AG189" s="55"/>
      <c r="AH189" s="55"/>
      <c r="AI189" s="55"/>
      <c r="AJ189" s="55"/>
      <c r="AK189" s="55"/>
      <c r="AL189" s="55"/>
      <c r="AM189" s="55"/>
      <c r="AN189" s="55"/>
      <c r="AO189" s="55"/>
      <c r="AP189" s="55"/>
      <c r="AQ189" s="55"/>
      <c r="AR189" s="55"/>
      <c r="AS189" s="55"/>
      <c r="AT189" s="55"/>
      <c r="AU189" s="55"/>
      <c r="AV189" s="55"/>
      <c r="AW189" s="55"/>
      <c r="AX189" s="55"/>
      <c r="AY189" s="55"/>
      <c r="AZ189" s="55"/>
      <c r="BA189" s="55"/>
      <c r="BB189" s="55"/>
      <c r="BC189" s="55"/>
      <c r="BD189" s="55"/>
      <c r="BE189" s="55"/>
      <c r="BF189" s="55"/>
      <c r="BG189" s="55"/>
      <c r="BH189" s="55"/>
      <c r="BI189" s="55"/>
    </row>
    <row r="190" spans="1:61" ht="15" customHeight="1" x14ac:dyDescent="0.25">
      <c r="A190" s="55"/>
      <c r="B190" s="301"/>
      <c r="C190" s="301"/>
      <c r="D190" s="302"/>
      <c r="E190" s="279"/>
      <c r="F190" s="274"/>
      <c r="G190" s="274"/>
      <c r="H190" s="274"/>
      <c r="I190" s="274"/>
      <c r="J190" s="112" t="str">
        <f>IF(AND('Mapa final'!$AB$106="Baja",'Mapa final'!$AD$106="Leve"),CONCATENATE("R35C",'Mapa final'!$R$106),"")</f>
        <v/>
      </c>
      <c r="K190" s="53" t="str">
        <f>IF(AND('Mapa final'!$AB$107="Baja",'Mapa final'!$AD$107="Leve"),CONCATENATE("R35C",'Mapa final'!$R$107),"")</f>
        <v/>
      </c>
      <c r="L190" s="113" t="str">
        <f>IF(AND('Mapa final'!$AB$108="Baja",'Mapa final'!$AD$108="Leve"),CONCATENATE("R35C",'Mapa final'!$R$108),"")</f>
        <v/>
      </c>
      <c r="M190" s="48" t="str">
        <f>IF(AND('Mapa final'!$AB$106="Baja",'Mapa final'!$AD$106="Menor"),CONCATENATE("R35C",'Mapa final'!$R$106),"")</f>
        <v/>
      </c>
      <c r="N190" s="49" t="str">
        <f>IF(AND('Mapa final'!$AB$107="Baja",'Mapa final'!$AD$107="Menor"),CONCATENATE("R35C",'Mapa final'!$R$107),"")</f>
        <v/>
      </c>
      <c r="O190" s="108" t="str">
        <f>IF(AND('Mapa final'!$AB$108="Baja",'Mapa final'!$AD$108="Menor"),CONCATENATE("R35C",'Mapa final'!$R$108),"")</f>
        <v/>
      </c>
      <c r="P190" s="48" t="str">
        <f>IF(AND('Mapa final'!$AB$106="Baja",'Mapa final'!$AD$106="Moderado"),CONCATENATE("R35C",'Mapa final'!$R$106),"")</f>
        <v>R35C1</v>
      </c>
      <c r="Q190" s="49" t="str">
        <f>IF(AND('Mapa final'!$AB$107="Baja",'Mapa final'!$AD$107="Moderado"),CONCATENATE("R35C",'Mapa final'!$R$107),"")</f>
        <v>R35C2</v>
      </c>
      <c r="R190" s="108" t="str">
        <f>IF(AND('Mapa final'!$AB$108="Baja",'Mapa final'!$AD$108="Moderado"),CONCATENATE("R35C",'Mapa final'!$R$108),"")</f>
        <v/>
      </c>
      <c r="S190" s="102" t="str">
        <f>IF(AND('Mapa final'!$AB$106="Baja",'Mapa final'!$AD$106="Mayor"),CONCATENATE("R35C",'Mapa final'!$R$106),"")</f>
        <v/>
      </c>
      <c r="T190" s="41" t="str">
        <f>IF(AND('Mapa final'!$AB$107="Baja",'Mapa final'!$AD$107="Mayor"),CONCATENATE("R35C",'Mapa final'!$R$107),"")</f>
        <v/>
      </c>
      <c r="U190" s="103" t="str">
        <f>IF(AND('Mapa final'!$AB$108="Baja",'Mapa final'!$AD$108="Mayor"),CONCATENATE("R35C",'Mapa final'!$R$108),"")</f>
        <v/>
      </c>
      <c r="V190" s="42" t="str">
        <f>IF(AND('Mapa final'!$AB$106="Baja",'Mapa final'!$AD$106="Catastrófico"),CONCATENATE("R35C",'Mapa final'!$R$106),"")</f>
        <v/>
      </c>
      <c r="W190" s="43" t="str">
        <f>IF(AND('Mapa final'!$AB$107="Baja",'Mapa final'!$AD$107="Catastrófico"),CONCATENATE("R35C",'Mapa final'!$R$107),"")</f>
        <v/>
      </c>
      <c r="X190" s="97" t="str">
        <f>IF(AND('Mapa final'!$AB$108="Baja",'Mapa final'!$AD$108="Catastrófico"),CONCATENATE("R35C",'Mapa final'!$R$108),"")</f>
        <v/>
      </c>
      <c r="Y190" s="55"/>
      <c r="Z190" s="306"/>
      <c r="AA190" s="307"/>
      <c r="AB190" s="307"/>
      <c r="AC190" s="307"/>
      <c r="AD190" s="307"/>
      <c r="AE190" s="308"/>
      <c r="AF190" s="55"/>
      <c r="AG190" s="55"/>
      <c r="AH190" s="55"/>
      <c r="AI190" s="55"/>
      <c r="AJ190" s="55"/>
      <c r="AK190" s="55"/>
      <c r="AL190" s="55"/>
      <c r="AM190" s="55"/>
      <c r="AN190" s="55"/>
      <c r="AO190" s="55"/>
      <c r="AP190" s="55"/>
      <c r="AQ190" s="55"/>
      <c r="AR190" s="55"/>
      <c r="AS190" s="55"/>
      <c r="AT190" s="55"/>
      <c r="AU190" s="55"/>
      <c r="AV190" s="55"/>
      <c r="AW190" s="55"/>
      <c r="AX190" s="55"/>
      <c r="AY190" s="55"/>
      <c r="AZ190" s="55"/>
      <c r="BA190" s="55"/>
      <c r="BB190" s="55"/>
      <c r="BC190" s="55"/>
      <c r="BD190" s="55"/>
      <c r="BE190" s="55"/>
      <c r="BF190" s="55"/>
      <c r="BG190" s="55"/>
      <c r="BH190" s="55"/>
      <c r="BI190" s="55"/>
    </row>
    <row r="191" spans="1:61" ht="15" customHeight="1" x14ac:dyDescent="0.25">
      <c r="A191" s="55"/>
      <c r="B191" s="301"/>
      <c r="C191" s="301"/>
      <c r="D191" s="302"/>
      <c r="E191" s="279"/>
      <c r="F191" s="274"/>
      <c r="G191" s="274"/>
      <c r="H191" s="274"/>
      <c r="I191" s="274"/>
      <c r="J191" s="112" t="str">
        <f>IF(AND('Mapa final'!$AB$109="Baja",'Mapa final'!$AD$109="Leve"),CONCATENATE("R36C",'Mapa final'!$R$109),"")</f>
        <v/>
      </c>
      <c r="K191" s="53" t="str">
        <f>IF(AND('Mapa final'!$AB$110="Baja",'Mapa final'!$AD$110="Leve"),CONCATENATE("R36C",'Mapa final'!$R$110),"")</f>
        <v/>
      </c>
      <c r="L191" s="113" t="str">
        <f>IF(AND('Mapa final'!$AB$111="Baja",'Mapa final'!$AD$111="Leve"),CONCATENATE("R36C",'Mapa final'!$R$111),"")</f>
        <v/>
      </c>
      <c r="M191" s="48" t="str">
        <f>IF(AND('Mapa final'!$AB$109="Baja",'Mapa final'!$AD$109="Menor"),CONCATENATE("R36C",'Mapa final'!$R$109),"")</f>
        <v/>
      </c>
      <c r="N191" s="49" t="str">
        <f>IF(AND('Mapa final'!$AB$110="Baja",'Mapa final'!$AD$110="Menor"),CONCATENATE("R36C",'Mapa final'!$R$110),"")</f>
        <v/>
      </c>
      <c r="O191" s="108" t="str">
        <f>IF(AND('Mapa final'!$AB$111="Baja",'Mapa final'!$AD$111="Menor"),CONCATENATE("R36C",'Mapa final'!$R$111),"")</f>
        <v/>
      </c>
      <c r="P191" s="48" t="str">
        <f>IF(AND('Mapa final'!$AB$109="Baja",'Mapa final'!$AD$109="Moderado"),CONCATENATE("R36C",'Mapa final'!$R$109),"")</f>
        <v/>
      </c>
      <c r="Q191" s="49" t="str">
        <f>IF(AND('Mapa final'!$AB$110="Baja",'Mapa final'!$AD$110="Moderado"),CONCATENATE("R36C",'Mapa final'!$R$110),"")</f>
        <v/>
      </c>
      <c r="R191" s="108" t="str">
        <f>IF(AND('Mapa final'!$AB$111="Baja",'Mapa final'!$AD$111="Moderado"),CONCATENATE("R36C",'Mapa final'!$R$111),"")</f>
        <v/>
      </c>
      <c r="S191" s="102" t="str">
        <f>IF(AND('Mapa final'!$AB$109="Baja",'Mapa final'!$AD$109="Mayor"),CONCATENATE("R36C",'Mapa final'!$R$109),"")</f>
        <v>R36C1</v>
      </c>
      <c r="T191" s="41" t="str">
        <f>IF(AND('Mapa final'!$AB$110="Baja",'Mapa final'!$AD$110="Mayor"),CONCATENATE("R36C",'Mapa final'!$R$110),"")</f>
        <v>R36C2</v>
      </c>
      <c r="U191" s="103" t="str">
        <f>IF(AND('Mapa final'!$AB$111="Baja",'Mapa final'!$AD$111="Mayor"),CONCATENATE("R36C",'Mapa final'!$R$111),"")</f>
        <v/>
      </c>
      <c r="V191" s="42" t="str">
        <f>IF(AND('Mapa final'!$AB$109="Baja",'Mapa final'!$AD$109="Catastrófico"),CONCATENATE("R36C",'Mapa final'!$R$109),"")</f>
        <v/>
      </c>
      <c r="W191" s="43" t="str">
        <f>IF(AND('Mapa final'!$AB$110="Baja",'Mapa final'!$AD$110="Catastrófico"),CONCATENATE("R36C",'Mapa final'!$R$110),"")</f>
        <v/>
      </c>
      <c r="X191" s="97" t="str">
        <f>IF(AND('Mapa final'!$AB$111="Baja",'Mapa final'!$AD$111="Catastrófico"),CONCATENATE("R36C",'Mapa final'!$R$111),"")</f>
        <v/>
      </c>
      <c r="Y191" s="55"/>
      <c r="Z191" s="306"/>
      <c r="AA191" s="307"/>
      <c r="AB191" s="307"/>
      <c r="AC191" s="307"/>
      <c r="AD191" s="307"/>
      <c r="AE191" s="308"/>
      <c r="AF191" s="55"/>
      <c r="AG191" s="55"/>
      <c r="AH191" s="55"/>
      <c r="AI191" s="55"/>
      <c r="AJ191" s="55"/>
      <c r="AK191" s="55"/>
      <c r="AL191" s="55"/>
      <c r="AM191" s="55"/>
      <c r="AN191" s="55"/>
      <c r="AO191" s="55"/>
      <c r="AP191" s="55"/>
      <c r="AQ191" s="55"/>
      <c r="AR191" s="55"/>
      <c r="AS191" s="55"/>
      <c r="AT191" s="55"/>
      <c r="AU191" s="55"/>
      <c r="AV191" s="55"/>
      <c r="AW191" s="55"/>
      <c r="AX191" s="55"/>
      <c r="AY191" s="55"/>
      <c r="AZ191" s="55"/>
      <c r="BA191" s="55"/>
      <c r="BB191" s="55"/>
      <c r="BC191" s="55"/>
      <c r="BD191" s="55"/>
      <c r="BE191" s="55"/>
      <c r="BF191" s="55"/>
      <c r="BG191" s="55"/>
      <c r="BH191" s="55"/>
      <c r="BI191" s="55"/>
    </row>
    <row r="192" spans="1:61" ht="15" customHeight="1" x14ac:dyDescent="0.25">
      <c r="A192" s="55"/>
      <c r="B192" s="301"/>
      <c r="C192" s="301"/>
      <c r="D192" s="302"/>
      <c r="E192" s="279"/>
      <c r="F192" s="274"/>
      <c r="G192" s="274"/>
      <c r="H192" s="274"/>
      <c r="I192" s="274"/>
      <c r="J192" s="112" t="str">
        <f>IF(AND('Mapa final'!$AB$112="Baja",'Mapa final'!$AD$112="Leve"),CONCATENATE("R37C",'Mapa final'!$R$112),"")</f>
        <v/>
      </c>
      <c r="K192" s="53" t="str">
        <f>IF(AND('Mapa final'!$AB$113="Baja",'Mapa final'!$AD$113="Leve"),CONCATENATE("R37C",'Mapa final'!$R$113),"")</f>
        <v/>
      </c>
      <c r="L192" s="113" t="str">
        <f>IF(AND('Mapa final'!$AB$114="Baja",'Mapa final'!$AD$114="Leve"),CONCATENATE("R37C",'Mapa final'!$R$114),"")</f>
        <v/>
      </c>
      <c r="M192" s="48" t="str">
        <f>IF(AND('Mapa final'!$AB$112="Baja",'Mapa final'!$AD$112="Menor"),CONCATENATE("R37C",'Mapa final'!$R$112),"")</f>
        <v>R37C1</v>
      </c>
      <c r="N192" s="49" t="str">
        <f>IF(AND('Mapa final'!$AB$113="Baja",'Mapa final'!$AD$113="Menor"),CONCATENATE("R37C",'Mapa final'!$R$113),"")</f>
        <v>R37C2</v>
      </c>
      <c r="O192" s="108" t="str">
        <f>IF(AND('Mapa final'!$AB$114="Baja",'Mapa final'!$AD$114="Menor"),CONCATENATE("R37C",'Mapa final'!$R$114),"")</f>
        <v/>
      </c>
      <c r="P192" s="48" t="str">
        <f>IF(AND('Mapa final'!$AB$112="Baja",'Mapa final'!$AD$112="Moderado"),CONCATENATE("R37C",'Mapa final'!$R$112),"")</f>
        <v/>
      </c>
      <c r="Q192" s="49" t="str">
        <f>IF(AND('Mapa final'!$AB$113="Baja",'Mapa final'!$AD$113="Moderado"),CONCATENATE("R37C",'Mapa final'!$R$113),"")</f>
        <v/>
      </c>
      <c r="R192" s="108" t="str">
        <f>IF(AND('Mapa final'!$AB$114="Baja",'Mapa final'!$AD$114="Moderado"),CONCATENATE("R37C",'Mapa final'!$R$114),"")</f>
        <v/>
      </c>
      <c r="S192" s="102" t="str">
        <f>IF(AND('Mapa final'!$AB$112="Baja",'Mapa final'!$AD$112="Mayor"),CONCATENATE("R37C",'Mapa final'!$R$112),"")</f>
        <v/>
      </c>
      <c r="T192" s="41" t="str">
        <f>IF(AND('Mapa final'!$AB$113="Baja",'Mapa final'!$AD$113="Mayor"),CONCATENATE("R37C",'Mapa final'!$R$113),"")</f>
        <v/>
      </c>
      <c r="U192" s="103" t="str">
        <f>IF(AND('Mapa final'!$AB$114="Baja",'Mapa final'!$AD$114="Mayor"),CONCATENATE("R37C",'Mapa final'!$R$114),"")</f>
        <v/>
      </c>
      <c r="V192" s="42" t="str">
        <f>IF(AND('Mapa final'!$AB$112="Baja",'Mapa final'!$AD$112="Catastrófico"),CONCATENATE("R37C",'Mapa final'!$R$112),"")</f>
        <v/>
      </c>
      <c r="W192" s="43" t="str">
        <f>IF(AND('Mapa final'!$AB$113="Baja",'Mapa final'!$AD$113="Catastrófico"),CONCATENATE("R37C",'Mapa final'!$R$113),"")</f>
        <v/>
      </c>
      <c r="X192" s="97" t="str">
        <f>IF(AND('Mapa final'!$AB$114="Baja",'Mapa final'!$AD$114="Catastrófico"),CONCATENATE("R37C",'Mapa final'!$R$114),"")</f>
        <v/>
      </c>
      <c r="Y192" s="55"/>
      <c r="Z192" s="306"/>
      <c r="AA192" s="307"/>
      <c r="AB192" s="307"/>
      <c r="AC192" s="307"/>
      <c r="AD192" s="307"/>
      <c r="AE192" s="308"/>
      <c r="AF192" s="55"/>
      <c r="AG192" s="55"/>
      <c r="AH192" s="55"/>
      <c r="AI192" s="55"/>
      <c r="AJ192" s="55"/>
      <c r="AK192" s="55"/>
      <c r="AL192" s="55"/>
      <c r="AM192" s="55"/>
      <c r="AN192" s="55"/>
      <c r="AO192" s="55"/>
      <c r="AP192" s="55"/>
      <c r="AQ192" s="55"/>
      <c r="AR192" s="55"/>
      <c r="AS192" s="55"/>
      <c r="AT192" s="55"/>
      <c r="AU192" s="55"/>
      <c r="AV192" s="55"/>
      <c r="AW192" s="55"/>
      <c r="AX192" s="55"/>
      <c r="AY192" s="55"/>
      <c r="AZ192" s="55"/>
      <c r="BA192" s="55"/>
      <c r="BB192" s="55"/>
      <c r="BC192" s="55"/>
      <c r="BD192" s="55"/>
      <c r="BE192" s="55"/>
      <c r="BF192" s="55"/>
      <c r="BG192" s="55"/>
      <c r="BH192" s="55"/>
      <c r="BI192" s="55"/>
    </row>
    <row r="193" spans="1:65" ht="15" customHeight="1" x14ac:dyDescent="0.25">
      <c r="A193" s="55"/>
      <c r="B193" s="301"/>
      <c r="C193" s="301"/>
      <c r="D193" s="302"/>
      <c r="E193" s="279"/>
      <c r="F193" s="274"/>
      <c r="G193" s="274"/>
      <c r="H193" s="274"/>
      <c r="I193" s="274"/>
      <c r="J193" s="112" t="str">
        <f>IF(AND('Mapa final'!$AB$115="Baja",'Mapa final'!$AD$115="Leve"),CONCATENATE("R38C",'Mapa final'!$R$115),"")</f>
        <v/>
      </c>
      <c r="K193" s="53" t="str">
        <f>IF(AND('Mapa final'!$AB$116="Baja",'Mapa final'!$AD$116="Leve"),CONCATENATE("R38C",'Mapa final'!$R$116),"")</f>
        <v/>
      </c>
      <c r="L193" s="113" t="str">
        <f>IF(AND('Mapa final'!$AB$117="Baja",'Mapa final'!$AD$117="Leve"),CONCATENATE("R38C",'Mapa final'!$R$117),"")</f>
        <v/>
      </c>
      <c r="M193" s="48" t="str">
        <f>IF(AND('Mapa final'!$AB$115="Baja",'Mapa final'!$AD$115="Menor"),CONCATENATE("R38C",'Mapa final'!$R$115),"")</f>
        <v>R38C1</v>
      </c>
      <c r="N193" s="49" t="str">
        <f>IF(AND('Mapa final'!$AB$116="Baja",'Mapa final'!$AD$116="Menor"),CONCATENATE("R38C",'Mapa final'!$R$116),"")</f>
        <v/>
      </c>
      <c r="O193" s="108" t="str">
        <f>IF(AND('Mapa final'!$AB$117="Baja",'Mapa final'!$AD$117="Menor"),CONCATENATE("R38C",'Mapa final'!$R$117),"")</f>
        <v/>
      </c>
      <c r="P193" s="48" t="str">
        <f>IF(AND('Mapa final'!$AB$115="Baja",'Mapa final'!$AD$115="Moderado"),CONCATENATE("R38C",'Mapa final'!$R$115),"")</f>
        <v/>
      </c>
      <c r="Q193" s="49" t="str">
        <f>IF(AND('Mapa final'!$AB$116="Baja",'Mapa final'!$AD$116="Moderado"),CONCATENATE("R38C",'Mapa final'!$R$116),"")</f>
        <v/>
      </c>
      <c r="R193" s="108" t="str">
        <f>IF(AND('Mapa final'!$AB$117="Baja",'Mapa final'!$AD$117="Moderado"),CONCATENATE("R38C",'Mapa final'!$R$117),"")</f>
        <v/>
      </c>
      <c r="S193" s="102" t="str">
        <f>IF(AND('Mapa final'!$AB$115="Baja",'Mapa final'!$AD$115="Mayor"),CONCATENATE("R38C",'Mapa final'!$R$115),"")</f>
        <v/>
      </c>
      <c r="T193" s="41" t="str">
        <f>IF(AND('Mapa final'!$AB$116="Baja",'Mapa final'!$AD$116="Mayor"),CONCATENATE("R38C",'Mapa final'!$R$116),"")</f>
        <v/>
      </c>
      <c r="U193" s="103" t="str">
        <f>IF(AND('Mapa final'!$AB$117="Baja",'Mapa final'!$AD$117="Mayor"),CONCATENATE("R38C",'Mapa final'!$R$117),"")</f>
        <v/>
      </c>
      <c r="V193" s="42" t="str">
        <f>IF(AND('Mapa final'!$AB$115="Baja",'Mapa final'!$AD$115="Catastrófico"),CONCATENATE("R38C",'Mapa final'!$R$115),"")</f>
        <v/>
      </c>
      <c r="W193" s="43" t="str">
        <f>IF(AND('Mapa final'!$AB$116="Baja",'Mapa final'!$AD$116="Catastrófico"),CONCATENATE("R38C",'Mapa final'!$R$116),"")</f>
        <v/>
      </c>
      <c r="X193" s="97" t="str">
        <f>IF(AND('Mapa final'!$AB$117="Baja",'Mapa final'!$AD$117="Catastrófico"),CONCATENATE("R38C",'Mapa final'!$R$117),"")</f>
        <v/>
      </c>
      <c r="Y193" s="55"/>
      <c r="Z193" s="306"/>
      <c r="AA193" s="307"/>
      <c r="AB193" s="307"/>
      <c r="AC193" s="307"/>
      <c r="AD193" s="307"/>
      <c r="AE193" s="308"/>
      <c r="AF193" s="55"/>
      <c r="AG193" s="55"/>
      <c r="AH193" s="55"/>
      <c r="AI193" s="55"/>
      <c r="AJ193" s="55"/>
      <c r="AK193" s="55"/>
      <c r="AL193" s="55"/>
      <c r="AM193" s="55"/>
      <c r="AN193" s="55"/>
      <c r="AO193" s="55"/>
      <c r="AP193" s="55"/>
      <c r="AQ193" s="55"/>
      <c r="AR193" s="55"/>
      <c r="AS193" s="55"/>
      <c r="AT193" s="55"/>
      <c r="AU193" s="55"/>
      <c r="AV193" s="55"/>
      <c r="AW193" s="55"/>
      <c r="AX193" s="55"/>
      <c r="AY193" s="55"/>
      <c r="AZ193" s="55"/>
      <c r="BA193" s="55"/>
      <c r="BB193" s="55"/>
      <c r="BC193" s="55"/>
      <c r="BD193" s="55"/>
      <c r="BE193" s="55"/>
      <c r="BF193" s="55"/>
      <c r="BG193" s="55"/>
      <c r="BH193" s="55"/>
      <c r="BI193" s="55"/>
    </row>
    <row r="194" spans="1:65" ht="15" customHeight="1" x14ac:dyDescent="0.25">
      <c r="A194" s="55"/>
      <c r="B194" s="301"/>
      <c r="C194" s="301"/>
      <c r="D194" s="302"/>
      <c r="E194" s="279"/>
      <c r="F194" s="274"/>
      <c r="G194" s="274"/>
      <c r="H194" s="274"/>
      <c r="I194" s="274"/>
      <c r="J194" s="112" t="str">
        <f>IF(AND('Mapa final'!$AB$118="Baja",'Mapa final'!$AD$118="Leve"),CONCATENATE("R39C",'Mapa final'!$R$118),"")</f>
        <v/>
      </c>
      <c r="K194" s="53" t="str">
        <f>IF(AND('Mapa final'!$AB$119="Baja",'Mapa final'!$AD$119="Leve"),CONCATENATE("R39C",'Mapa final'!$R$119),"")</f>
        <v/>
      </c>
      <c r="L194" s="113" t="str">
        <f>IF(AND('Mapa final'!$AB$120="Baja",'Mapa final'!$AD$120="Leve"),CONCATENATE("R39C",'Mapa final'!$R$120),"")</f>
        <v/>
      </c>
      <c r="M194" s="48" t="str">
        <f>IF(AND('Mapa final'!$AB$118="Baja",'Mapa final'!$AD$118="Menor"),CONCATENATE("R39C",'Mapa final'!$R$118),"")</f>
        <v/>
      </c>
      <c r="N194" s="49" t="str">
        <f>IF(AND('Mapa final'!$AB$119="Baja",'Mapa final'!$AD$119="Menor"),CONCATENATE("R39C",'Mapa final'!$R$119),"")</f>
        <v>R39C2</v>
      </c>
      <c r="O194" s="108" t="str">
        <f>IF(AND('Mapa final'!$AB$120="Baja",'Mapa final'!$AD$120="Menor"),CONCATENATE("R39C",'Mapa final'!$R$120),"")</f>
        <v>R39C3</v>
      </c>
      <c r="P194" s="48" t="str">
        <f>IF(AND('Mapa final'!$AB$118="Baja",'Mapa final'!$AD$118="Moderado"),CONCATENATE("R39C",'Mapa final'!$R$118),"")</f>
        <v/>
      </c>
      <c r="Q194" s="49" t="str">
        <f>IF(AND('Mapa final'!$AB$119="Baja",'Mapa final'!$AD$119="Moderado"),CONCATENATE("R39C",'Mapa final'!$R$119),"")</f>
        <v/>
      </c>
      <c r="R194" s="108" t="str">
        <f>IF(AND('Mapa final'!$AB$120="Baja",'Mapa final'!$AD$120="Moderado"),CONCATENATE("R39C",'Mapa final'!$R$120),"")</f>
        <v/>
      </c>
      <c r="S194" s="102" t="str">
        <f>IF(AND('Mapa final'!$AB$118="Baja",'Mapa final'!$AD$118="Mayor"),CONCATENATE("R39C",'Mapa final'!$R$118),"")</f>
        <v/>
      </c>
      <c r="T194" s="41" t="str">
        <f>IF(AND('Mapa final'!$AB$119="Baja",'Mapa final'!$AD$119="Mayor"),CONCATENATE("R39C",'Mapa final'!$R$119),"")</f>
        <v/>
      </c>
      <c r="U194" s="103" t="str">
        <f>IF(AND('Mapa final'!$AB$120="Baja",'Mapa final'!$AD$120="Mayor"),CONCATENATE("R39C",'Mapa final'!$R$120),"")</f>
        <v/>
      </c>
      <c r="V194" s="42" t="str">
        <f>IF(AND('Mapa final'!$AB$118="Baja",'Mapa final'!$AD$118="Catastrófico"),CONCATENATE("R39C",'Mapa final'!$R$118),"")</f>
        <v/>
      </c>
      <c r="W194" s="43" t="str">
        <f>IF(AND('Mapa final'!$AB$119="Baja",'Mapa final'!$AD$119="Catastrófico"),CONCATENATE("R39C",'Mapa final'!$R$119),"")</f>
        <v/>
      </c>
      <c r="X194" s="97" t="str">
        <f>IF(AND('Mapa final'!$AB$120="Baja",'Mapa final'!$AD$120="Catastrófico"),CONCATENATE("R39C",'Mapa final'!$R$120),"")</f>
        <v/>
      </c>
      <c r="Y194" s="55"/>
      <c r="Z194" s="306"/>
      <c r="AA194" s="307"/>
      <c r="AB194" s="307"/>
      <c r="AC194" s="307"/>
      <c r="AD194" s="307"/>
      <c r="AE194" s="308"/>
      <c r="AF194" s="55"/>
      <c r="AG194" s="55"/>
      <c r="AH194" s="55"/>
      <c r="AI194" s="55"/>
      <c r="AJ194" s="55"/>
      <c r="AK194" s="55"/>
      <c r="AL194" s="55"/>
      <c r="AM194" s="55"/>
      <c r="AN194" s="55"/>
      <c r="AO194" s="55"/>
      <c r="AP194" s="55"/>
      <c r="AQ194" s="55"/>
      <c r="AR194" s="55"/>
      <c r="AS194" s="55"/>
      <c r="AT194" s="55"/>
      <c r="AU194" s="55"/>
      <c r="AV194" s="55"/>
      <c r="AW194" s="55"/>
      <c r="AX194" s="55"/>
      <c r="AY194" s="55"/>
      <c r="AZ194" s="55"/>
      <c r="BA194" s="55"/>
      <c r="BB194" s="55"/>
      <c r="BC194" s="55"/>
      <c r="BD194" s="55"/>
      <c r="BE194" s="55"/>
      <c r="BF194" s="55"/>
      <c r="BG194" s="55"/>
      <c r="BH194" s="55"/>
      <c r="BI194" s="55"/>
    </row>
    <row r="195" spans="1:65" ht="15" customHeight="1" x14ac:dyDescent="0.25">
      <c r="A195" s="55"/>
      <c r="B195" s="301"/>
      <c r="C195" s="301"/>
      <c r="D195" s="302"/>
      <c r="E195" s="279"/>
      <c r="F195" s="274"/>
      <c r="G195" s="274"/>
      <c r="H195" s="274"/>
      <c r="I195" s="274"/>
      <c r="J195" s="112" t="str">
        <f>IF(AND('Mapa final'!$AB$121="Baja",'Mapa final'!$AD$121="Leve"),CONCATENATE("R40C",'Mapa final'!$R$121),"")</f>
        <v/>
      </c>
      <c r="K195" s="53" t="str">
        <f>IF(AND('Mapa final'!$AB$122="Baja",'Mapa final'!$AD$122="Leve"),CONCATENATE("R40C",'Mapa final'!$R$122),"")</f>
        <v>R40C2</v>
      </c>
      <c r="L195" s="113" t="str">
        <f>IF(AND('Mapa final'!$AB$123="Baja",'Mapa final'!$AD$123="Leve"),CONCATENATE("R40C",'Mapa final'!$R$123),"")</f>
        <v/>
      </c>
      <c r="M195" s="48" t="str">
        <f>IF(AND('Mapa final'!$AB$121="Baja",'Mapa final'!$AD$121="Menor"),CONCATENATE("R40C",'Mapa final'!$R$121),"")</f>
        <v/>
      </c>
      <c r="N195" s="49" t="str">
        <f>IF(AND('Mapa final'!$AB$122="Baja",'Mapa final'!$AD$122="Menor"),CONCATENATE("R40C",'Mapa final'!$R$122),"")</f>
        <v/>
      </c>
      <c r="O195" s="108" t="str">
        <f>IF(AND('Mapa final'!$AB$123="Baja",'Mapa final'!$AD$123="Menor"),CONCATENATE("R40C",'Mapa final'!$R$123),"")</f>
        <v/>
      </c>
      <c r="P195" s="48" t="str">
        <f>IF(AND('Mapa final'!$AB$121="Baja",'Mapa final'!$AD$121="Moderado"),CONCATENATE("R40C",'Mapa final'!$R$121),"")</f>
        <v>R40C1</v>
      </c>
      <c r="Q195" s="49" t="str">
        <f>IF(AND('Mapa final'!$AB$122="Baja",'Mapa final'!$AD$122="Moderado"),CONCATENATE("R40C",'Mapa final'!$R$122),"")</f>
        <v/>
      </c>
      <c r="R195" s="108" t="str">
        <f>IF(AND('Mapa final'!$AB$123="Baja",'Mapa final'!$AD$123="Moderado"),CONCATENATE("R40C",'Mapa final'!$R$123),"")</f>
        <v/>
      </c>
      <c r="S195" s="102" t="str">
        <f>IF(AND('Mapa final'!$AB$121="Baja",'Mapa final'!$AD$121="Mayor"),CONCATENATE("R40C",'Mapa final'!$R$121),"")</f>
        <v/>
      </c>
      <c r="T195" s="41" t="str">
        <f>IF(AND('Mapa final'!$AB$122="Baja",'Mapa final'!$AD$122="Mayor"),CONCATENATE("R40C",'Mapa final'!$R$122),"")</f>
        <v/>
      </c>
      <c r="U195" s="103" t="str">
        <f>IF(AND('Mapa final'!$AB$123="Baja",'Mapa final'!$AD$123="Mayor"),CONCATENATE("R40C",'Mapa final'!$R$123),"")</f>
        <v/>
      </c>
      <c r="V195" s="42" t="str">
        <f>IF(AND('Mapa final'!$AB$121="Baja",'Mapa final'!$AD$121="Catastrófico"),CONCATENATE("R40C",'Mapa final'!$R$121),"")</f>
        <v/>
      </c>
      <c r="W195" s="43" t="str">
        <f>IF(AND('Mapa final'!$AB$122="Baja",'Mapa final'!$AD$122="Catastrófico"),CONCATENATE("R40C",'Mapa final'!$R$122),"")</f>
        <v/>
      </c>
      <c r="X195" s="97" t="str">
        <f>IF(AND('Mapa final'!$AB$123="Baja",'Mapa final'!$AD$123="Catastrófico"),CONCATENATE("R40C",'Mapa final'!$R$123),"")</f>
        <v/>
      </c>
      <c r="Y195" s="55"/>
      <c r="Z195" s="306"/>
      <c r="AA195" s="307"/>
      <c r="AB195" s="307"/>
      <c r="AC195" s="307"/>
      <c r="AD195" s="307"/>
      <c r="AE195" s="308"/>
      <c r="AF195" s="55"/>
      <c r="AG195" s="55"/>
      <c r="AH195" s="55"/>
      <c r="AI195" s="55"/>
      <c r="AJ195" s="55"/>
      <c r="AK195" s="55"/>
      <c r="AL195" s="55"/>
      <c r="AM195" s="55"/>
      <c r="AN195" s="55"/>
      <c r="AO195" s="55"/>
      <c r="AP195" s="55"/>
      <c r="AQ195" s="55"/>
      <c r="AR195" s="55"/>
      <c r="AS195" s="55"/>
      <c r="AT195" s="55"/>
      <c r="AU195" s="55"/>
      <c r="AV195" s="55"/>
      <c r="AW195" s="55"/>
      <c r="AX195" s="55"/>
      <c r="AY195" s="55"/>
      <c r="AZ195" s="55"/>
      <c r="BA195" s="55"/>
      <c r="BB195" s="55"/>
      <c r="BC195" s="55"/>
      <c r="BD195" s="55"/>
      <c r="BE195" s="55"/>
      <c r="BF195" s="55"/>
      <c r="BG195" s="55"/>
      <c r="BH195" s="55"/>
      <c r="BI195" s="55"/>
    </row>
    <row r="196" spans="1:65" ht="15" customHeight="1" x14ac:dyDescent="0.25">
      <c r="A196" s="55"/>
      <c r="B196" s="301"/>
      <c r="C196" s="301"/>
      <c r="D196" s="302"/>
      <c r="E196" s="279"/>
      <c r="F196" s="274"/>
      <c r="G196" s="274"/>
      <c r="H196" s="274"/>
      <c r="I196" s="274"/>
      <c r="J196" s="112" t="str">
        <f>IF(AND('Mapa final'!$AB$124="Baja",'Mapa final'!$AD$124="Leve"),CONCATENATE("R41C",'Mapa final'!$R$124),"")</f>
        <v/>
      </c>
      <c r="K196" s="53" t="str">
        <f>IF(AND('Mapa final'!$AB$125="Baja",'Mapa final'!$AD$125="Leve"),CONCATENATE("R41C",'Mapa final'!$R$125),"")</f>
        <v/>
      </c>
      <c r="L196" s="113" t="str">
        <f>IF(AND('Mapa final'!$AB$126="Baja",'Mapa final'!$AD$126="Leve"),CONCATENATE("R41C",'Mapa final'!$R$126),"")</f>
        <v/>
      </c>
      <c r="M196" s="48" t="str">
        <f>IF(AND('Mapa final'!$AB$124="Baja",'Mapa final'!$AD$124="Menor"),CONCATENATE("R41C",'Mapa final'!$R$124),"")</f>
        <v/>
      </c>
      <c r="N196" s="49" t="str">
        <f>IF(AND('Mapa final'!$AB$125="Baja",'Mapa final'!$AD$125="Menor"),CONCATENATE("R41C",'Mapa final'!$R$125),"")</f>
        <v/>
      </c>
      <c r="O196" s="108" t="str">
        <f>IF(AND('Mapa final'!$AB$126="Baja",'Mapa final'!$AD$126="Menor"),CONCATENATE("R41C",'Mapa final'!$R$126),"")</f>
        <v/>
      </c>
      <c r="P196" s="48" t="str">
        <f>IF(AND('Mapa final'!$AB$124="Baja",'Mapa final'!$AD$124="Moderado"),CONCATENATE("R41C",'Mapa final'!$R$124),"")</f>
        <v/>
      </c>
      <c r="Q196" s="49" t="str">
        <f>IF(AND('Mapa final'!$AB$125="Baja",'Mapa final'!$AD$125="Moderado"),CONCATENATE("R41C",'Mapa final'!$R$125),"")</f>
        <v/>
      </c>
      <c r="R196" s="108" t="str">
        <f>IF(AND('Mapa final'!$AB$126="Baja",'Mapa final'!$AD$126="Moderado"),CONCATENATE("R41C",'Mapa final'!$R$126),"")</f>
        <v/>
      </c>
      <c r="S196" s="102" t="str">
        <f>IF(AND('Mapa final'!$AB$124="Baja",'Mapa final'!$AD$124="Mayor"),CONCATENATE("R41C",'Mapa final'!$R$124),"")</f>
        <v/>
      </c>
      <c r="T196" s="41" t="str">
        <f>IF(AND('Mapa final'!$AB$125="Baja",'Mapa final'!$AD$125="Mayor"),CONCATENATE("R41C",'Mapa final'!$R$125),"")</f>
        <v/>
      </c>
      <c r="U196" s="103" t="str">
        <f>IF(AND('Mapa final'!$AB$126="Baja",'Mapa final'!$AD$126="Mayor"),CONCATENATE("R41C",'Mapa final'!$R$126),"")</f>
        <v/>
      </c>
      <c r="V196" s="42" t="str">
        <f>IF(AND('Mapa final'!$AB$124="Baja",'Mapa final'!$AD$124="Catastrófico"),CONCATENATE("R41C",'Mapa final'!$R$124),"")</f>
        <v/>
      </c>
      <c r="W196" s="43" t="str">
        <f>IF(AND('Mapa final'!$AB$125="Baja",'Mapa final'!$AD$125="Catastrófico"),CONCATENATE("R41C",'Mapa final'!$R$125),"")</f>
        <v/>
      </c>
      <c r="X196" s="97" t="str">
        <f>IF(AND('Mapa final'!$AB$126="Baja",'Mapa final'!$AD$126="Catastrófico"),CONCATENATE("R41C",'Mapa final'!$R$126),"")</f>
        <v/>
      </c>
      <c r="Y196" s="55"/>
      <c r="Z196" s="306"/>
      <c r="AA196" s="307"/>
      <c r="AB196" s="307"/>
      <c r="AC196" s="307"/>
      <c r="AD196" s="307"/>
      <c r="AE196" s="308"/>
      <c r="AF196" s="55"/>
      <c r="AG196" s="55"/>
      <c r="AH196" s="55"/>
      <c r="AI196" s="55"/>
      <c r="AJ196" s="55"/>
      <c r="AK196" s="55"/>
      <c r="AL196" s="55"/>
      <c r="AM196" s="55"/>
      <c r="AN196" s="55"/>
      <c r="AO196" s="55"/>
      <c r="AP196" s="55"/>
      <c r="AQ196" s="55"/>
      <c r="AR196" s="55"/>
      <c r="AS196" s="55"/>
      <c r="AT196" s="55"/>
      <c r="AU196" s="55"/>
      <c r="AV196" s="55"/>
      <c r="AW196" s="55"/>
      <c r="AX196" s="55"/>
      <c r="AY196" s="55"/>
      <c r="AZ196" s="55"/>
      <c r="BA196" s="55"/>
      <c r="BB196" s="55"/>
      <c r="BC196" s="55"/>
      <c r="BD196" s="55"/>
      <c r="BE196" s="55"/>
      <c r="BF196" s="55"/>
      <c r="BG196" s="55"/>
      <c r="BH196" s="55"/>
      <c r="BI196" s="55"/>
    </row>
    <row r="197" spans="1:65" ht="15" customHeight="1" x14ac:dyDescent="0.25">
      <c r="A197" s="55"/>
      <c r="B197" s="301"/>
      <c r="C197" s="301"/>
      <c r="D197" s="302"/>
      <c r="E197" s="279"/>
      <c r="F197" s="274"/>
      <c r="G197" s="274"/>
      <c r="H197" s="274"/>
      <c r="I197" s="274"/>
      <c r="J197" s="112" t="str">
        <f>IF(AND('Mapa final'!$AB$127="Baja",'Mapa final'!$AD$127="Leve"),CONCATENATE("R42C",'Mapa final'!$R$127),"")</f>
        <v/>
      </c>
      <c r="K197" s="53" t="str">
        <f>IF(AND('Mapa final'!$AB$128="Baja",'Mapa final'!$AD$128="Leve"),CONCATENATE("R42C",'Mapa final'!$R$128),"")</f>
        <v/>
      </c>
      <c r="L197" s="113" t="str">
        <f>IF(AND('Mapa final'!$AB$129="Baja",'Mapa final'!$AD$129="Leve"),CONCATENATE("R42C",'Mapa final'!$R$129),"")</f>
        <v/>
      </c>
      <c r="M197" s="48" t="str">
        <f>IF(AND('Mapa final'!$AB$127="Baja",'Mapa final'!$AD$127="Menor"),CONCATENATE("R42C",'Mapa final'!$R$127),"")</f>
        <v/>
      </c>
      <c r="N197" s="49" t="str">
        <f>IF(AND('Mapa final'!$AB$128="Baja",'Mapa final'!$AD$128="Menor"),CONCATENATE("R42C",'Mapa final'!$R$128),"")</f>
        <v/>
      </c>
      <c r="O197" s="108" t="str">
        <f>IF(AND('Mapa final'!$AB$129="Baja",'Mapa final'!$AD$129="Menor"),CONCATENATE("R42C",'Mapa final'!$R$129),"")</f>
        <v/>
      </c>
      <c r="P197" s="48" t="str">
        <f>IF(AND('Mapa final'!$AB$127="Baja",'Mapa final'!$AD$127="Moderado"),CONCATENATE("R42C",'Mapa final'!$R$127),"")</f>
        <v>R42C1</v>
      </c>
      <c r="Q197" s="49" t="str">
        <f>IF(AND('Mapa final'!$AB$128="Baja",'Mapa final'!$AD$128="Moderado"),CONCATENATE("R42C",'Mapa final'!$R$128),"")</f>
        <v/>
      </c>
      <c r="R197" s="108" t="str">
        <f>IF(AND('Mapa final'!$AB$129="Baja",'Mapa final'!$AD$129="Moderado"),CONCATENATE("R42C",'Mapa final'!$R$129),"")</f>
        <v/>
      </c>
      <c r="S197" s="102" t="str">
        <f>IF(AND('Mapa final'!$AB$127="Baja",'Mapa final'!$AD$127="Mayor"),CONCATENATE("R42C",'Mapa final'!$R$127),"")</f>
        <v/>
      </c>
      <c r="T197" s="41" t="str">
        <f>IF(AND('Mapa final'!$AB$128="Baja",'Mapa final'!$AD$128="Mayor"),CONCATENATE("R42C",'Mapa final'!$R$128),"")</f>
        <v/>
      </c>
      <c r="U197" s="103" t="str">
        <f>IF(AND('Mapa final'!$AB$129="Baja",'Mapa final'!$AD$129="Mayor"),CONCATENATE("R42C",'Mapa final'!$R$129),"")</f>
        <v/>
      </c>
      <c r="V197" s="42" t="str">
        <f>IF(AND('Mapa final'!$AB$127="Baja",'Mapa final'!$AD$127="Catastrófico"),CONCATENATE("R42C",'Mapa final'!$R$127),"")</f>
        <v/>
      </c>
      <c r="W197" s="43" t="str">
        <f>IF(AND('Mapa final'!$AB$128="Baja",'Mapa final'!$AD$128="Catastrófico"),CONCATENATE("R42C",'Mapa final'!$R$128),"")</f>
        <v/>
      </c>
      <c r="X197" s="97" t="str">
        <f>IF(AND('Mapa final'!$AB$129="Baja",'Mapa final'!$AD$129="Catastrófico"),CONCATENATE("R42C",'Mapa final'!$R$129),"")</f>
        <v/>
      </c>
      <c r="Y197" s="55"/>
      <c r="Z197" s="306"/>
      <c r="AA197" s="307"/>
      <c r="AB197" s="307"/>
      <c r="AC197" s="307"/>
      <c r="AD197" s="307"/>
      <c r="AE197" s="308"/>
      <c r="AF197" s="55"/>
      <c r="AG197" s="55"/>
      <c r="AH197" s="55"/>
      <c r="AI197" s="55"/>
      <c r="AJ197" s="55"/>
      <c r="AK197" s="55"/>
      <c r="AL197" s="55"/>
      <c r="AM197" s="55"/>
      <c r="AN197" s="55"/>
      <c r="AO197" s="55"/>
      <c r="AP197" s="55"/>
      <c r="AQ197" s="55"/>
      <c r="AR197" s="55"/>
      <c r="AS197" s="55"/>
      <c r="AT197" s="55"/>
      <c r="AU197" s="55"/>
      <c r="AV197" s="55"/>
      <c r="AW197" s="55"/>
      <c r="AX197" s="55"/>
      <c r="AY197" s="55"/>
      <c r="AZ197" s="55"/>
      <c r="BA197" s="55"/>
      <c r="BB197" s="55"/>
      <c r="BC197" s="55"/>
      <c r="BD197" s="55"/>
      <c r="BE197" s="55"/>
      <c r="BF197" s="55"/>
      <c r="BG197" s="55"/>
      <c r="BH197" s="55"/>
      <c r="BI197" s="55"/>
    </row>
    <row r="198" spans="1:65" ht="15" customHeight="1" x14ac:dyDescent="0.25">
      <c r="A198" s="55"/>
      <c r="B198" s="301"/>
      <c r="C198" s="301"/>
      <c r="D198" s="302"/>
      <c r="E198" s="279"/>
      <c r="F198" s="274"/>
      <c r="G198" s="274"/>
      <c r="H198" s="274"/>
      <c r="I198" s="274"/>
      <c r="J198" s="112" t="str">
        <f>IF(AND('Mapa final'!$AB$130="Baja",'Mapa final'!$AD$130="Leve"),CONCATENATE("R43C",'Mapa final'!$R$130),"")</f>
        <v/>
      </c>
      <c r="K198" s="53" t="str">
        <f>IF(AND('Mapa final'!$AB$131="Baja",'Mapa final'!$AD$131="Leve"),CONCATENATE("R43C",'Mapa final'!$R$131),"")</f>
        <v/>
      </c>
      <c r="L198" s="113" t="str">
        <f>IF(AND('Mapa final'!$AB$132="Baja",'Mapa final'!$AD$132="Leve"),CONCATENATE("R43C",'Mapa final'!$R$132),"")</f>
        <v/>
      </c>
      <c r="M198" s="48" t="str">
        <f>IF(AND('Mapa final'!$AB$130="Baja",'Mapa final'!$AD$130="Menor"),CONCATENATE("R43C",'Mapa final'!$R$130),"")</f>
        <v/>
      </c>
      <c r="N198" s="49" t="str">
        <f>IF(AND('Mapa final'!$AB$131="Baja",'Mapa final'!$AD$131="Menor"),CONCATENATE("R43C",'Mapa final'!$R$131),"")</f>
        <v/>
      </c>
      <c r="O198" s="108" t="str">
        <f>IF(AND('Mapa final'!$AB$132="Baja",'Mapa final'!$AD$132="Menor"),CONCATENATE("R43C",'Mapa final'!$R$132),"")</f>
        <v/>
      </c>
      <c r="P198" s="48" t="str">
        <f>IF(AND('Mapa final'!$AB$130="Baja",'Mapa final'!$AD$130="Moderado"),CONCATENATE("R43C",'Mapa final'!$R$130),"")</f>
        <v/>
      </c>
      <c r="Q198" s="49" t="str">
        <f>IF(AND('Mapa final'!$AB$131="Baja",'Mapa final'!$AD$131="Moderado"),CONCATENATE("R43C",'Mapa final'!$R$131),"")</f>
        <v/>
      </c>
      <c r="R198" s="108" t="str">
        <f>IF(AND('Mapa final'!$AB$132="Baja",'Mapa final'!$AD$132="Moderado"),CONCATENATE("R43C",'Mapa final'!$R$132),"")</f>
        <v/>
      </c>
      <c r="S198" s="102" t="str">
        <f>IF(AND('Mapa final'!$AB$130="Baja",'Mapa final'!$AD$130="Mayor"),CONCATENATE("R43C",'Mapa final'!$R$130),"")</f>
        <v/>
      </c>
      <c r="T198" s="41" t="str">
        <f>IF(AND('Mapa final'!$AB$131="Baja",'Mapa final'!$AD$131="Mayor"),CONCATENATE("R43C",'Mapa final'!$R$131),"")</f>
        <v>R43C2</v>
      </c>
      <c r="U198" s="103" t="str">
        <f>IF(AND('Mapa final'!$AB$132="Baja",'Mapa final'!$AD$132="Mayor"),CONCATENATE("R43C",'Mapa final'!$R$132),"")</f>
        <v/>
      </c>
      <c r="V198" s="42" t="str">
        <f>IF(AND('Mapa final'!$AB$130="Baja",'Mapa final'!$AD$130="Catastrófico"),CONCATENATE("R43C",'Mapa final'!$R$130),"")</f>
        <v/>
      </c>
      <c r="W198" s="43" t="str">
        <f>IF(AND('Mapa final'!$AB$131="Baja",'Mapa final'!$AD$131="Catastrófico"),CONCATENATE("R43C",'Mapa final'!$R$131),"")</f>
        <v/>
      </c>
      <c r="X198" s="97" t="str">
        <f>IF(AND('Mapa final'!$AB$132="Baja",'Mapa final'!$AD$132="Catastrófico"),CONCATENATE("R43C",'Mapa final'!$R$132),"")</f>
        <v/>
      </c>
      <c r="Y198" s="55"/>
      <c r="Z198" s="306"/>
      <c r="AA198" s="307"/>
      <c r="AB198" s="307"/>
      <c r="AC198" s="307"/>
      <c r="AD198" s="307"/>
      <c r="AE198" s="308"/>
      <c r="AF198" s="55"/>
      <c r="AG198" s="55"/>
      <c r="AH198" s="55"/>
      <c r="AI198" s="55"/>
      <c r="AJ198" s="55"/>
      <c r="AK198" s="55"/>
      <c r="AL198" s="55"/>
      <c r="AM198" s="55"/>
      <c r="AN198" s="55"/>
      <c r="AO198" s="55"/>
      <c r="AP198" s="55"/>
      <c r="AQ198" s="55"/>
      <c r="AR198" s="55"/>
      <c r="AS198" s="55"/>
      <c r="AT198" s="55"/>
      <c r="AU198" s="55"/>
      <c r="AV198" s="55"/>
      <c r="AW198" s="55"/>
      <c r="AX198" s="55"/>
      <c r="AY198" s="55"/>
      <c r="AZ198" s="55"/>
      <c r="BA198" s="55"/>
      <c r="BB198" s="55"/>
      <c r="BC198" s="55"/>
      <c r="BD198" s="55"/>
      <c r="BE198" s="55"/>
      <c r="BF198" s="55"/>
      <c r="BG198" s="55"/>
      <c r="BH198" s="55"/>
      <c r="BI198" s="55"/>
    </row>
    <row r="199" spans="1:65" ht="15" customHeight="1" x14ac:dyDescent="0.25">
      <c r="A199" s="55"/>
      <c r="B199" s="301"/>
      <c r="C199" s="301"/>
      <c r="D199" s="302"/>
      <c r="E199" s="279"/>
      <c r="F199" s="274"/>
      <c r="G199" s="274"/>
      <c r="H199" s="274"/>
      <c r="I199" s="274"/>
      <c r="J199" s="112" t="str">
        <f>IF(AND('Mapa final'!$AB$133="Baja",'Mapa final'!$AD$133="Leve"),CONCATENATE("R44C",'Mapa final'!$R$133),"")</f>
        <v/>
      </c>
      <c r="K199" s="53" t="str">
        <f>IF(AND('Mapa final'!$AB$134="Baja",'Mapa final'!$AD$134="Leve"),CONCATENATE("R44C",'Mapa final'!$R$134),"")</f>
        <v/>
      </c>
      <c r="L199" s="113" t="str">
        <f>IF(AND('Mapa final'!$AB$135="Baja",'Mapa final'!$AD$135="Leve"),CONCATENATE("R44C",'Mapa final'!$R$135),"")</f>
        <v/>
      </c>
      <c r="M199" s="48" t="str">
        <f>IF(AND('Mapa final'!$AB$133="Baja",'Mapa final'!$AD$133="Menor"),CONCATENATE("R44C",'Mapa final'!$R$133),"")</f>
        <v/>
      </c>
      <c r="N199" s="49" t="str">
        <f>IF(AND('Mapa final'!$AB$134="Baja",'Mapa final'!$AD$134="Menor"),CONCATENATE("R44C",'Mapa final'!$R$134),"")</f>
        <v/>
      </c>
      <c r="O199" s="108" t="str">
        <f>IF(AND('Mapa final'!$AB$135="Baja",'Mapa final'!$AD$135="Menor"),CONCATENATE("R44C",'Mapa final'!$R$135),"")</f>
        <v/>
      </c>
      <c r="P199" s="48" t="str">
        <f>IF(AND('Mapa final'!$AB$133="Baja",'Mapa final'!$AD$133="Moderado"),CONCATENATE("R44C",'Mapa final'!$R$133),"")</f>
        <v/>
      </c>
      <c r="Q199" s="49" t="str">
        <f>IF(AND('Mapa final'!$AB$134="Baja",'Mapa final'!$AD$134="Moderado"),CONCATENATE("R44C",'Mapa final'!$R$134),"")</f>
        <v>R44C2</v>
      </c>
      <c r="R199" s="108" t="str">
        <f>IF(AND('Mapa final'!$AB$135="Baja",'Mapa final'!$AD$135="Moderado"),CONCATENATE("R44C",'Mapa final'!$R$135),"")</f>
        <v>R44C3</v>
      </c>
      <c r="S199" s="102" t="str">
        <f>IF(AND('Mapa final'!$AB$133="Baja",'Mapa final'!$AD$133="Mayor"),CONCATENATE("R44C",'Mapa final'!$R$133),"")</f>
        <v/>
      </c>
      <c r="T199" s="41" t="str">
        <f>IF(AND('Mapa final'!$AB$134="Baja",'Mapa final'!$AD$134="Mayor"),CONCATENATE("R44C",'Mapa final'!$R$134),"")</f>
        <v/>
      </c>
      <c r="U199" s="103" t="str">
        <f>IF(AND('Mapa final'!$AB$135="Baja",'Mapa final'!$AD$135="Mayor"),CONCATENATE("R44C",'Mapa final'!$R$135),"")</f>
        <v/>
      </c>
      <c r="V199" s="42" t="str">
        <f>IF(AND('Mapa final'!$AB$133="Baja",'Mapa final'!$AD$133="Catastrófico"),CONCATENATE("R44C",'Mapa final'!$R$133),"")</f>
        <v/>
      </c>
      <c r="W199" s="43" t="str">
        <f>IF(AND('Mapa final'!$AB$134="Baja",'Mapa final'!$AD$134="Catastrófico"),CONCATENATE("R44C",'Mapa final'!$R$134),"")</f>
        <v/>
      </c>
      <c r="X199" s="97" t="str">
        <f>IF(AND('Mapa final'!$AB$135="Baja",'Mapa final'!$AD$135="Catastrófico"),CONCATENATE("R44C",'Mapa final'!$R$135),"")</f>
        <v/>
      </c>
      <c r="Y199" s="55"/>
      <c r="Z199" s="306"/>
      <c r="AA199" s="307"/>
      <c r="AB199" s="307"/>
      <c r="AC199" s="307"/>
      <c r="AD199" s="307"/>
      <c r="AE199" s="308"/>
      <c r="AF199" s="55"/>
      <c r="AG199" s="55"/>
      <c r="AH199" s="55"/>
      <c r="AI199" s="55"/>
      <c r="AJ199" s="55"/>
      <c r="AK199" s="55"/>
      <c r="AL199" s="55"/>
      <c r="AM199" s="55"/>
      <c r="AN199" s="55"/>
      <c r="AO199" s="55"/>
      <c r="AP199" s="55"/>
      <c r="AQ199" s="55"/>
      <c r="AR199" s="55"/>
      <c r="AS199" s="55"/>
      <c r="AT199" s="55"/>
      <c r="AU199" s="55"/>
      <c r="AV199" s="55"/>
      <c r="AW199" s="55"/>
      <c r="AX199" s="55"/>
      <c r="AY199" s="55"/>
      <c r="AZ199" s="55"/>
      <c r="BA199" s="55"/>
      <c r="BB199" s="55"/>
      <c r="BC199" s="55"/>
      <c r="BD199" s="55"/>
      <c r="BE199" s="55"/>
      <c r="BF199" s="55"/>
      <c r="BG199" s="55"/>
      <c r="BH199" s="55"/>
      <c r="BI199" s="55"/>
    </row>
    <row r="200" spans="1:65" ht="15" customHeight="1" x14ac:dyDescent="0.25">
      <c r="A200" s="55"/>
      <c r="B200" s="301"/>
      <c r="C200" s="301"/>
      <c r="D200" s="302"/>
      <c r="E200" s="279"/>
      <c r="F200" s="274"/>
      <c r="G200" s="274"/>
      <c r="H200" s="274"/>
      <c r="I200" s="274"/>
      <c r="J200" s="112" t="str">
        <f>IF(AND('Mapa final'!$AB$136="Baja",'Mapa final'!$AD$136="Leve"),CONCATENATE("R45C",'Mapa final'!$R$136),"")</f>
        <v/>
      </c>
      <c r="K200" s="53" t="str">
        <f>IF(AND('Mapa final'!$AB$137="Baja",'Mapa final'!$AD$137="Leve"),CONCATENATE("R45C",'Mapa final'!$R$137),"")</f>
        <v/>
      </c>
      <c r="L200" s="113" t="str">
        <f>IF(AND('Mapa final'!$AB$138="Baja",'Mapa final'!$AD$138="Leve"),CONCATENATE("R45C",'Mapa final'!$R$138),"")</f>
        <v/>
      </c>
      <c r="M200" s="48" t="str">
        <f>IF(AND('Mapa final'!$AB$136="Baja",'Mapa final'!$AD$136="Menor"),CONCATENATE("R45C",'Mapa final'!$R$136),"")</f>
        <v/>
      </c>
      <c r="N200" s="49" t="str">
        <f>IF(AND('Mapa final'!$AB$137="Baja",'Mapa final'!$AD$137="Menor"),CONCATENATE("R45C",'Mapa final'!$R$137),"")</f>
        <v/>
      </c>
      <c r="O200" s="108" t="str">
        <f>IF(AND('Mapa final'!$AB$138="Baja",'Mapa final'!$AD$138="Menor"),CONCATENATE("R45C",'Mapa final'!$R$138),"")</f>
        <v/>
      </c>
      <c r="P200" s="48" t="str">
        <f>IF(AND('Mapa final'!$AB$136="Baja",'Mapa final'!$AD$136="Moderado"),CONCATENATE("R45C",'Mapa final'!$R$136),"")</f>
        <v/>
      </c>
      <c r="Q200" s="49" t="str">
        <f>IF(AND('Mapa final'!$AB$137="Baja",'Mapa final'!$AD$137="Moderado"),CONCATENATE("R45C",'Mapa final'!$R$137),"")</f>
        <v/>
      </c>
      <c r="R200" s="108" t="str">
        <f>IF(AND('Mapa final'!$AB$138="Baja",'Mapa final'!$AD$138="Moderado"),CONCATENATE("R45C",'Mapa final'!$R$138),"")</f>
        <v/>
      </c>
      <c r="S200" s="102" t="str">
        <f>IF(AND('Mapa final'!$AB$136="Baja",'Mapa final'!$AD$136="Mayor"),CONCATENATE("R45C",'Mapa final'!$R$136),"")</f>
        <v/>
      </c>
      <c r="T200" s="41" t="str">
        <f>IF(AND('Mapa final'!$AB$137="Baja",'Mapa final'!$AD$137="Mayor"),CONCATENATE("R45C",'Mapa final'!$R$137),"")</f>
        <v/>
      </c>
      <c r="U200" s="103" t="str">
        <f>IF(AND('Mapa final'!$AB$138="Baja",'Mapa final'!$AD$138="Mayor"),CONCATENATE("R45C",'Mapa final'!$R$138),"")</f>
        <v/>
      </c>
      <c r="V200" s="42" t="str">
        <f>IF(AND('Mapa final'!$AB$136="Baja",'Mapa final'!$AD$136="Catastrófico"),CONCATENATE("R45C",'Mapa final'!$R$136),"")</f>
        <v/>
      </c>
      <c r="W200" s="43" t="str">
        <f>IF(AND('Mapa final'!$AB$137="Baja",'Mapa final'!$AD$137="Catastrófico"),CONCATENATE("R45C",'Mapa final'!$R$137),"")</f>
        <v/>
      </c>
      <c r="X200" s="97" t="str">
        <f>IF(AND('Mapa final'!$AB$138="Baja",'Mapa final'!$AD$138="Catastrófico"),CONCATENATE("R45C",'Mapa final'!$R$138),"")</f>
        <v/>
      </c>
      <c r="Y200" s="55"/>
      <c r="Z200" s="306"/>
      <c r="AA200" s="307"/>
      <c r="AB200" s="307"/>
      <c r="AC200" s="307"/>
      <c r="AD200" s="307"/>
      <c r="AE200" s="308"/>
      <c r="AF200" s="55"/>
      <c r="AG200" s="55"/>
      <c r="AH200" s="55"/>
      <c r="AI200" s="55"/>
      <c r="AJ200" s="55"/>
      <c r="AK200" s="55"/>
      <c r="AL200" s="55"/>
      <c r="AM200" s="55"/>
      <c r="AN200" s="55"/>
      <c r="AO200" s="55"/>
      <c r="AP200" s="55"/>
      <c r="AQ200" s="55"/>
      <c r="AR200" s="55"/>
      <c r="AS200" s="55"/>
      <c r="AT200" s="55"/>
      <c r="AU200" s="55"/>
      <c r="AV200" s="55"/>
      <c r="AW200" s="55"/>
      <c r="AX200" s="55"/>
      <c r="AY200" s="55"/>
      <c r="AZ200" s="55"/>
      <c r="BA200" s="55"/>
      <c r="BB200" s="55"/>
      <c r="BC200" s="55"/>
      <c r="BD200" s="55"/>
      <c r="BE200" s="55"/>
      <c r="BF200" s="55"/>
      <c r="BG200" s="55"/>
      <c r="BH200" s="55"/>
      <c r="BI200" s="55"/>
    </row>
    <row r="201" spans="1:65" ht="15" customHeight="1" x14ac:dyDescent="0.25">
      <c r="A201" s="55"/>
      <c r="B201" s="301"/>
      <c r="C201" s="301"/>
      <c r="D201" s="302"/>
      <c r="E201" s="279"/>
      <c r="F201" s="274"/>
      <c r="G201" s="274"/>
      <c r="H201" s="274"/>
      <c r="I201" s="274"/>
      <c r="J201" s="112" t="str">
        <f>IF(AND('Mapa final'!$AB$139="Baja",'Mapa final'!$AD$139="Leve"),CONCATENATE("R46C",'Mapa final'!$R$139),"")</f>
        <v/>
      </c>
      <c r="K201" s="53" t="str">
        <f>IF(AND('Mapa final'!$AB$140="Baja",'Mapa final'!$AD$140="Leve"),CONCATENATE("R46C",'Mapa final'!$R$140),"")</f>
        <v/>
      </c>
      <c r="L201" s="113" t="str">
        <f>IF(AND('Mapa final'!$AB$141="Baja",'Mapa final'!$AD$141="Leve"),CONCATENATE("R46C",'Mapa final'!$R$141),"")</f>
        <v/>
      </c>
      <c r="M201" s="48" t="str">
        <f>IF(AND('Mapa final'!$AB$139="Baja",'Mapa final'!$AD$139="Menor"),CONCATENATE("R46C",'Mapa final'!$R$139),"")</f>
        <v/>
      </c>
      <c r="N201" s="49" t="str">
        <f>IF(AND('Mapa final'!$AB$140="Baja",'Mapa final'!$AD$140="Menor"),CONCATENATE("R46C",'Mapa final'!$R$140),"")</f>
        <v/>
      </c>
      <c r="O201" s="108" t="str">
        <f>IF(AND('Mapa final'!$AB$141="Baja",'Mapa final'!$AD$141="Menor"),CONCATENATE("R46C",'Mapa final'!$R$141),"")</f>
        <v/>
      </c>
      <c r="P201" s="48" t="str">
        <f>IF(AND('Mapa final'!$AB$139="Baja",'Mapa final'!$AD$139="Moderado"),CONCATENATE("R46C",'Mapa final'!$R$139),"")</f>
        <v/>
      </c>
      <c r="Q201" s="49" t="str">
        <f>IF(AND('Mapa final'!$AB$140="Baja",'Mapa final'!$AD$140="Moderado"),CONCATENATE("R46C",'Mapa final'!$R$140),"")</f>
        <v/>
      </c>
      <c r="R201" s="108" t="str">
        <f>IF(AND('Mapa final'!$AB$141="Baja",'Mapa final'!$AD$141="Moderado"),CONCATENATE("R46C",'Mapa final'!$R$141),"")</f>
        <v/>
      </c>
      <c r="S201" s="102" t="str">
        <f>IF(AND('Mapa final'!$AB$139="Baja",'Mapa final'!$AD$139="Mayor"),CONCATENATE("R46C",'Mapa final'!$R$139),"")</f>
        <v>R46C1</v>
      </c>
      <c r="T201" s="41" t="str">
        <f>IF(AND('Mapa final'!$AB$140="Baja",'Mapa final'!$AD$140="Mayor"),CONCATENATE("R46C",'Mapa final'!$R$140),"")</f>
        <v/>
      </c>
      <c r="U201" s="103" t="str">
        <f>IF(AND('Mapa final'!$AB$141="Baja",'Mapa final'!$AD$141="Mayor"),CONCATENATE("R46C",'Mapa final'!$R$141),"")</f>
        <v/>
      </c>
      <c r="V201" s="42" t="str">
        <f>IF(AND('Mapa final'!$AB$139="Baja",'Mapa final'!$AD$139="Catastrófico"),CONCATENATE("R46C",'Mapa final'!$R$139),"")</f>
        <v/>
      </c>
      <c r="W201" s="43" t="str">
        <f>IF(AND('Mapa final'!$AB$140="Baja",'Mapa final'!$AD$140="Catastrófico"),CONCATENATE("R46C",'Mapa final'!$R$140),"")</f>
        <v/>
      </c>
      <c r="X201" s="97" t="str">
        <f>IF(AND('Mapa final'!$AB$141="Baja",'Mapa final'!$AD$141="Catastrófico"),CONCATENATE("R46C",'Mapa final'!$R$141),"")</f>
        <v/>
      </c>
      <c r="Y201" s="55"/>
      <c r="Z201" s="306"/>
      <c r="AA201" s="307"/>
      <c r="AB201" s="307"/>
      <c r="AC201" s="307"/>
      <c r="AD201" s="307"/>
      <c r="AE201" s="308"/>
      <c r="AF201" s="55"/>
      <c r="AG201" s="55"/>
      <c r="AH201" s="55"/>
      <c r="AI201" s="55"/>
      <c r="AJ201" s="55"/>
      <c r="AK201" s="55"/>
      <c r="AL201" s="55"/>
      <c r="AM201" s="55"/>
      <c r="AN201" s="55"/>
      <c r="AO201" s="55"/>
      <c r="AP201" s="55"/>
      <c r="AQ201" s="55"/>
      <c r="AR201" s="55"/>
      <c r="AS201" s="55"/>
      <c r="AT201" s="55"/>
      <c r="AU201" s="55"/>
      <c r="AV201" s="55"/>
      <c r="AW201" s="55"/>
      <c r="AX201" s="55"/>
      <c r="AY201" s="55"/>
      <c r="AZ201" s="55"/>
      <c r="BA201" s="55"/>
      <c r="BB201" s="55"/>
      <c r="BC201" s="55"/>
      <c r="BD201" s="55"/>
      <c r="BE201" s="55"/>
      <c r="BF201" s="55"/>
      <c r="BG201" s="55"/>
      <c r="BH201" s="55"/>
      <c r="BI201" s="55"/>
    </row>
    <row r="202" spans="1:65" ht="15" customHeight="1" x14ac:dyDescent="0.25">
      <c r="A202" s="55"/>
      <c r="B202" s="301"/>
      <c r="C202" s="301"/>
      <c r="D202" s="302"/>
      <c r="E202" s="279"/>
      <c r="F202" s="274"/>
      <c r="G202" s="274"/>
      <c r="H202" s="274"/>
      <c r="I202" s="274"/>
      <c r="J202" s="112" t="str">
        <f>IF(AND('Mapa final'!$AB$142="Baja",'Mapa final'!$AD$142="Leve"),CONCATENATE("R47C",'Mapa final'!$R$142),"")</f>
        <v/>
      </c>
      <c r="K202" s="53" t="str">
        <f>IF(AND('Mapa final'!$AB$143="Baja",'Mapa final'!$AD$143="Leve"),CONCATENATE("R47C",'Mapa final'!$R$143),"")</f>
        <v/>
      </c>
      <c r="L202" s="113" t="str">
        <f>IF(AND('Mapa final'!$AB$144="Baja",'Mapa final'!$AD$144="Leve"),CONCATENATE("R47C",'Mapa final'!$R$144),"")</f>
        <v/>
      </c>
      <c r="M202" s="48" t="str">
        <f>IF(AND('Mapa final'!$AB$142="Baja",'Mapa final'!$AD$142="Menor"),CONCATENATE("R47C",'Mapa final'!$R$142),"")</f>
        <v/>
      </c>
      <c r="N202" s="49" t="str">
        <f>IF(AND('Mapa final'!$AB$143="Baja",'Mapa final'!$AD$143="Menor"),CONCATENATE("R47C",'Mapa final'!$R$143),"")</f>
        <v/>
      </c>
      <c r="O202" s="108" t="str">
        <f>IF(AND('Mapa final'!$AB$144="Baja",'Mapa final'!$AD$144="Menor"),CONCATENATE("R47C",'Mapa final'!$R$144),"")</f>
        <v/>
      </c>
      <c r="P202" s="48" t="str">
        <f>IF(AND('Mapa final'!$AB$142="Baja",'Mapa final'!$AD$142="Moderado"),CONCATENATE("R47C",'Mapa final'!$R$142),"")</f>
        <v>R47C1</v>
      </c>
      <c r="Q202" s="49" t="str">
        <f>IF(AND('Mapa final'!$AB$143="Baja",'Mapa final'!$AD$143="Moderado"),CONCATENATE("R47C",'Mapa final'!$R$143),"")</f>
        <v/>
      </c>
      <c r="R202" s="108" t="str">
        <f>IF(AND('Mapa final'!$AB$144="Baja",'Mapa final'!$AD$144="Moderado"),CONCATENATE("R47C",'Mapa final'!$R$144),"")</f>
        <v/>
      </c>
      <c r="S202" s="102" t="str">
        <f>IF(AND('Mapa final'!$AB$142="Baja",'Mapa final'!$AD$142="Mayor"),CONCATENATE("R47C",'Mapa final'!$R$142),"")</f>
        <v/>
      </c>
      <c r="T202" s="41" t="str">
        <f>IF(AND('Mapa final'!$AB$143="Baja",'Mapa final'!$AD$143="Mayor"),CONCATENATE("R47C",'Mapa final'!$R$143),"")</f>
        <v/>
      </c>
      <c r="U202" s="103" t="str">
        <f>IF(AND('Mapa final'!$AB$144="Baja",'Mapa final'!$AD$144="Mayor"),CONCATENATE("R47C",'Mapa final'!$R$144),"")</f>
        <v/>
      </c>
      <c r="V202" s="42" t="str">
        <f>IF(AND('Mapa final'!$AB$142="Baja",'Mapa final'!$AD$142="Catastrófico"),CONCATENATE("R47C",'Mapa final'!$R$142),"")</f>
        <v/>
      </c>
      <c r="W202" s="43" t="str">
        <f>IF(AND('Mapa final'!$AB$143="Baja",'Mapa final'!$AD$143="Catastrófico"),CONCATENATE("R47C",'Mapa final'!$R$143),"")</f>
        <v/>
      </c>
      <c r="X202" s="97" t="str">
        <f>IF(AND('Mapa final'!$AB$144="Baja",'Mapa final'!$AD$144="Catastrófico"),CONCATENATE("R47C",'Mapa final'!$R$144),"")</f>
        <v/>
      </c>
      <c r="Y202" s="55"/>
      <c r="Z202" s="306"/>
      <c r="AA202" s="307"/>
      <c r="AB202" s="307"/>
      <c r="AC202" s="307"/>
      <c r="AD202" s="307"/>
      <c r="AE202" s="308"/>
      <c r="AF202" s="55"/>
      <c r="AG202" s="55"/>
      <c r="AH202" s="55"/>
      <c r="AI202" s="55"/>
      <c r="AJ202" s="55"/>
      <c r="AK202" s="55"/>
      <c r="AL202" s="55"/>
      <c r="AM202" s="55"/>
      <c r="AN202" s="55"/>
      <c r="AO202" s="55"/>
      <c r="AP202" s="55"/>
      <c r="AQ202" s="55"/>
      <c r="AR202" s="55"/>
      <c r="AS202" s="55"/>
      <c r="AT202" s="55"/>
      <c r="AU202" s="55"/>
      <c r="AV202" s="55"/>
      <c r="AW202" s="55"/>
      <c r="AX202" s="55"/>
      <c r="AY202" s="55"/>
      <c r="AZ202" s="55"/>
      <c r="BA202" s="55"/>
      <c r="BB202" s="55"/>
      <c r="BC202" s="55"/>
      <c r="BD202" s="55"/>
      <c r="BE202" s="55"/>
      <c r="BF202" s="55"/>
      <c r="BG202" s="55"/>
      <c r="BH202" s="55"/>
      <c r="BI202" s="55"/>
    </row>
    <row r="203" spans="1:65" ht="15" customHeight="1" x14ac:dyDescent="0.25">
      <c r="A203" s="55"/>
      <c r="B203" s="301"/>
      <c r="C203" s="301"/>
      <c r="D203" s="302"/>
      <c r="E203" s="279"/>
      <c r="F203" s="274"/>
      <c r="G203" s="274"/>
      <c r="H203" s="274"/>
      <c r="I203" s="274"/>
      <c r="J203" s="112" t="str">
        <f>IF(AND('Mapa final'!$AB$145="Baja",'Mapa final'!$AD$145="Leve"),CONCATENATE("R48C",'Mapa final'!$R$145),"")</f>
        <v/>
      </c>
      <c r="K203" s="53" t="str">
        <f>IF(AND('Mapa final'!$AB$146="Baja",'Mapa final'!$AD$146="Leve"),CONCATENATE("R48C",'Mapa final'!$R$146),"")</f>
        <v/>
      </c>
      <c r="L203" s="113" t="str">
        <f>IF(AND('Mapa final'!$AB$147="Baja",'Mapa final'!$AD$147="Leve"),CONCATENATE("R48C",'Mapa final'!$R$147),"")</f>
        <v/>
      </c>
      <c r="M203" s="48" t="str">
        <f>IF(AND('Mapa final'!$AB$145="Baja",'Mapa final'!$AD$145="Menor"),CONCATENATE("R48C",'Mapa final'!$R$145),"")</f>
        <v/>
      </c>
      <c r="N203" s="49" t="str">
        <f>IF(AND('Mapa final'!$AB$146="Baja",'Mapa final'!$AD$146="Menor"),CONCATENATE("R48C",'Mapa final'!$R$146),"")</f>
        <v/>
      </c>
      <c r="O203" s="108" t="str">
        <f>IF(AND('Mapa final'!$AB$147="Baja",'Mapa final'!$AD$147="Menor"),CONCATENATE("R48C",'Mapa final'!$R$147),"")</f>
        <v/>
      </c>
      <c r="P203" s="48" t="str">
        <f>IF(AND('Mapa final'!$AB$145="Baja",'Mapa final'!$AD$145="Moderado"),CONCATENATE("R48C",'Mapa final'!$R$145),"")</f>
        <v/>
      </c>
      <c r="Q203" s="49" t="str">
        <f>IF(AND('Mapa final'!$AB$146="Baja",'Mapa final'!$AD$146="Moderado"),CONCATENATE("R48C",'Mapa final'!$R$146),"")</f>
        <v/>
      </c>
      <c r="R203" s="108" t="str">
        <f>IF(AND('Mapa final'!$AB$147="Baja",'Mapa final'!$AD$147="Moderado"),CONCATENATE("R48C",'Mapa final'!$R$147),"")</f>
        <v/>
      </c>
      <c r="S203" s="102" t="str">
        <f>IF(AND('Mapa final'!$AB$145="Baja",'Mapa final'!$AD$145="Mayor"),CONCATENATE("R48C",'Mapa final'!$R$145),"")</f>
        <v/>
      </c>
      <c r="T203" s="41" t="str">
        <f>IF(AND('Mapa final'!$AB$146="Baja",'Mapa final'!$AD$146="Mayor"),CONCATENATE("R48C",'Mapa final'!$R$146),"")</f>
        <v/>
      </c>
      <c r="U203" s="103" t="str">
        <f>IF(AND('Mapa final'!$AB$147="Baja",'Mapa final'!$AD$147="Mayor"),CONCATENATE("R48C",'Mapa final'!$R$147),"")</f>
        <v/>
      </c>
      <c r="V203" s="42" t="str">
        <f>IF(AND('Mapa final'!$AB$145="Baja",'Mapa final'!$AD$145="Catastrófico"),CONCATENATE("R48C",'Mapa final'!$R$145),"")</f>
        <v/>
      </c>
      <c r="W203" s="43" t="str">
        <f>IF(AND('Mapa final'!$AB$146="Baja",'Mapa final'!$AD$146="Catastrófico"),CONCATENATE("R48C",'Mapa final'!$R$146),"")</f>
        <v/>
      </c>
      <c r="X203" s="97" t="str">
        <f>IF(AND('Mapa final'!$AB$147="Baja",'Mapa final'!$AD$147="Catastrófico"),CONCATENATE("R48C",'Mapa final'!$R$147),"")</f>
        <v/>
      </c>
      <c r="Y203" s="55"/>
      <c r="Z203" s="306"/>
      <c r="AA203" s="307"/>
      <c r="AB203" s="307"/>
      <c r="AC203" s="307"/>
      <c r="AD203" s="307"/>
      <c r="AE203" s="308"/>
      <c r="AF203" s="55"/>
      <c r="AG203" s="55"/>
      <c r="AH203" s="55"/>
      <c r="AI203" s="55"/>
      <c r="AJ203" s="55"/>
      <c r="AK203" s="55"/>
      <c r="AL203" s="55"/>
      <c r="AM203" s="55"/>
      <c r="AN203" s="55"/>
      <c r="AO203" s="55"/>
      <c r="AP203" s="55"/>
      <c r="AQ203" s="55"/>
      <c r="AR203" s="55"/>
      <c r="AS203" s="55"/>
      <c r="AT203" s="55"/>
      <c r="AU203" s="55"/>
      <c r="AV203" s="55"/>
      <c r="AW203" s="55"/>
      <c r="AX203" s="55"/>
      <c r="AY203" s="55"/>
      <c r="AZ203" s="55"/>
      <c r="BA203" s="55"/>
      <c r="BB203" s="55"/>
      <c r="BC203" s="55"/>
      <c r="BD203" s="55"/>
      <c r="BE203" s="55"/>
      <c r="BF203" s="55"/>
      <c r="BG203" s="55"/>
      <c r="BH203" s="55"/>
      <c r="BI203" s="55"/>
    </row>
    <row r="204" spans="1:65" ht="15" customHeight="1" x14ac:dyDescent="0.25">
      <c r="A204" s="55"/>
      <c r="B204" s="301"/>
      <c r="C204" s="301"/>
      <c r="D204" s="302"/>
      <c r="E204" s="279"/>
      <c r="F204" s="274"/>
      <c r="G204" s="274"/>
      <c r="H204" s="274"/>
      <c r="I204" s="274"/>
      <c r="J204" s="112" t="str">
        <f>IF(AND('Mapa final'!$AB$148="Baja",'Mapa final'!$AD$148="Leve"),CONCATENATE("R49C",'Mapa final'!$R$148),"")</f>
        <v/>
      </c>
      <c r="K204" s="53" t="str">
        <f>IF(AND('Mapa final'!$AB$149="Baja",'Mapa final'!$AD$149="Leve"),CONCATENATE("R49C",'Mapa final'!$R$149),"")</f>
        <v/>
      </c>
      <c r="L204" s="113" t="str">
        <f>IF(AND('Mapa final'!$AB$150="Baja",'Mapa final'!$AD$150="Leve"),CONCATENATE("R49C",'Mapa final'!$R$150),"")</f>
        <v/>
      </c>
      <c r="M204" s="48" t="str">
        <f>IF(AND('Mapa final'!$AB$148="Baja",'Mapa final'!$AD$148="Menor"),CONCATENATE("R49C",'Mapa final'!$R$148),"")</f>
        <v/>
      </c>
      <c r="N204" s="49" t="str">
        <f>IF(AND('Mapa final'!$AB$149="Baja",'Mapa final'!$AD$149="Menor"),CONCATENATE("R49C",'Mapa final'!$R$149),"")</f>
        <v/>
      </c>
      <c r="O204" s="108" t="str">
        <f>IF(AND('Mapa final'!$AB$150="Baja",'Mapa final'!$AD$150="Menor"),CONCATENATE("R49C",'Mapa final'!$R$150),"")</f>
        <v/>
      </c>
      <c r="P204" s="48" t="str">
        <f>IF(AND('Mapa final'!$AB$148="Baja",'Mapa final'!$AD$148="Moderado"),CONCATENATE("R49C",'Mapa final'!$R$148),"")</f>
        <v/>
      </c>
      <c r="Q204" s="49" t="str">
        <f>IF(AND('Mapa final'!$AB$149="Baja",'Mapa final'!$AD$149="Moderado"),CONCATENATE("R49C",'Mapa final'!$R$149),"")</f>
        <v/>
      </c>
      <c r="R204" s="108" t="str">
        <f>IF(AND('Mapa final'!$AB$150="Baja",'Mapa final'!$AD$150="Moderado"),CONCATENATE("R49C",'Mapa final'!$R$150),"")</f>
        <v/>
      </c>
      <c r="S204" s="102" t="str">
        <f>IF(AND('Mapa final'!$AB$148="Baja",'Mapa final'!$AD$148="Mayor"),CONCATENATE("R49C",'Mapa final'!$R$148),"")</f>
        <v/>
      </c>
      <c r="T204" s="41" t="str">
        <f>IF(AND('Mapa final'!$AB$149="Baja",'Mapa final'!$AD$149="Mayor"),CONCATENATE("R49C",'Mapa final'!$R$149),"")</f>
        <v/>
      </c>
      <c r="U204" s="103" t="str">
        <f>IF(AND('Mapa final'!$AB$150="Baja",'Mapa final'!$AD$150="Mayor"),CONCATENATE("R49C",'Mapa final'!$R$150),"")</f>
        <v/>
      </c>
      <c r="V204" s="42" t="str">
        <f>IF(AND('Mapa final'!$AB$148="Baja",'Mapa final'!$AD$148="Catastrófico"),CONCATENATE("R49C",'Mapa final'!$R$148),"")</f>
        <v/>
      </c>
      <c r="W204" s="43" t="str">
        <f>IF(AND('Mapa final'!$AB$149="Baja",'Mapa final'!$AD$149="Catastrófico"),CONCATENATE("R49C",'Mapa final'!$R$149),"")</f>
        <v/>
      </c>
      <c r="X204" s="97" t="str">
        <f>IF(AND('Mapa final'!$AB$150="Baja",'Mapa final'!$AD$150="Catastrófico"),CONCATENATE("R49C",'Mapa final'!$R$150),"")</f>
        <v/>
      </c>
      <c r="Y204" s="55"/>
      <c r="Z204" s="306"/>
      <c r="AA204" s="307"/>
      <c r="AB204" s="307"/>
      <c r="AC204" s="307"/>
      <c r="AD204" s="307"/>
      <c r="AE204" s="308"/>
      <c r="AF204" s="55"/>
      <c r="AG204" s="55"/>
      <c r="AH204" s="55"/>
      <c r="AI204" s="55"/>
      <c r="AJ204" s="55"/>
      <c r="AK204" s="55"/>
      <c r="AL204" s="55"/>
      <c r="AM204" s="55"/>
      <c r="AN204" s="55"/>
      <c r="AO204" s="55"/>
      <c r="AP204" s="55"/>
      <c r="AQ204" s="55"/>
      <c r="AR204" s="55"/>
      <c r="AS204" s="55"/>
      <c r="AT204" s="55"/>
      <c r="AU204" s="55"/>
      <c r="AV204" s="55"/>
      <c r="AW204" s="55"/>
      <c r="AX204" s="55"/>
      <c r="AY204" s="55"/>
      <c r="AZ204" s="55"/>
      <c r="BA204" s="55"/>
      <c r="BB204" s="55"/>
      <c r="BC204" s="55"/>
      <c r="BD204" s="55"/>
      <c r="BE204" s="55"/>
      <c r="BF204" s="55"/>
      <c r="BG204" s="55"/>
      <c r="BH204" s="55"/>
      <c r="BI204" s="55"/>
    </row>
    <row r="205" spans="1:65" ht="15" customHeight="1" thickBot="1" x14ac:dyDescent="0.3">
      <c r="A205" s="55"/>
      <c r="B205" s="301"/>
      <c r="C205" s="301"/>
      <c r="D205" s="302"/>
      <c r="E205" s="279"/>
      <c r="F205" s="274"/>
      <c r="G205" s="274"/>
      <c r="H205" s="274"/>
      <c r="I205" s="274"/>
      <c r="J205" s="114" t="str">
        <f>IF(AND('Mapa final'!$AB$151="Baja",'Mapa final'!$AD$151="Leve"),CONCATENATE("R50C",'Mapa final'!$R$151),"")</f>
        <v/>
      </c>
      <c r="K205" s="54" t="str">
        <f>IF(AND('Mapa final'!$AB$152="Baja",'Mapa final'!$AD$152="Leve"),CONCATENATE("R50C",'Mapa final'!$R$152),"")</f>
        <v/>
      </c>
      <c r="L205" s="115" t="str">
        <f>IF(AND('Mapa final'!$AB$153="Baja",'Mapa final'!$AD$153="Leve"),CONCATENATE("R50C",'Mapa final'!$R$153),"")</f>
        <v/>
      </c>
      <c r="M205" s="50" t="str">
        <f>IF(AND('Mapa final'!$AB$151="Baja",'Mapa final'!$AD$151="Menor"),CONCATENATE("R50C",'Mapa final'!$R$151),"")</f>
        <v/>
      </c>
      <c r="N205" s="51" t="str">
        <f>IF(AND('Mapa final'!$AB$152="Baja",'Mapa final'!$AD$152="Menor"),CONCATENATE("R50C",'Mapa final'!$R$152),"")</f>
        <v/>
      </c>
      <c r="O205" s="109" t="str">
        <f>IF(AND('Mapa final'!$AB$153="Baja",'Mapa final'!$AD$153="Menor"),CONCATENATE("R50C",'Mapa final'!$R$153),"")</f>
        <v/>
      </c>
      <c r="P205" s="50" t="str">
        <f>IF(AND('Mapa final'!$AB$151="Baja",'Mapa final'!$AD$151="Moderado"),CONCATENATE("R50C",'Mapa final'!$R$151),"")</f>
        <v/>
      </c>
      <c r="Q205" s="51" t="str">
        <f>IF(AND('Mapa final'!$AB$152="Baja",'Mapa final'!$AD$152="Moderado"),CONCATENATE("R50C",'Mapa final'!$R$152),"")</f>
        <v/>
      </c>
      <c r="R205" s="109" t="str">
        <f>IF(AND('Mapa final'!$AB$153="Baja",'Mapa final'!$AD$153="Moderado"),CONCATENATE("R50C",'Mapa final'!$R$153),"")</f>
        <v/>
      </c>
      <c r="S205" s="104" t="str">
        <f>IF(AND('Mapa final'!$AB$151="Baja",'Mapa final'!$AD$151="Mayor"),CONCATENATE("R50C",'Mapa final'!$R$151),"")</f>
        <v/>
      </c>
      <c r="T205" s="105" t="str">
        <f>IF(AND('Mapa final'!$AB$152="Baja",'Mapa final'!$AD$152="Mayor"),CONCATENATE("R50C",'Mapa final'!$R$152),"")</f>
        <v/>
      </c>
      <c r="U205" s="106" t="str">
        <f>IF(AND('Mapa final'!$AB$153="Baja",'Mapa final'!$AD$153="Mayor"),CONCATENATE("R50C",'Mapa final'!$R$153),"")</f>
        <v/>
      </c>
      <c r="V205" s="44" t="str">
        <f>IF(AND('Mapa final'!$AB$151="Baja",'Mapa final'!$AD$151="Catastrófico"),CONCATENATE("R50C",'Mapa final'!$R$151),"")</f>
        <v/>
      </c>
      <c r="W205" s="45" t="str">
        <f>IF(AND('Mapa final'!$AB$152="Baja",'Mapa final'!$AD$152="Catastrófico"),CONCATENATE("R50C",'Mapa final'!$R$152),"")</f>
        <v/>
      </c>
      <c r="X205" s="98" t="str">
        <f>IF(AND('Mapa final'!$AB$153="Baja",'Mapa final'!$AD$153="Catastrófico"),CONCATENATE("R50C",'Mapa final'!$R$153),"")</f>
        <v/>
      </c>
      <c r="Y205" s="55"/>
      <c r="Z205" s="306"/>
      <c r="AA205" s="307"/>
      <c r="AB205" s="307"/>
      <c r="AC205" s="307"/>
      <c r="AD205" s="307"/>
      <c r="AE205" s="308"/>
      <c r="AF205" s="55"/>
      <c r="AG205" s="55"/>
      <c r="AH205" s="55"/>
      <c r="AI205" s="55"/>
      <c r="AJ205" s="55"/>
      <c r="AK205" s="55"/>
      <c r="AL205" s="55"/>
      <c r="AM205" s="55"/>
      <c r="AN205" s="55"/>
      <c r="AO205" s="55"/>
      <c r="AP205" s="55"/>
      <c r="AQ205" s="55"/>
      <c r="AR205" s="55"/>
      <c r="AS205" s="55"/>
      <c r="AT205" s="55"/>
      <c r="AU205" s="55"/>
      <c r="AV205" s="55"/>
      <c r="AW205" s="55"/>
      <c r="AX205" s="55"/>
      <c r="AY205" s="55"/>
      <c r="AZ205" s="55"/>
      <c r="BA205" s="55"/>
      <c r="BB205" s="55"/>
      <c r="BC205" s="55"/>
      <c r="BD205" s="55"/>
      <c r="BE205" s="55"/>
      <c r="BF205" s="55"/>
      <c r="BG205" s="55"/>
      <c r="BH205" s="55"/>
      <c r="BI205" s="55"/>
    </row>
    <row r="206" spans="1:65" ht="16.5" customHeight="1" x14ac:dyDescent="0.25">
      <c r="A206" s="55"/>
      <c r="B206" s="301"/>
      <c r="C206" s="301"/>
      <c r="D206" s="302"/>
      <c r="E206" s="290" t="s">
        <v>104</v>
      </c>
      <c r="F206" s="291"/>
      <c r="G206" s="291"/>
      <c r="H206" s="291"/>
      <c r="I206" s="291"/>
      <c r="J206" s="110" t="str">
        <f>IF(AND('Mapa final'!$AB$7="Muy Baja",'Mapa final'!$AD$7="Leve"),CONCATENATE("R1C",'Mapa final'!$R$7),"")</f>
        <v/>
      </c>
      <c r="K206" s="52" t="str">
        <f>IF(AND('Mapa final'!$AB$8="Muy Baja",'Mapa final'!$AD$8="Leve"),CONCATENATE("R1C",'Mapa final'!$R$8),"")</f>
        <v/>
      </c>
      <c r="L206" s="111" t="str">
        <f>IF(AND('Mapa final'!$AB$9="Muy Baja",'Mapa final'!$AD$9="Leve"),CONCATENATE("R1C",'Mapa final'!$R$9),"")</f>
        <v/>
      </c>
      <c r="M206" s="110" t="str">
        <f>IF(AND('Mapa final'!$AB$7="Muy Baja",'Mapa final'!$AD$7="Menor"),CONCATENATE("R1C",'Mapa final'!$R$7),"")</f>
        <v/>
      </c>
      <c r="N206" s="52" t="str">
        <f>IF(AND('Mapa final'!$AB$8="Muy Baja",'Mapa final'!$AD$8="Menor"),CONCATENATE("R1C",'Mapa final'!$R$8),"")</f>
        <v/>
      </c>
      <c r="O206" s="111" t="str">
        <f>IF(AND('Mapa final'!$AB$9="Muy Baja",'Mapa final'!$AD$9="Menor"),CONCATENATE("R1C",'Mapa final'!$R$9),"")</f>
        <v/>
      </c>
      <c r="P206" s="46" t="str">
        <f>IF(AND('Mapa final'!$AB$7="Muy Baja",'Mapa final'!$AD$7="Moderado"),CONCATENATE("R1C",'Mapa final'!$R$7),"")</f>
        <v/>
      </c>
      <c r="Q206" s="47" t="str">
        <f>IF(AND('Mapa final'!$AB$8="Muy Baja",'Mapa final'!$AD$8="Moderado"),CONCATENATE("R1C",'Mapa final'!$R$8),"")</f>
        <v/>
      </c>
      <c r="R206" s="107" t="str">
        <f>IF(AND('Mapa final'!$AB$9="Muy Baja",'Mapa final'!$AD$9="Moderado"),CONCATENATE("R1C",'Mapa final'!$R$9),"")</f>
        <v/>
      </c>
      <c r="S206" s="99" t="str">
        <f>IF(AND('Mapa final'!$AB$7="Muy Baja",'Mapa final'!$AD$7="Mayor"),CONCATENATE("R1C",'Mapa final'!$R$7),"")</f>
        <v/>
      </c>
      <c r="T206" s="100" t="str">
        <f>IF(AND('Mapa final'!$AB$8="Muy Baja",'Mapa final'!$AD$8="Mayor"),CONCATENATE("R1C",'Mapa final'!$R$8),"")</f>
        <v/>
      </c>
      <c r="U206" s="101" t="str">
        <f>IF(AND('Mapa final'!$AB$9="Muy Baja",'Mapa final'!$AD$9="Mayor"),CONCATENATE("R1C",'Mapa final'!$R$9),"")</f>
        <v/>
      </c>
      <c r="V206" s="39" t="str">
        <f>IF(AND('Mapa final'!$AB$7="Muy Baja",'Mapa final'!$AD$7="Catastrófico"),CONCATENATE("R1C",'Mapa final'!$R$7),"")</f>
        <v/>
      </c>
      <c r="W206" s="40" t="str">
        <f>IF(AND('Mapa final'!$AB$8="Muy Baja",'Mapa final'!$AD$8="Catastrófico"),CONCATENATE("R1C",'Mapa final'!$R$8),"")</f>
        <v/>
      </c>
      <c r="X206" s="96" t="str">
        <f>IF(AND('Mapa final'!$AB$9="Muy Baja",'Mapa final'!$AD$9="Catastrófico"),CONCATENATE("R1C",'Mapa final'!$R$9),"")</f>
        <v/>
      </c>
      <c r="Y206" s="55"/>
      <c r="Z206" s="55"/>
      <c r="AA206" s="55"/>
      <c r="AB206" s="55"/>
      <c r="AC206" s="55"/>
      <c r="AD206" s="55"/>
      <c r="AE206" s="55"/>
      <c r="AF206" s="55"/>
      <c r="AG206" s="55"/>
      <c r="AH206" s="55"/>
      <c r="AI206" s="55"/>
      <c r="AJ206" s="55"/>
      <c r="AK206" s="55"/>
      <c r="AL206" s="55"/>
      <c r="AM206" s="55"/>
      <c r="AN206" s="55"/>
      <c r="AO206" s="55"/>
      <c r="AP206" s="55"/>
      <c r="AQ206" s="55"/>
      <c r="AR206" s="55"/>
      <c r="AS206" s="55"/>
      <c r="AT206" s="55"/>
      <c r="AU206" s="55"/>
      <c r="AV206" s="55"/>
      <c r="AW206" s="55"/>
      <c r="AX206" s="55"/>
      <c r="AY206" s="55"/>
      <c r="AZ206" s="55"/>
      <c r="BA206" s="55"/>
      <c r="BB206" s="55"/>
      <c r="BC206" s="55"/>
      <c r="BD206" s="55"/>
      <c r="BE206" s="55"/>
      <c r="BF206" s="55"/>
      <c r="BG206" s="55"/>
      <c r="BH206" s="55"/>
      <c r="BI206" s="55"/>
      <c r="BJ206" s="55"/>
      <c r="BK206" s="55"/>
      <c r="BL206" s="55"/>
      <c r="BM206" s="55"/>
    </row>
    <row r="207" spans="1:65" ht="15.75" x14ac:dyDescent="0.25">
      <c r="A207" s="55"/>
      <c r="B207" s="301"/>
      <c r="C207" s="301"/>
      <c r="D207" s="302"/>
      <c r="E207" s="278"/>
      <c r="F207" s="274"/>
      <c r="G207" s="274"/>
      <c r="H207" s="274"/>
      <c r="I207" s="274"/>
      <c r="J207" s="112" t="str">
        <f>IF(AND('Mapa final'!$AB$10="Muy Baja",'Mapa final'!$AD$10="Leve"),CONCATENATE("R2C",'Mapa final'!$R$10),"")</f>
        <v/>
      </c>
      <c r="K207" s="53" t="str">
        <f>IF(AND('Mapa final'!$AB$11="Muy Baja",'Mapa final'!$AD$11="Leve"),CONCATENATE("R2C",'Mapa final'!$R$11),"")</f>
        <v/>
      </c>
      <c r="L207" s="113" t="str">
        <f>IF(AND('Mapa final'!$AB$12="Muy Baja",'Mapa final'!$AD$12="Leve"),CONCATENATE("R2C",'Mapa final'!$R$12),"")</f>
        <v/>
      </c>
      <c r="M207" s="112" t="str">
        <f>IF(AND('Mapa final'!$AB$10="Muy Baja",'Mapa final'!$AD$10="Menor"),CONCATENATE("R2C",'Mapa final'!$R$10),"")</f>
        <v/>
      </c>
      <c r="N207" s="53" t="str">
        <f>IF(AND('Mapa final'!$AB$11="Muy Baja",'Mapa final'!$AD$11="Menor"),CONCATENATE("R2C",'Mapa final'!$R$11),"")</f>
        <v/>
      </c>
      <c r="O207" s="113" t="str">
        <f>IF(AND('Mapa final'!$AB$12="Muy Baja",'Mapa final'!$AD$12="Menor"),CONCATENATE("R2C",'Mapa final'!$R$12),"")</f>
        <v/>
      </c>
      <c r="P207" s="48" t="str">
        <f>IF(AND('Mapa final'!$AB$10="Muy Baja",'Mapa final'!$AD$10="Moderado"),CONCATENATE("R2C",'Mapa final'!$R$10),"")</f>
        <v/>
      </c>
      <c r="Q207" s="49" t="str">
        <f>IF(AND('Mapa final'!$AB$11="Muy Baja",'Mapa final'!$AD$11="Moderado"),CONCATENATE("R2C",'Mapa final'!$R$11),"")</f>
        <v/>
      </c>
      <c r="R207" s="108" t="str">
        <f>IF(AND('Mapa final'!$AB$12="Muy Baja",'Mapa final'!$AD$12="Moderado"),CONCATENATE("R2C",'Mapa final'!$R$12),"")</f>
        <v/>
      </c>
      <c r="S207" s="102" t="str">
        <f>IF(AND('Mapa final'!$AB$10="Muy Baja",'Mapa final'!$AD$10="Mayor"),CONCATENATE("R2C",'Mapa final'!$R$10),"")</f>
        <v/>
      </c>
      <c r="T207" s="41" t="str">
        <f>IF(AND('Mapa final'!$AB$11="Muy Baja",'Mapa final'!$AD$11="Mayor"),CONCATENATE("R2C",'Mapa final'!$R$11),"")</f>
        <v/>
      </c>
      <c r="U207" s="103" t="str">
        <f>IF(AND('Mapa final'!$AB$12="Muy Baja",'Mapa final'!$AD$12="Mayor"),CONCATENATE("R2C",'Mapa final'!$R$12),"")</f>
        <v/>
      </c>
      <c r="V207" s="42" t="str">
        <f>IF(AND('Mapa final'!$AB$10="Muy Baja",'Mapa final'!$AD$10="Catastrófico"),CONCATENATE("R2C",'Mapa final'!$R$10),"")</f>
        <v/>
      </c>
      <c r="W207" s="43" t="str">
        <f>IF(AND('Mapa final'!$AB$11="Muy Baja",'Mapa final'!$AD$11="Catastrófico"),CONCATENATE("R2C",'Mapa final'!$R$11),"")</f>
        <v/>
      </c>
      <c r="X207" s="97" t="str">
        <f>IF(AND('Mapa final'!$AB$12="Muy Baja",'Mapa final'!$AD$12="Catastrófico"),CONCATENATE("R2C",'Mapa final'!$R$12),"")</f>
        <v/>
      </c>
      <c r="Y207" s="55"/>
      <c r="Z207" s="55"/>
      <c r="AA207" s="55"/>
      <c r="AB207" s="55"/>
      <c r="AC207" s="55"/>
      <c r="AD207" s="55"/>
      <c r="AE207" s="55"/>
      <c r="AF207" s="55"/>
      <c r="AG207" s="55"/>
      <c r="AH207" s="55"/>
      <c r="AI207" s="55"/>
      <c r="AJ207" s="55"/>
      <c r="AK207" s="55"/>
      <c r="AL207" s="55"/>
      <c r="AM207" s="55"/>
      <c r="AN207" s="55"/>
      <c r="AO207" s="55"/>
      <c r="AP207" s="55"/>
      <c r="AQ207" s="55"/>
      <c r="AR207" s="55"/>
      <c r="AS207" s="55"/>
      <c r="AT207" s="55"/>
      <c r="AU207" s="55"/>
      <c r="AV207" s="55"/>
      <c r="AW207" s="55"/>
      <c r="AX207" s="55"/>
      <c r="AY207" s="55"/>
      <c r="AZ207" s="55"/>
      <c r="BA207" s="55"/>
      <c r="BB207" s="55"/>
      <c r="BC207" s="55"/>
      <c r="BD207" s="55"/>
      <c r="BE207" s="55"/>
      <c r="BF207" s="55"/>
      <c r="BG207" s="55"/>
      <c r="BH207" s="55"/>
      <c r="BI207" s="55"/>
      <c r="BJ207" s="55"/>
      <c r="BK207" s="55"/>
      <c r="BL207" s="55"/>
      <c r="BM207" s="55"/>
    </row>
    <row r="208" spans="1:65" ht="15.75" x14ac:dyDescent="0.25">
      <c r="A208" s="55"/>
      <c r="B208" s="301"/>
      <c r="C208" s="301"/>
      <c r="D208" s="302"/>
      <c r="E208" s="278"/>
      <c r="F208" s="274"/>
      <c r="G208" s="274"/>
      <c r="H208" s="274"/>
      <c r="I208" s="274"/>
      <c r="J208" s="112" t="str">
        <f>IF(AND('Mapa final'!$AB$13="Muy Baja",'Mapa final'!$AD$13="Leve"),CONCATENATE("R3C",'Mapa final'!$R$13),"")</f>
        <v/>
      </c>
      <c r="K208" s="53" t="str">
        <f>IF(AND('Mapa final'!$AB$14="Muy Baja",'Mapa final'!$AD$14="Leve"),CONCATENATE("R3C",'Mapa final'!$R$14),"")</f>
        <v/>
      </c>
      <c r="L208" s="113" t="str">
        <f>IF(AND('Mapa final'!$AB$15="Muy Baja",'Mapa final'!$AD$15="Leve"),CONCATENATE("R3C",'Mapa final'!$R$15),"")</f>
        <v/>
      </c>
      <c r="M208" s="112" t="str">
        <f>IF(AND('Mapa final'!$AB$13="Muy Baja",'Mapa final'!$AD$13="Menor"),CONCATENATE("R3C",'Mapa final'!$R$13),"")</f>
        <v/>
      </c>
      <c r="N208" s="53" t="str">
        <f>IF(AND('Mapa final'!$AB$14="Muy Baja",'Mapa final'!$AD$14="Menor"),CONCATENATE("R3C",'Mapa final'!$R$14),"")</f>
        <v/>
      </c>
      <c r="O208" s="113" t="str">
        <f>IF(AND('Mapa final'!$AB$15="Muy Baja",'Mapa final'!$AD$15="Menor"),CONCATENATE("R3C",'Mapa final'!$R$15),"")</f>
        <v/>
      </c>
      <c r="P208" s="48" t="str">
        <f>IF(AND('Mapa final'!$AB$13="Muy Baja",'Mapa final'!$AD$13="Moderado"),CONCATENATE("R3C",'Mapa final'!$R$13),"")</f>
        <v/>
      </c>
      <c r="Q208" s="49" t="str">
        <f>IF(AND('Mapa final'!$AB$14="Muy Baja",'Mapa final'!$AD$14="Moderado"),CONCATENATE("R3C",'Mapa final'!$R$14),"")</f>
        <v/>
      </c>
      <c r="R208" s="108" t="str">
        <f>IF(AND('Mapa final'!$AB$15="Muy Baja",'Mapa final'!$AD$15="Moderado"),CONCATENATE("R3C",'Mapa final'!$R$15),"")</f>
        <v/>
      </c>
      <c r="S208" s="102" t="str">
        <f>IF(AND('Mapa final'!$AB$13="Muy Baja",'Mapa final'!$AD$13="Mayor"),CONCATENATE("R3C",'Mapa final'!$R$13),"")</f>
        <v/>
      </c>
      <c r="T208" s="41" t="str">
        <f>IF(AND('Mapa final'!$AB$14="Muy Baja",'Mapa final'!$AD$14="Mayor"),CONCATENATE("R3C",'Mapa final'!$R$14),"")</f>
        <v/>
      </c>
      <c r="U208" s="103" t="str">
        <f>IF(AND('Mapa final'!$AB$15="Muy Baja",'Mapa final'!$AD$15="Mayor"),CONCATENATE("R3C",'Mapa final'!$R$15),"")</f>
        <v/>
      </c>
      <c r="V208" s="42" t="str">
        <f>IF(AND('Mapa final'!$AB$13="Muy Baja",'Mapa final'!$AD$13="Catastrófico"),CONCATENATE("R3C",'Mapa final'!$R$13),"")</f>
        <v/>
      </c>
      <c r="W208" s="43" t="str">
        <f>IF(AND('Mapa final'!$AB$14="Muy Baja",'Mapa final'!$AD$14="Catastrófico"),CONCATENATE("R3C",'Mapa final'!$R$14),"")</f>
        <v/>
      </c>
      <c r="X208" s="97" t="str">
        <f>IF(AND('Mapa final'!$AB$15="Muy Baja",'Mapa final'!$AD$15="Catastrófico"),CONCATENATE("R3C",'Mapa final'!$R$15),"")</f>
        <v/>
      </c>
      <c r="Y208" s="55"/>
      <c r="Z208" s="55"/>
      <c r="AA208" s="55"/>
      <c r="AB208" s="55"/>
      <c r="AC208" s="55"/>
      <c r="AD208" s="55"/>
      <c r="AE208" s="55"/>
      <c r="AF208" s="55"/>
      <c r="AG208" s="55"/>
      <c r="AH208" s="55"/>
      <c r="AI208" s="55"/>
      <c r="AJ208" s="55"/>
      <c r="AK208" s="55"/>
      <c r="AL208" s="55"/>
      <c r="AM208" s="55"/>
      <c r="AN208" s="55"/>
      <c r="AO208" s="55"/>
      <c r="AP208" s="55"/>
      <c r="AQ208" s="55"/>
      <c r="AR208" s="55"/>
      <c r="AS208" s="55"/>
      <c r="AT208" s="55"/>
      <c r="AU208" s="55"/>
      <c r="AV208" s="55"/>
      <c r="AW208" s="55"/>
      <c r="AX208" s="55"/>
      <c r="AY208" s="55"/>
      <c r="AZ208" s="55"/>
      <c r="BA208" s="55"/>
      <c r="BB208" s="55"/>
      <c r="BC208" s="55"/>
      <c r="BD208" s="55"/>
      <c r="BE208" s="55"/>
      <c r="BF208" s="55"/>
      <c r="BG208" s="55"/>
      <c r="BH208" s="55"/>
      <c r="BI208" s="55"/>
      <c r="BJ208" s="55"/>
      <c r="BK208" s="55"/>
      <c r="BL208" s="55"/>
      <c r="BM208" s="55"/>
    </row>
    <row r="209" spans="1:65" ht="15.75" x14ac:dyDescent="0.25">
      <c r="A209" s="55"/>
      <c r="B209" s="301"/>
      <c r="C209" s="301"/>
      <c r="D209" s="302"/>
      <c r="E209" s="278"/>
      <c r="F209" s="274"/>
      <c r="G209" s="274"/>
      <c r="H209" s="274"/>
      <c r="I209" s="274"/>
      <c r="J209" s="112" t="e">
        <f>IF(AND('Mapa final'!#REF!="Muy Baja",'Mapa final'!#REF!="Leve"),CONCATENATE("R4C",'Mapa final'!#REF!),"")</f>
        <v>#REF!</v>
      </c>
      <c r="K209" s="53" t="e">
        <f>IF(AND('Mapa final'!#REF!="Muy Baja",'Mapa final'!#REF!="Leve"),CONCATENATE("R4C",'Mapa final'!#REF!),"")</f>
        <v>#REF!</v>
      </c>
      <c r="L209" s="113" t="e">
        <f>IF(AND('Mapa final'!#REF!="Muy Baja",'Mapa final'!#REF!="Leve"),CONCATENATE("R4C",'Mapa final'!#REF!),"")</f>
        <v>#REF!</v>
      </c>
      <c r="M209" s="112" t="e">
        <f>IF(AND('Mapa final'!#REF!="Muy Baja",'Mapa final'!#REF!="Menor"),CONCATENATE("R4C",'Mapa final'!#REF!),"")</f>
        <v>#REF!</v>
      </c>
      <c r="N209" s="53" t="e">
        <f>IF(AND('Mapa final'!#REF!="Muy Baja",'Mapa final'!#REF!="Menor"),CONCATENATE("R4C",'Mapa final'!#REF!),"")</f>
        <v>#REF!</v>
      </c>
      <c r="O209" s="113" t="e">
        <f>IF(AND('Mapa final'!#REF!="Muy Baja",'Mapa final'!#REF!="Menor"),CONCATENATE("R4C",'Mapa final'!#REF!),"")</f>
        <v>#REF!</v>
      </c>
      <c r="P209" s="48" t="e">
        <f>IF(AND('Mapa final'!#REF!="Muy Baja",'Mapa final'!#REF!="Moderado"),CONCATENATE("R4C",'Mapa final'!#REF!),"")</f>
        <v>#REF!</v>
      </c>
      <c r="Q209" s="49" t="e">
        <f>IF(AND('Mapa final'!#REF!="Muy Baja",'Mapa final'!#REF!="Moderado"),CONCATENATE("R4C",'Mapa final'!#REF!),"")</f>
        <v>#REF!</v>
      </c>
      <c r="R209" s="108" t="e">
        <f>IF(AND('Mapa final'!#REF!="Muy Baja",'Mapa final'!#REF!="Moderado"),CONCATENATE("R4C",'Mapa final'!#REF!),"")</f>
        <v>#REF!</v>
      </c>
      <c r="S209" s="102" t="e">
        <f>IF(AND('Mapa final'!#REF!="Muy Baja",'Mapa final'!#REF!="Mayor"),CONCATENATE("R4C",'Mapa final'!#REF!),"")</f>
        <v>#REF!</v>
      </c>
      <c r="T209" s="41" t="e">
        <f>IF(AND('Mapa final'!#REF!="Muy Baja",'Mapa final'!#REF!="Mayor"),CONCATENATE("R4C",'Mapa final'!#REF!),"")</f>
        <v>#REF!</v>
      </c>
      <c r="U209" s="103" t="e">
        <f>IF(AND('Mapa final'!#REF!="Muy Baja",'Mapa final'!#REF!="Mayor"),CONCATENATE("R4C",'Mapa final'!#REF!),"")</f>
        <v>#REF!</v>
      </c>
      <c r="V209" s="42" t="e">
        <f>IF(AND('Mapa final'!#REF!="Muy Baja",'Mapa final'!#REF!="Catastrófico"),CONCATENATE("R4C",'Mapa final'!#REF!),"")</f>
        <v>#REF!</v>
      </c>
      <c r="W209" s="43" t="e">
        <f>IF(AND('Mapa final'!#REF!="Muy Baja",'Mapa final'!#REF!="Catastrófico"),CONCATENATE("R4C",'Mapa final'!#REF!),"")</f>
        <v>#REF!</v>
      </c>
      <c r="X209" s="97" t="e">
        <f>IF(AND('Mapa final'!#REF!="Muy Baja",'Mapa final'!#REF!="Catastrófico"),CONCATENATE("R4C",'Mapa final'!#REF!),"")</f>
        <v>#REF!</v>
      </c>
      <c r="Y209" s="55"/>
      <c r="Z209" s="55"/>
      <c r="AA209" s="55"/>
      <c r="AB209" s="55"/>
      <c r="AC209" s="55"/>
      <c r="AD209" s="55"/>
      <c r="AE209" s="55"/>
      <c r="AF209" s="55"/>
      <c r="AG209" s="55"/>
      <c r="AH209" s="55"/>
      <c r="AI209" s="55"/>
      <c r="AJ209" s="55"/>
      <c r="AK209" s="55"/>
      <c r="AL209" s="55"/>
      <c r="AM209" s="55"/>
      <c r="AN209" s="55"/>
      <c r="AO209" s="55"/>
      <c r="AP209" s="55"/>
      <c r="AQ209" s="55"/>
      <c r="AR209" s="55"/>
      <c r="AS209" s="55"/>
      <c r="AT209" s="55"/>
      <c r="AU209" s="55"/>
      <c r="AV209" s="55"/>
      <c r="AW209" s="55"/>
      <c r="AX209" s="55"/>
      <c r="AY209" s="55"/>
      <c r="AZ209" s="55"/>
      <c r="BA209" s="55"/>
      <c r="BB209" s="55"/>
      <c r="BC209" s="55"/>
      <c r="BD209" s="55"/>
      <c r="BE209" s="55"/>
      <c r="BF209" s="55"/>
      <c r="BG209" s="55"/>
      <c r="BH209" s="55"/>
      <c r="BI209" s="55"/>
      <c r="BJ209" s="55"/>
      <c r="BK209" s="55"/>
      <c r="BL209" s="55"/>
      <c r="BM209" s="55"/>
    </row>
    <row r="210" spans="1:65" ht="15.75" x14ac:dyDescent="0.25">
      <c r="A210" s="55"/>
      <c r="B210" s="301"/>
      <c r="C210" s="301"/>
      <c r="D210" s="302"/>
      <c r="E210" s="278"/>
      <c r="F210" s="274"/>
      <c r="G210" s="274"/>
      <c r="H210" s="274"/>
      <c r="I210" s="274"/>
      <c r="J210" s="112" t="str">
        <f>IF(AND('Mapa final'!$AB$16="Muy Baja",'Mapa final'!$AD$16="Leve"),CONCATENATE("R5C",'Mapa final'!$R$16),"")</f>
        <v/>
      </c>
      <c r="K210" s="53" t="str">
        <f>IF(AND('Mapa final'!$AB$17="Muy Baja",'Mapa final'!$AD$17="Leve"),CONCATENATE("R5C",'Mapa final'!$R$17),"")</f>
        <v/>
      </c>
      <c r="L210" s="113" t="str">
        <f>IF(AND('Mapa final'!$AB$18="Muy Baja",'Mapa final'!$AD$18="Leve"),CONCATENATE("R5C",'Mapa final'!$R$18),"")</f>
        <v/>
      </c>
      <c r="M210" s="112" t="str">
        <f>IF(AND('Mapa final'!$AB$16="Muy Baja",'Mapa final'!$AD$16="Menor"),CONCATENATE("R5C",'Mapa final'!$R$16),"")</f>
        <v/>
      </c>
      <c r="N210" s="53" t="str">
        <f>IF(AND('Mapa final'!$AB$17="Muy Baja",'Mapa final'!$AD$17="Menor"),CONCATENATE("R5C",'Mapa final'!$R$17),"")</f>
        <v/>
      </c>
      <c r="O210" s="113" t="str">
        <f>IF(AND('Mapa final'!$AB$18="Muy Baja",'Mapa final'!$AD$18="Menor"),CONCATENATE("R5C",'Mapa final'!$R$18),"")</f>
        <v/>
      </c>
      <c r="P210" s="48" t="str">
        <f>IF(AND('Mapa final'!$AB$16="Muy Baja",'Mapa final'!$AD$16="Moderado"),CONCATENATE("R5C",'Mapa final'!$R$16),"")</f>
        <v/>
      </c>
      <c r="Q210" s="49" t="str">
        <f>IF(AND('Mapa final'!$AB$17="Muy Baja",'Mapa final'!$AD$17="Moderado"),CONCATENATE("R5C",'Mapa final'!$R$17),"")</f>
        <v/>
      </c>
      <c r="R210" s="108" t="str">
        <f>IF(AND('Mapa final'!$AB$18="Muy Baja",'Mapa final'!$AD$18="Moderado"),CONCATENATE("R5C",'Mapa final'!$R$18),"")</f>
        <v/>
      </c>
      <c r="S210" s="102" t="str">
        <f>IF(AND('Mapa final'!$AB$16="Muy Baja",'Mapa final'!$AD$16="Mayor"),CONCATENATE("R5C",'Mapa final'!$R$16),"")</f>
        <v/>
      </c>
      <c r="T210" s="41" t="str">
        <f>IF(AND('Mapa final'!$AB$17="Muy Baja",'Mapa final'!$AD$17="Mayor"),CONCATENATE("R5C",'Mapa final'!$R$17),"")</f>
        <v/>
      </c>
      <c r="U210" s="103" t="str">
        <f>IF(AND('Mapa final'!$AB$18="Muy Baja",'Mapa final'!$AD$18="Mayor"),CONCATENATE("R5C",'Mapa final'!$R$18),"")</f>
        <v/>
      </c>
      <c r="V210" s="42" t="str">
        <f>IF(AND('Mapa final'!$AB$16="Muy Baja",'Mapa final'!$AD$16="Catastrófico"),CONCATENATE("R5C",'Mapa final'!$R$16),"")</f>
        <v/>
      </c>
      <c r="W210" s="43" t="str">
        <f>IF(AND('Mapa final'!$AB$17="Muy Baja",'Mapa final'!$AD$17="Catastrófico"),CONCATENATE("R5C",'Mapa final'!$R$17),"")</f>
        <v/>
      </c>
      <c r="X210" s="97" t="str">
        <f>IF(AND('Mapa final'!$AB$18="Muy Baja",'Mapa final'!$AD$18="Catastrófico"),CONCATENATE("R5C",'Mapa final'!$R$18),"")</f>
        <v/>
      </c>
      <c r="Y210" s="55"/>
      <c r="Z210" s="55"/>
      <c r="AA210" s="55"/>
      <c r="AB210" s="55"/>
      <c r="AC210" s="55"/>
      <c r="AD210" s="55"/>
      <c r="AE210" s="55"/>
      <c r="AF210" s="55"/>
      <c r="AG210" s="55"/>
      <c r="AH210" s="55"/>
      <c r="AI210" s="55"/>
      <c r="AJ210" s="55"/>
      <c r="AK210" s="55"/>
      <c r="AL210" s="55"/>
      <c r="AM210" s="55"/>
      <c r="AN210" s="55"/>
      <c r="AO210" s="55"/>
      <c r="AP210" s="55"/>
      <c r="AQ210" s="55"/>
      <c r="AR210" s="55"/>
      <c r="AS210" s="55"/>
      <c r="AT210" s="55"/>
      <c r="AU210" s="55"/>
      <c r="AV210" s="55"/>
      <c r="AW210" s="55"/>
      <c r="AX210" s="55"/>
      <c r="AY210" s="55"/>
      <c r="AZ210" s="55"/>
      <c r="BA210" s="55"/>
      <c r="BB210" s="55"/>
      <c r="BC210" s="55"/>
      <c r="BD210" s="55"/>
      <c r="BE210" s="55"/>
      <c r="BF210" s="55"/>
      <c r="BG210" s="55"/>
      <c r="BH210" s="55"/>
      <c r="BI210" s="55"/>
      <c r="BJ210" s="55"/>
      <c r="BK210" s="55"/>
      <c r="BL210" s="55"/>
      <c r="BM210" s="55"/>
    </row>
    <row r="211" spans="1:65" ht="15.75" x14ac:dyDescent="0.25">
      <c r="A211" s="55"/>
      <c r="B211" s="301"/>
      <c r="C211" s="301"/>
      <c r="D211" s="302"/>
      <c r="E211" s="278"/>
      <c r="F211" s="274"/>
      <c r="G211" s="274"/>
      <c r="H211" s="274"/>
      <c r="I211" s="274"/>
      <c r="J211" s="112" t="str">
        <f>IF(AND('Mapa final'!$AB$19="Muy Baja",'Mapa final'!$AD$19="Leve"),CONCATENATE("R6C",'Mapa final'!$R$19),"")</f>
        <v/>
      </c>
      <c r="K211" s="53" t="str">
        <f>IF(AND('Mapa final'!$AB$20="Muy Baja",'Mapa final'!$AD$20="Leve"),CONCATENATE("R6C",'Mapa final'!$R$20),"")</f>
        <v/>
      </c>
      <c r="L211" s="113" t="str">
        <f>IF(AND('Mapa final'!$AB$21="Muy Baja",'Mapa final'!$AD$21="Leve"),CONCATENATE("R6C",'Mapa final'!$R$21),"")</f>
        <v/>
      </c>
      <c r="M211" s="112" t="str">
        <f>IF(AND('Mapa final'!$AB$19="Muy Baja",'Mapa final'!$AD$19="Menor"),CONCATENATE("R6C",'Mapa final'!$R$19),"")</f>
        <v/>
      </c>
      <c r="N211" s="53" t="str">
        <f>IF(AND('Mapa final'!$AB$20="Muy Baja",'Mapa final'!$AD$20="Menor"),CONCATENATE("R6C",'Mapa final'!$R$20),"")</f>
        <v/>
      </c>
      <c r="O211" s="113" t="str">
        <f>IF(AND('Mapa final'!$AB$21="Muy Baja",'Mapa final'!$AD$21="Menor"),CONCATENATE("R6C",'Mapa final'!$R$21),"")</f>
        <v/>
      </c>
      <c r="P211" s="48" t="str">
        <f>IF(AND('Mapa final'!$AB$19="Muy Baja",'Mapa final'!$AD$19="Moderado"),CONCATENATE("R6C",'Mapa final'!$R$19),"")</f>
        <v>R6C1</v>
      </c>
      <c r="Q211" s="49" t="str">
        <f>IF(AND('Mapa final'!$AB$20="Muy Baja",'Mapa final'!$AD$20="Moderado"),CONCATENATE("R6C",'Mapa final'!$R$20),"")</f>
        <v/>
      </c>
      <c r="R211" s="108" t="str">
        <f>IF(AND('Mapa final'!$AB$21="Muy Baja",'Mapa final'!$AD$21="Moderado"),CONCATENATE("R6C",'Mapa final'!$R$21),"")</f>
        <v/>
      </c>
      <c r="S211" s="102" t="str">
        <f>IF(AND('Mapa final'!$AB$19="Muy Baja",'Mapa final'!$AD$19="Mayor"),CONCATENATE("R6C",'Mapa final'!$R$19),"")</f>
        <v/>
      </c>
      <c r="T211" s="41" t="str">
        <f>IF(AND('Mapa final'!$AB$20="Muy Baja",'Mapa final'!$AD$20="Mayor"),CONCATENATE("R6C",'Mapa final'!$R$20),"")</f>
        <v/>
      </c>
      <c r="U211" s="103" t="str">
        <f>IF(AND('Mapa final'!$AB$21="Muy Baja",'Mapa final'!$AD$21="Mayor"),CONCATENATE("R6C",'Mapa final'!$R$21),"")</f>
        <v/>
      </c>
      <c r="V211" s="42" t="str">
        <f>IF(AND('Mapa final'!$AB$19="Muy Baja",'Mapa final'!$AD$19="Catastrófico"),CONCATENATE("R6C",'Mapa final'!$R$19),"")</f>
        <v/>
      </c>
      <c r="W211" s="43" t="str">
        <f>IF(AND('Mapa final'!$AB$20="Muy Baja",'Mapa final'!$AD$20="Catastrófico"),CONCATENATE("R6C",'Mapa final'!$R$20),"")</f>
        <v/>
      </c>
      <c r="X211" s="97" t="str">
        <f>IF(AND('Mapa final'!$AB$21="Muy Baja",'Mapa final'!$AD$21="Catastrófico"),CONCATENATE("R6C",'Mapa final'!$R$21),"")</f>
        <v/>
      </c>
      <c r="Y211" s="55"/>
      <c r="Z211" s="55"/>
      <c r="AA211" s="55"/>
      <c r="AB211" s="55"/>
      <c r="AC211" s="55"/>
      <c r="AD211" s="55"/>
      <c r="AE211" s="55"/>
      <c r="AF211" s="55"/>
      <c r="AG211" s="55"/>
      <c r="AH211" s="55"/>
      <c r="AI211" s="55"/>
      <c r="AJ211" s="55"/>
      <c r="AK211" s="55"/>
      <c r="AL211" s="55"/>
      <c r="AM211" s="55"/>
      <c r="AN211" s="55"/>
      <c r="AO211" s="55"/>
      <c r="AP211" s="55"/>
      <c r="AQ211" s="55"/>
      <c r="AR211" s="55"/>
      <c r="AS211" s="55"/>
      <c r="AT211" s="55"/>
      <c r="AU211" s="55"/>
      <c r="AV211" s="55"/>
      <c r="AW211" s="55"/>
      <c r="AX211" s="55"/>
      <c r="AY211" s="55"/>
      <c r="AZ211" s="55"/>
      <c r="BA211" s="55"/>
      <c r="BB211" s="55"/>
      <c r="BC211" s="55"/>
      <c r="BD211" s="55"/>
      <c r="BE211" s="55"/>
      <c r="BF211" s="55"/>
      <c r="BG211" s="55"/>
      <c r="BH211" s="55"/>
      <c r="BI211" s="55"/>
      <c r="BJ211" s="55"/>
      <c r="BK211" s="55"/>
      <c r="BL211" s="55"/>
      <c r="BM211" s="55"/>
    </row>
    <row r="212" spans="1:65" ht="15.75" x14ac:dyDescent="0.25">
      <c r="A212" s="55"/>
      <c r="B212" s="301"/>
      <c r="C212" s="301"/>
      <c r="D212" s="302"/>
      <c r="E212" s="278"/>
      <c r="F212" s="274"/>
      <c r="G212" s="274"/>
      <c r="H212" s="274"/>
      <c r="I212" s="274"/>
      <c r="J212" s="112" t="str">
        <f>IF(AND('Mapa final'!$AB$22="Muy Baja",'Mapa final'!$AD$22="Leve"),CONCATENATE("R7C",'Mapa final'!$R$22),"")</f>
        <v/>
      </c>
      <c r="K212" s="53" t="str">
        <f>IF(AND('Mapa final'!$AB$23="Muy Baja",'Mapa final'!$AD$23="Leve"),CONCATENATE("R7C",'Mapa final'!$R$23),"")</f>
        <v/>
      </c>
      <c r="L212" s="113" t="str">
        <f>IF(AND('Mapa final'!$AB$24="Muy Baja",'Mapa final'!$AD$24="Leve"),CONCATENATE("R7C",'Mapa final'!$R$24),"")</f>
        <v/>
      </c>
      <c r="M212" s="112" t="str">
        <f>IF(AND('Mapa final'!$AB$22="Muy Baja",'Mapa final'!$AD$22="Menor"),CONCATENATE("R7C",'Mapa final'!$R$22),"")</f>
        <v/>
      </c>
      <c r="N212" s="53" t="str">
        <f>IF(AND('Mapa final'!$AB$23="Muy Baja",'Mapa final'!$AD$23="Menor"),CONCATENATE("R7C",'Mapa final'!$R$23),"")</f>
        <v/>
      </c>
      <c r="O212" s="113" t="str">
        <f>IF(AND('Mapa final'!$AB$24="Muy Baja",'Mapa final'!$AD$24="Menor"),CONCATENATE("R7C",'Mapa final'!$R$24),"")</f>
        <v/>
      </c>
      <c r="P212" s="48" t="str">
        <f>IF(AND('Mapa final'!$AB$22="Muy Baja",'Mapa final'!$AD$22="Moderado"),CONCATENATE("R7C",'Mapa final'!$R$22),"")</f>
        <v>R7C1</v>
      </c>
      <c r="Q212" s="49" t="str">
        <f>IF(AND('Mapa final'!$AB$23="Muy Baja",'Mapa final'!$AD$23="Moderado"),CONCATENATE("R7C",'Mapa final'!$R$23),"")</f>
        <v/>
      </c>
      <c r="R212" s="108" t="str">
        <f>IF(AND('Mapa final'!$AB$24="Muy Baja",'Mapa final'!$AD$24="Moderado"),CONCATENATE("R7C",'Mapa final'!$R$24),"")</f>
        <v/>
      </c>
      <c r="S212" s="102" t="str">
        <f>IF(AND('Mapa final'!$AB$22="Muy Baja",'Mapa final'!$AD$22="Mayor"),CONCATENATE("R7C",'Mapa final'!$R$22),"")</f>
        <v/>
      </c>
      <c r="T212" s="41" t="str">
        <f>IF(AND('Mapa final'!$AB$23="Muy Baja",'Mapa final'!$AD$23="Mayor"),CONCATENATE("R7C",'Mapa final'!$R$23),"")</f>
        <v/>
      </c>
      <c r="U212" s="103" t="str">
        <f>IF(AND('Mapa final'!$AB$24="Muy Baja",'Mapa final'!$AD$24="Mayor"),CONCATENATE("R7C",'Mapa final'!$R$24),"")</f>
        <v/>
      </c>
      <c r="V212" s="42" t="str">
        <f>IF(AND('Mapa final'!$AB$22="Muy Baja",'Mapa final'!$AD$22="Catastrófico"),CONCATENATE("R7C",'Mapa final'!$R$22),"")</f>
        <v/>
      </c>
      <c r="W212" s="43" t="str">
        <f>IF(AND('Mapa final'!$AB$23="Muy Baja",'Mapa final'!$AD$23="Catastrófico"),CONCATENATE("R7C",'Mapa final'!$R$23),"")</f>
        <v/>
      </c>
      <c r="X212" s="97" t="str">
        <f>IF(AND('Mapa final'!$AB$24="Muy Baja",'Mapa final'!$AD$24="Catastrófico"),CONCATENATE("R7C",'Mapa final'!$R$24),"")</f>
        <v/>
      </c>
      <c r="Y212" s="55"/>
      <c r="Z212" s="55"/>
      <c r="AA212" s="55"/>
      <c r="AB212" s="55"/>
      <c r="AC212" s="55"/>
      <c r="AD212" s="55"/>
      <c r="AE212" s="55"/>
      <c r="AF212" s="55"/>
      <c r="AG212" s="55"/>
      <c r="AH212" s="55"/>
      <c r="AI212" s="55"/>
      <c r="AJ212" s="55"/>
      <c r="AK212" s="55"/>
      <c r="AL212" s="55"/>
      <c r="AM212" s="55"/>
      <c r="AN212" s="55"/>
      <c r="AO212" s="55"/>
      <c r="AP212" s="55"/>
      <c r="AQ212" s="55"/>
      <c r="AR212" s="55"/>
      <c r="AS212" s="55"/>
      <c r="AT212" s="55"/>
      <c r="AU212" s="55"/>
      <c r="AV212" s="55"/>
      <c r="AW212" s="55"/>
      <c r="AX212" s="55"/>
      <c r="AY212" s="55"/>
      <c r="AZ212" s="55"/>
      <c r="BA212" s="55"/>
      <c r="BB212" s="55"/>
      <c r="BC212" s="55"/>
      <c r="BD212" s="55"/>
      <c r="BE212" s="55"/>
      <c r="BF212" s="55"/>
      <c r="BG212" s="55"/>
      <c r="BH212" s="55"/>
      <c r="BI212" s="55"/>
      <c r="BJ212" s="55"/>
      <c r="BK212" s="55"/>
      <c r="BL212" s="55"/>
      <c r="BM212" s="55"/>
    </row>
    <row r="213" spans="1:65" ht="15.75" x14ac:dyDescent="0.25">
      <c r="A213" s="55"/>
      <c r="B213" s="301"/>
      <c r="C213" s="301"/>
      <c r="D213" s="302"/>
      <c r="E213" s="278"/>
      <c r="F213" s="274"/>
      <c r="G213" s="274"/>
      <c r="H213" s="274"/>
      <c r="I213" s="274"/>
      <c r="J213" s="112" t="str">
        <f>IF(AND('Mapa final'!$AB$25="Muy Baja",'Mapa final'!$AD$25="Leve"),CONCATENATE("R8C",'Mapa final'!$R$25),"")</f>
        <v/>
      </c>
      <c r="K213" s="53" t="str">
        <f>IF(AND('Mapa final'!$AB$26="Muy Baja",'Mapa final'!$AD$26="Leve"),CONCATENATE("R8C",'Mapa final'!$R$26),"")</f>
        <v/>
      </c>
      <c r="L213" s="113" t="str">
        <f>IF(AND('Mapa final'!$AB$27="Muy Baja",'Mapa final'!$AD$27="Leve"),CONCATENATE("R8C",'Mapa final'!$R$27),"")</f>
        <v/>
      </c>
      <c r="M213" s="112" t="str">
        <f>IF(AND('Mapa final'!$AB$25="Muy Baja",'Mapa final'!$AD$25="Menor"),CONCATENATE("R8C",'Mapa final'!$R$25),"")</f>
        <v/>
      </c>
      <c r="N213" s="53" t="str">
        <f>IF(AND('Mapa final'!$AB$26="Muy Baja",'Mapa final'!$AD$26="Menor"),CONCATENATE("R8C",'Mapa final'!$R$26),"")</f>
        <v/>
      </c>
      <c r="O213" s="113" t="str">
        <f>IF(AND('Mapa final'!$AB$27="Muy Baja",'Mapa final'!$AD$27="Menor"),CONCATENATE("R8C",'Mapa final'!$R$27),"")</f>
        <v/>
      </c>
      <c r="P213" s="48" t="str">
        <f>IF(AND('Mapa final'!$AB$25="Muy Baja",'Mapa final'!$AD$25="Moderado"),CONCATENATE("R8C",'Mapa final'!$R$25),"")</f>
        <v/>
      </c>
      <c r="Q213" s="49" t="str">
        <f>IF(AND('Mapa final'!$AB$26="Muy Baja",'Mapa final'!$AD$26="Moderado"),CONCATENATE("R8C",'Mapa final'!$R$26),"")</f>
        <v/>
      </c>
      <c r="R213" s="108" t="str">
        <f>IF(AND('Mapa final'!$AB$27="Muy Baja",'Mapa final'!$AD$27="Moderado"),CONCATENATE("R8C",'Mapa final'!$R$27),"")</f>
        <v/>
      </c>
      <c r="S213" s="102" t="str">
        <f>IF(AND('Mapa final'!$AB$25="Muy Baja",'Mapa final'!$AD$25="Mayor"),CONCATENATE("R8C",'Mapa final'!$R$25),"")</f>
        <v/>
      </c>
      <c r="T213" s="41" t="str">
        <f>IF(AND('Mapa final'!$AB$26="Muy Baja",'Mapa final'!$AD$26="Mayor"),CONCATENATE("R8C",'Mapa final'!$R$26),"")</f>
        <v/>
      </c>
      <c r="U213" s="103" t="str">
        <f>IF(AND('Mapa final'!$AB$27="Muy Baja",'Mapa final'!$AD$27="Mayor"),CONCATENATE("R8C",'Mapa final'!$R$27),"")</f>
        <v/>
      </c>
      <c r="V213" s="42" t="str">
        <f>IF(AND('Mapa final'!$AB$25="Muy Baja",'Mapa final'!$AD$25="Catastrófico"),CONCATENATE("R8C",'Mapa final'!$R$25),"")</f>
        <v/>
      </c>
      <c r="W213" s="43" t="str">
        <f>IF(AND('Mapa final'!$AB$26="Muy Baja",'Mapa final'!$AD$26="Catastrófico"),CONCATENATE("R8C",'Mapa final'!$R$26),"")</f>
        <v/>
      </c>
      <c r="X213" s="97" t="str">
        <f>IF(AND('Mapa final'!$AB$27="Muy Baja",'Mapa final'!$AD$27="Catastrófico"),CONCATENATE("R8C",'Mapa final'!$R$27),"")</f>
        <v/>
      </c>
      <c r="Y213" s="55"/>
      <c r="Z213" s="55"/>
      <c r="AA213" s="55"/>
      <c r="AB213" s="55"/>
      <c r="AC213" s="55"/>
      <c r="AD213" s="55"/>
      <c r="AE213" s="55"/>
      <c r="AF213" s="55"/>
      <c r="AG213" s="55"/>
      <c r="AH213" s="55"/>
      <c r="AI213" s="55"/>
      <c r="AJ213" s="55"/>
      <c r="AK213" s="55"/>
      <c r="AL213" s="55"/>
      <c r="AM213" s="55"/>
      <c r="AN213" s="55"/>
      <c r="AO213" s="55"/>
      <c r="AP213" s="55"/>
      <c r="AQ213" s="55"/>
      <c r="AR213" s="55"/>
      <c r="AS213" s="55"/>
      <c r="AT213" s="55"/>
      <c r="AU213" s="55"/>
      <c r="AV213" s="55"/>
      <c r="AW213" s="55"/>
      <c r="AX213" s="55"/>
      <c r="AY213" s="55"/>
      <c r="AZ213" s="55"/>
      <c r="BA213" s="55"/>
      <c r="BB213" s="55"/>
      <c r="BC213" s="55"/>
      <c r="BD213" s="55"/>
      <c r="BE213" s="55"/>
      <c r="BF213" s="55"/>
      <c r="BG213" s="55"/>
      <c r="BH213" s="55"/>
      <c r="BI213" s="55"/>
      <c r="BJ213" s="55"/>
      <c r="BK213" s="55"/>
      <c r="BL213" s="55"/>
      <c r="BM213" s="55"/>
    </row>
    <row r="214" spans="1:65" ht="15.75" x14ac:dyDescent="0.25">
      <c r="A214" s="55"/>
      <c r="B214" s="301"/>
      <c r="C214" s="301"/>
      <c r="D214" s="302"/>
      <c r="E214" s="278"/>
      <c r="F214" s="274"/>
      <c r="G214" s="274"/>
      <c r="H214" s="274"/>
      <c r="I214" s="274"/>
      <c r="J214" s="112" t="str">
        <f>IF(AND('Mapa final'!$AB$28="Muy Baja",'Mapa final'!$AD$28="Leve"),CONCATENATE("R9C",'Mapa final'!$R$28),"")</f>
        <v/>
      </c>
      <c r="K214" s="53" t="str">
        <f>IF(AND('Mapa final'!$AB$29="Muy Baja",'Mapa final'!$AD$29="Leve"),CONCATENATE("R9C",'Mapa final'!$R$29),"")</f>
        <v/>
      </c>
      <c r="L214" s="113" t="str">
        <f>IF(AND('Mapa final'!$AB$30="Muy Baja",'Mapa final'!$AD$30="Leve"),CONCATENATE("R9C",'Mapa final'!$R$30),"")</f>
        <v/>
      </c>
      <c r="M214" s="112" t="str">
        <f>IF(AND('Mapa final'!$AB$28="Muy Baja",'Mapa final'!$AD$28="Menor"),CONCATENATE("R9C",'Mapa final'!$R$28),"")</f>
        <v/>
      </c>
      <c r="N214" s="53" t="str">
        <f>IF(AND('Mapa final'!$AB$29="Muy Baja",'Mapa final'!$AD$29="Menor"),CONCATENATE("R9C",'Mapa final'!$R$29),"")</f>
        <v/>
      </c>
      <c r="O214" s="113" t="str">
        <f>IF(AND('Mapa final'!$AB$30="Muy Baja",'Mapa final'!$AD$30="Menor"),CONCATENATE("R9C",'Mapa final'!$R$30),"")</f>
        <v/>
      </c>
      <c r="P214" s="48" t="str">
        <f>IF(AND('Mapa final'!$AB$28="Muy Baja",'Mapa final'!$AD$28="Moderado"),CONCATENATE("R9C",'Mapa final'!$R$28),"")</f>
        <v/>
      </c>
      <c r="Q214" s="49" t="str">
        <f>IF(AND('Mapa final'!$AB$29="Muy Baja",'Mapa final'!$AD$29="Moderado"),CONCATENATE("R9C",'Mapa final'!$R$29),"")</f>
        <v/>
      </c>
      <c r="R214" s="108" t="str">
        <f>IF(AND('Mapa final'!$AB$30="Muy Baja",'Mapa final'!$AD$30="Moderado"),CONCATENATE("R9C",'Mapa final'!$R$30),"")</f>
        <v/>
      </c>
      <c r="S214" s="102" t="str">
        <f>IF(AND('Mapa final'!$AB$28="Muy Baja",'Mapa final'!$AD$28="Mayor"),CONCATENATE("R9C",'Mapa final'!$R$28),"")</f>
        <v/>
      </c>
      <c r="T214" s="41" t="str">
        <f>IF(AND('Mapa final'!$AB$29="Muy Baja",'Mapa final'!$AD$29="Mayor"),CONCATENATE("R9C",'Mapa final'!$R$29),"")</f>
        <v/>
      </c>
      <c r="U214" s="103" t="str">
        <f>IF(AND('Mapa final'!$AB$30="Muy Baja",'Mapa final'!$AD$30="Mayor"),CONCATENATE("R9C",'Mapa final'!$R$30),"")</f>
        <v/>
      </c>
      <c r="V214" s="42" t="str">
        <f>IF(AND('Mapa final'!$AB$28="Muy Baja",'Mapa final'!$AD$28="Catastrófico"),CONCATENATE("R9C",'Mapa final'!$R$28),"")</f>
        <v/>
      </c>
      <c r="W214" s="43" t="str">
        <f>IF(AND('Mapa final'!$AB$29="Muy Baja",'Mapa final'!$AD$29="Catastrófico"),CONCATENATE("R9C",'Mapa final'!$R$29),"")</f>
        <v/>
      </c>
      <c r="X214" s="97" t="str">
        <f>IF(AND('Mapa final'!$AB$30="Muy Baja",'Mapa final'!$AD$30="Catastrófico"),CONCATENATE("R9C",'Mapa final'!$R$30),"")</f>
        <v/>
      </c>
      <c r="Y214" s="55"/>
      <c r="Z214" s="55"/>
      <c r="AA214" s="55"/>
      <c r="AB214" s="55"/>
      <c r="AC214" s="55"/>
      <c r="AD214" s="55"/>
      <c r="AE214" s="55"/>
      <c r="AF214" s="55"/>
      <c r="AG214" s="55"/>
      <c r="AH214" s="55"/>
      <c r="AI214" s="55"/>
      <c r="AJ214" s="55"/>
      <c r="AK214" s="55"/>
      <c r="AL214" s="55"/>
      <c r="AM214" s="55"/>
      <c r="AN214" s="55"/>
      <c r="AO214" s="55"/>
      <c r="AP214" s="55"/>
      <c r="AQ214" s="55"/>
      <c r="AR214" s="55"/>
      <c r="AS214" s="55"/>
      <c r="AT214" s="55"/>
      <c r="AU214" s="55"/>
      <c r="AV214" s="55"/>
      <c r="AW214" s="55"/>
      <c r="AX214" s="55"/>
      <c r="AY214" s="55"/>
      <c r="AZ214" s="55"/>
      <c r="BA214" s="55"/>
      <c r="BB214" s="55"/>
      <c r="BC214" s="55"/>
      <c r="BD214" s="55"/>
      <c r="BE214" s="55"/>
      <c r="BF214" s="55"/>
      <c r="BG214" s="55"/>
      <c r="BH214" s="55"/>
      <c r="BI214" s="55"/>
      <c r="BJ214" s="55"/>
      <c r="BK214" s="55"/>
      <c r="BL214" s="55"/>
      <c r="BM214" s="55"/>
    </row>
    <row r="215" spans="1:65" ht="15.75" x14ac:dyDescent="0.25">
      <c r="A215" s="55"/>
      <c r="B215" s="301"/>
      <c r="C215" s="301"/>
      <c r="D215" s="302"/>
      <c r="E215" s="278"/>
      <c r="F215" s="274"/>
      <c r="G215" s="274"/>
      <c r="H215" s="274"/>
      <c r="I215" s="274"/>
      <c r="J215" s="112" t="str">
        <f>IF(AND('Mapa final'!$AB$31="Muy Baja",'Mapa final'!$AD$31="Leve"),CONCATENATE("R10C",'Mapa final'!$R$31),"")</f>
        <v/>
      </c>
      <c r="K215" s="53" t="str">
        <f>IF(AND('Mapa final'!$AB$32="Muy Baja",'Mapa final'!$AD$32="Leve"),CONCATENATE("R10C",'Mapa final'!$R$32),"")</f>
        <v/>
      </c>
      <c r="L215" s="113" t="str">
        <f>IF(AND('Mapa final'!$AB$33="Muy Baja",'Mapa final'!$AD$33="Leve"),CONCATENATE("R10C",'Mapa final'!$R$33),"")</f>
        <v/>
      </c>
      <c r="M215" s="112" t="str">
        <f>IF(AND('Mapa final'!$AB$31="Muy Baja",'Mapa final'!$AD$31="Menor"),CONCATENATE("R10C",'Mapa final'!$R$31),"")</f>
        <v/>
      </c>
      <c r="N215" s="53" t="str">
        <f>IF(AND('Mapa final'!$AB$32="Muy Baja",'Mapa final'!$AD$32="Menor"),CONCATENATE("R10C",'Mapa final'!$R$32),"")</f>
        <v/>
      </c>
      <c r="O215" s="113" t="str">
        <f>IF(AND('Mapa final'!$AB$33="Muy Baja",'Mapa final'!$AD$33="Menor"),CONCATENATE("R10C",'Mapa final'!$R$33),"")</f>
        <v/>
      </c>
      <c r="P215" s="48" t="str">
        <f>IF(AND('Mapa final'!$AB$31="Muy Baja",'Mapa final'!$AD$31="Moderado"),CONCATENATE("R10C",'Mapa final'!$R$31),"")</f>
        <v/>
      </c>
      <c r="Q215" s="49" t="str">
        <f>IF(AND('Mapa final'!$AB$32="Muy Baja",'Mapa final'!$AD$32="Moderado"),CONCATENATE("R10C",'Mapa final'!$R$32),"")</f>
        <v/>
      </c>
      <c r="R215" s="108" t="str">
        <f>IF(AND('Mapa final'!$AB$33="Muy Baja",'Mapa final'!$AD$33="Moderado"),CONCATENATE("R10C",'Mapa final'!$R$33),"")</f>
        <v/>
      </c>
      <c r="S215" s="102" t="str">
        <f>IF(AND('Mapa final'!$AB$31="Muy Baja",'Mapa final'!$AD$31="Mayor"),CONCATENATE("R10C",'Mapa final'!$R$31),"")</f>
        <v/>
      </c>
      <c r="T215" s="41" t="str">
        <f>IF(AND('Mapa final'!$AB$32="Muy Baja",'Mapa final'!$AD$32="Mayor"),CONCATENATE("R10C",'Mapa final'!$R$32),"")</f>
        <v/>
      </c>
      <c r="U215" s="103" t="str">
        <f>IF(AND('Mapa final'!$AB$33="Muy Baja",'Mapa final'!$AD$33="Mayor"),CONCATENATE("R10C",'Mapa final'!$R$33),"")</f>
        <v/>
      </c>
      <c r="V215" s="42" t="str">
        <f>IF(AND('Mapa final'!$AB$31="Muy Baja",'Mapa final'!$AD$31="Catastrófico"),CONCATENATE("R10C",'Mapa final'!$R$31),"")</f>
        <v/>
      </c>
      <c r="W215" s="43" t="str">
        <f>IF(AND('Mapa final'!$AB$32="Muy Baja",'Mapa final'!$AD$32="Catastrófico"),CONCATENATE("R10C",'Mapa final'!$R$32),"")</f>
        <v/>
      </c>
      <c r="X215" s="97" t="str">
        <f>IF(AND('Mapa final'!$AB$33="Muy Baja",'Mapa final'!$AD$33="Catastrófico"),CONCATENATE("R10C",'Mapa final'!$R$33),"")</f>
        <v/>
      </c>
      <c r="Y215" s="55"/>
      <c r="Z215" s="55"/>
      <c r="AA215" s="55"/>
      <c r="AB215" s="55"/>
      <c r="AC215" s="55"/>
      <c r="AD215" s="55"/>
      <c r="AE215" s="55"/>
      <c r="AF215" s="55"/>
      <c r="AG215" s="55"/>
      <c r="AH215" s="55"/>
      <c r="AI215" s="55"/>
      <c r="AJ215" s="55"/>
      <c r="AK215" s="55"/>
      <c r="AL215" s="55"/>
      <c r="AM215" s="55"/>
      <c r="AN215" s="55"/>
      <c r="AO215" s="55"/>
      <c r="AP215" s="55"/>
      <c r="AQ215" s="55"/>
      <c r="AR215" s="55"/>
      <c r="AS215" s="55"/>
      <c r="AT215" s="55"/>
      <c r="AU215" s="55"/>
      <c r="AV215" s="55"/>
      <c r="AW215" s="55"/>
      <c r="AX215" s="55"/>
      <c r="AY215" s="55"/>
      <c r="AZ215" s="55"/>
      <c r="BA215" s="55"/>
      <c r="BB215" s="55"/>
      <c r="BC215" s="55"/>
      <c r="BD215" s="55"/>
      <c r="BE215" s="55"/>
      <c r="BF215" s="55"/>
      <c r="BG215" s="55"/>
      <c r="BH215" s="55"/>
      <c r="BI215" s="55"/>
      <c r="BJ215" s="55"/>
      <c r="BK215" s="55"/>
      <c r="BL215" s="55"/>
      <c r="BM215" s="55"/>
    </row>
    <row r="216" spans="1:65" ht="15.75" x14ac:dyDescent="0.25">
      <c r="A216" s="55"/>
      <c r="B216" s="301"/>
      <c r="C216" s="301"/>
      <c r="D216" s="302"/>
      <c r="E216" s="278"/>
      <c r="F216" s="274"/>
      <c r="G216" s="274"/>
      <c r="H216" s="274"/>
      <c r="I216" s="274"/>
      <c r="J216" s="112" t="str">
        <f>IF(AND('Mapa final'!$AB$34="Muy Baja",'Mapa final'!$AD$34="Leve"),CONCATENATE("R11C",'Mapa final'!$R$34),"")</f>
        <v/>
      </c>
      <c r="K216" s="53" t="str">
        <f>IF(AND('Mapa final'!$AB$35="Muy Baja",'Mapa final'!$AD$35="Leve"),CONCATENATE("R11C",'Mapa final'!$R$35),"")</f>
        <v/>
      </c>
      <c r="L216" s="113" t="str">
        <f>IF(AND('Mapa final'!$AB$36="Muy Baja",'Mapa final'!$AD$36="Leve"),CONCATENATE("R11C",'Mapa final'!$R$36),"")</f>
        <v/>
      </c>
      <c r="M216" s="112" t="str">
        <f>IF(AND('Mapa final'!$AB$34="Muy Baja",'Mapa final'!$AD$34="Menor"),CONCATENATE("R11C",'Mapa final'!$R$34),"")</f>
        <v/>
      </c>
      <c r="N216" s="53" t="str">
        <f>IF(AND('Mapa final'!$AB$35="Muy Baja",'Mapa final'!$AD$35="Menor"),CONCATENATE("R11C",'Mapa final'!$R$35),"")</f>
        <v/>
      </c>
      <c r="O216" s="113" t="str">
        <f>IF(AND('Mapa final'!$AB$36="Muy Baja",'Mapa final'!$AD$36="Menor"),CONCATENATE("R11C",'Mapa final'!$R$36),"")</f>
        <v/>
      </c>
      <c r="P216" s="48" t="str">
        <f>IF(AND('Mapa final'!$AB$34="Muy Baja",'Mapa final'!$AD$34="Moderado"),CONCATENATE("R11C",'Mapa final'!$R$34),"")</f>
        <v/>
      </c>
      <c r="Q216" s="49" t="str">
        <f>IF(AND('Mapa final'!$AB$35="Muy Baja",'Mapa final'!$AD$35="Moderado"),CONCATENATE("R11C",'Mapa final'!$R$35),"")</f>
        <v/>
      </c>
      <c r="R216" s="108" t="str">
        <f>IF(AND('Mapa final'!$AB$36="Muy Baja",'Mapa final'!$AD$36="Moderado"),CONCATENATE("R11C",'Mapa final'!$R$36),"")</f>
        <v/>
      </c>
      <c r="S216" s="102" t="str">
        <f>IF(AND('Mapa final'!$AB$34="Muy Baja",'Mapa final'!$AD$34="Mayor"),CONCATENATE("R11C",'Mapa final'!$R$34),"")</f>
        <v/>
      </c>
      <c r="T216" s="41" t="str">
        <f>IF(AND('Mapa final'!$AB$35="Muy Baja",'Mapa final'!$AD$35="Mayor"),CONCATENATE("R11C",'Mapa final'!$R$35),"")</f>
        <v/>
      </c>
      <c r="U216" s="103" t="str">
        <f>IF(AND('Mapa final'!$AB$36="Muy Baja",'Mapa final'!$AD$36="Mayor"),CONCATENATE("R11C",'Mapa final'!$R$36),"")</f>
        <v/>
      </c>
      <c r="V216" s="42" t="str">
        <f>IF(AND('Mapa final'!$AB$34="Muy Baja",'Mapa final'!$AD$34="Catastrófico"),CONCATENATE("R11C",'Mapa final'!$R$34),"")</f>
        <v/>
      </c>
      <c r="W216" s="43" t="str">
        <f>IF(AND('Mapa final'!$AB$35="Muy Baja",'Mapa final'!$AD$35="Catastrófico"),CONCATENATE("R11C",'Mapa final'!$R$35),"")</f>
        <v/>
      </c>
      <c r="X216" s="97" t="str">
        <f>IF(AND('Mapa final'!$AB$36="Muy Baja",'Mapa final'!$AD$36="Catastrófico"),CONCATENATE("R11C",'Mapa final'!$R$36),"")</f>
        <v/>
      </c>
      <c r="Y216" s="55"/>
      <c r="Z216" s="55"/>
      <c r="AA216" s="55"/>
      <c r="AB216" s="55"/>
      <c r="AC216" s="55"/>
      <c r="AD216" s="55"/>
      <c r="AE216" s="55"/>
      <c r="AF216" s="55"/>
      <c r="AG216" s="55"/>
      <c r="AH216" s="55"/>
      <c r="AI216" s="55"/>
      <c r="AJ216" s="55"/>
      <c r="AK216" s="55"/>
      <c r="AL216" s="55"/>
      <c r="AM216" s="55"/>
      <c r="AN216" s="55"/>
      <c r="AO216" s="55"/>
      <c r="AP216" s="55"/>
      <c r="AQ216" s="55"/>
      <c r="AR216" s="55"/>
      <c r="AS216" s="55"/>
      <c r="AT216" s="55"/>
      <c r="AU216" s="55"/>
      <c r="AV216" s="55"/>
      <c r="AW216" s="55"/>
      <c r="AX216" s="55"/>
      <c r="AY216" s="55"/>
      <c r="AZ216" s="55"/>
      <c r="BA216" s="55"/>
      <c r="BB216" s="55"/>
      <c r="BC216" s="55"/>
      <c r="BD216" s="55"/>
      <c r="BE216" s="55"/>
      <c r="BF216" s="55"/>
      <c r="BG216" s="55"/>
      <c r="BH216" s="55"/>
      <c r="BI216" s="55"/>
      <c r="BJ216" s="55"/>
      <c r="BK216" s="55"/>
      <c r="BL216" s="55"/>
      <c r="BM216" s="55"/>
    </row>
    <row r="217" spans="1:65" ht="15.75" x14ac:dyDescent="0.25">
      <c r="A217" s="55"/>
      <c r="B217" s="301"/>
      <c r="C217" s="301"/>
      <c r="D217" s="302"/>
      <c r="E217" s="278"/>
      <c r="F217" s="274"/>
      <c r="G217" s="274"/>
      <c r="H217" s="274"/>
      <c r="I217" s="274"/>
      <c r="J217" s="112" t="str">
        <f>IF(AND('Mapa final'!$AB$37="Muy Baja",'Mapa final'!$AD$37="Leve"),CONCATENATE("R12C",'Mapa final'!$R$37),"")</f>
        <v/>
      </c>
      <c r="K217" s="53" t="str">
        <f>IF(AND('Mapa final'!$AB$38="Muy Baja",'Mapa final'!$AD$38="Leve"),CONCATENATE("R12C",'Mapa final'!$R$38),"")</f>
        <v/>
      </c>
      <c r="L217" s="113" t="str">
        <f>IF(AND('Mapa final'!$AB$39="Muy Baja",'Mapa final'!$AD$39="Leve"),CONCATENATE("R12C",'Mapa final'!$R$39),"")</f>
        <v/>
      </c>
      <c r="M217" s="112" t="str">
        <f>IF(AND('Mapa final'!$AB$37="Muy Baja",'Mapa final'!$AD$37="Menor"),CONCATENATE("R12C",'Mapa final'!$R$37),"")</f>
        <v/>
      </c>
      <c r="N217" s="53" t="str">
        <f>IF(AND('Mapa final'!$AB$38="Muy Baja",'Mapa final'!$AD$38="Menor"),CONCATENATE("R12C",'Mapa final'!$R$38),"")</f>
        <v/>
      </c>
      <c r="O217" s="113" t="str">
        <f>IF(AND('Mapa final'!$AB$39="Muy Baja",'Mapa final'!$AD$39="Menor"),CONCATENATE("R12C",'Mapa final'!$R$39),"")</f>
        <v/>
      </c>
      <c r="P217" s="48" t="str">
        <f>IF(AND('Mapa final'!$AB$37="Muy Baja",'Mapa final'!$AD$37="Moderado"),CONCATENATE("R12C",'Mapa final'!$R$37),"")</f>
        <v/>
      </c>
      <c r="Q217" s="49" t="str">
        <f>IF(AND('Mapa final'!$AB$38="Muy Baja",'Mapa final'!$AD$38="Moderado"),CONCATENATE("R12C",'Mapa final'!$R$38),"")</f>
        <v/>
      </c>
      <c r="R217" s="108" t="str">
        <f>IF(AND('Mapa final'!$AB$39="Muy Baja",'Mapa final'!$AD$39="Moderado"),CONCATENATE("R12C",'Mapa final'!$R$39),"")</f>
        <v/>
      </c>
      <c r="S217" s="102" t="str">
        <f>IF(AND('Mapa final'!$AB$37="Muy Baja",'Mapa final'!$AD$37="Mayor"),CONCATENATE("R12C",'Mapa final'!$R$37),"")</f>
        <v/>
      </c>
      <c r="T217" s="41" t="str">
        <f>IF(AND('Mapa final'!$AB$38="Muy Baja",'Mapa final'!$AD$38="Mayor"),CONCATENATE("R12C",'Mapa final'!$R$38),"")</f>
        <v/>
      </c>
      <c r="U217" s="103" t="str">
        <f>IF(AND('Mapa final'!$AB$39="Muy Baja",'Mapa final'!$AD$39="Mayor"),CONCATENATE("R12C",'Mapa final'!$R$39),"")</f>
        <v/>
      </c>
      <c r="V217" s="42" t="str">
        <f>IF(AND('Mapa final'!$AB$37="Muy Baja",'Mapa final'!$AD$37="Catastrófico"),CONCATENATE("R12C",'Mapa final'!$R$37),"")</f>
        <v/>
      </c>
      <c r="W217" s="43" t="str">
        <f>IF(AND('Mapa final'!$AB$38="Muy Baja",'Mapa final'!$AD$38="Catastrófico"),CONCATENATE("R12C",'Mapa final'!$R$38),"")</f>
        <v/>
      </c>
      <c r="X217" s="97" t="str">
        <f>IF(AND('Mapa final'!$AB$39="Muy Baja",'Mapa final'!$AD$39="Catastrófico"),CONCATENATE("R12C",'Mapa final'!$R$39),"")</f>
        <v/>
      </c>
      <c r="Y217" s="55"/>
      <c r="Z217" s="55"/>
      <c r="AA217" s="55"/>
      <c r="AB217" s="55"/>
      <c r="AC217" s="55"/>
      <c r="AD217" s="55"/>
      <c r="AE217" s="55"/>
      <c r="AF217" s="55"/>
      <c r="AG217" s="55"/>
      <c r="AH217" s="55"/>
      <c r="AI217" s="55"/>
      <c r="AJ217" s="55"/>
      <c r="AK217" s="55"/>
      <c r="AL217" s="55"/>
      <c r="AM217" s="55"/>
      <c r="AN217" s="55"/>
      <c r="AO217" s="55"/>
      <c r="AP217" s="55"/>
      <c r="AQ217" s="55"/>
      <c r="AR217" s="55"/>
      <c r="AS217" s="55"/>
      <c r="AT217" s="55"/>
      <c r="AU217" s="55"/>
      <c r="AV217" s="55"/>
      <c r="AW217" s="55"/>
      <c r="AX217" s="55"/>
      <c r="AY217" s="55"/>
      <c r="AZ217" s="55"/>
      <c r="BA217" s="55"/>
      <c r="BB217" s="55"/>
      <c r="BC217" s="55"/>
      <c r="BD217" s="55"/>
      <c r="BE217" s="55"/>
      <c r="BF217" s="55"/>
      <c r="BG217" s="55"/>
      <c r="BH217" s="55"/>
      <c r="BI217" s="55"/>
      <c r="BJ217" s="55"/>
      <c r="BK217" s="55"/>
      <c r="BL217" s="55"/>
      <c r="BM217" s="55"/>
    </row>
    <row r="218" spans="1:65" ht="15.75" x14ac:dyDescent="0.25">
      <c r="A218" s="55"/>
      <c r="B218" s="301"/>
      <c r="C218" s="301"/>
      <c r="D218" s="302"/>
      <c r="E218" s="278"/>
      <c r="F218" s="274"/>
      <c r="G218" s="274"/>
      <c r="H218" s="274"/>
      <c r="I218" s="274"/>
      <c r="J218" s="112" t="str">
        <f>IF(AND('Mapa final'!$AB$40="Muy Baja",'Mapa final'!$AD$40="Leve"),CONCATENATE("R13C",'Mapa final'!$R$40),"")</f>
        <v/>
      </c>
      <c r="K218" s="53" t="str">
        <f>IF(AND('Mapa final'!$AB$41="Muy Baja",'Mapa final'!$AD$41="Leve"),CONCATENATE("R13C",'Mapa final'!$R$41),"")</f>
        <v/>
      </c>
      <c r="L218" s="113" t="str">
        <f>IF(AND('Mapa final'!$AB$42="Muy Baja",'Mapa final'!$AD$42="Leve"),CONCATENATE("R13C",'Mapa final'!$R$42),"")</f>
        <v/>
      </c>
      <c r="M218" s="112" t="str">
        <f>IF(AND('Mapa final'!$AB$40="Muy Baja",'Mapa final'!$AD$40="Menor"),CONCATENATE("R13C",'Mapa final'!$R$40),"")</f>
        <v/>
      </c>
      <c r="N218" s="53" t="str">
        <f>IF(AND('Mapa final'!$AB$41="Muy Baja",'Mapa final'!$AD$41="Menor"),CONCATENATE("R13C",'Mapa final'!$R$41),"")</f>
        <v/>
      </c>
      <c r="O218" s="113" t="str">
        <f>IF(AND('Mapa final'!$AB$42="Muy Baja",'Mapa final'!$AD$42="Menor"),CONCATENATE("R13C",'Mapa final'!$R$42),"")</f>
        <v/>
      </c>
      <c r="P218" s="48" t="str">
        <f>IF(AND('Mapa final'!$AB$40="Muy Baja",'Mapa final'!$AD$40="Moderado"),CONCATENATE("R13C",'Mapa final'!$R$40),"")</f>
        <v>R13C1</v>
      </c>
      <c r="Q218" s="49" t="str">
        <f>IF(AND('Mapa final'!$AB$41="Muy Baja",'Mapa final'!$AD$41="Moderado"),CONCATENATE("R13C",'Mapa final'!$R$41),"")</f>
        <v/>
      </c>
      <c r="R218" s="108" t="str">
        <f>IF(AND('Mapa final'!$AB$42="Muy Baja",'Mapa final'!$AD$42="Moderado"),CONCATENATE("R13C",'Mapa final'!$R$42),"")</f>
        <v/>
      </c>
      <c r="S218" s="102" t="str">
        <f>IF(AND('Mapa final'!$AB$40="Muy Baja",'Mapa final'!$AD$40="Mayor"),CONCATENATE("R13C",'Mapa final'!$R$40),"")</f>
        <v/>
      </c>
      <c r="T218" s="41" t="str">
        <f>IF(AND('Mapa final'!$AB$41="Muy Baja",'Mapa final'!$AD$41="Mayor"),CONCATENATE("R13C",'Mapa final'!$R$41),"")</f>
        <v/>
      </c>
      <c r="U218" s="103" t="str">
        <f>IF(AND('Mapa final'!$AB$42="Muy Baja",'Mapa final'!$AD$42="Mayor"),CONCATENATE("R13C",'Mapa final'!$R$42),"")</f>
        <v/>
      </c>
      <c r="V218" s="42" t="str">
        <f>IF(AND('Mapa final'!$AB$40="Muy Baja",'Mapa final'!$AD$40="Catastrófico"),CONCATENATE("R13C",'Mapa final'!$R$40),"")</f>
        <v/>
      </c>
      <c r="W218" s="43" t="str">
        <f>IF(AND('Mapa final'!$AB$41="Muy Baja",'Mapa final'!$AD$41="Catastrófico"),CONCATENATE("R13C",'Mapa final'!$R$41),"")</f>
        <v/>
      </c>
      <c r="X218" s="97" t="str">
        <f>IF(AND('Mapa final'!$AB$42="Muy Baja",'Mapa final'!$AD$42="Catastrófico"),CONCATENATE("R13C",'Mapa final'!$R$42),"")</f>
        <v/>
      </c>
      <c r="Y218" s="55"/>
      <c r="Z218" s="55"/>
      <c r="AA218" s="55"/>
      <c r="AB218" s="55"/>
      <c r="AC218" s="55"/>
      <c r="AD218" s="55"/>
      <c r="AE218" s="55"/>
      <c r="AF218" s="55"/>
      <c r="AG218" s="55"/>
      <c r="AH218" s="55"/>
      <c r="AI218" s="55"/>
      <c r="AJ218" s="55"/>
      <c r="AK218" s="55"/>
      <c r="AL218" s="55"/>
      <c r="AM218" s="55"/>
      <c r="AN218" s="55"/>
      <c r="AO218" s="55"/>
      <c r="AP218" s="55"/>
      <c r="AQ218" s="55"/>
      <c r="AR218" s="55"/>
      <c r="AS218" s="55"/>
      <c r="AT218" s="55"/>
      <c r="AU218" s="55"/>
      <c r="AV218" s="55"/>
      <c r="AW218" s="55"/>
      <c r="AX218" s="55"/>
      <c r="AY218" s="55"/>
      <c r="AZ218" s="55"/>
      <c r="BA218" s="55"/>
      <c r="BB218" s="55"/>
      <c r="BC218" s="55"/>
      <c r="BD218" s="55"/>
      <c r="BE218" s="55"/>
      <c r="BF218" s="55"/>
      <c r="BG218" s="55"/>
      <c r="BH218" s="55"/>
      <c r="BI218" s="55"/>
      <c r="BJ218" s="55"/>
      <c r="BK218" s="55"/>
      <c r="BL218" s="55"/>
      <c r="BM218" s="55"/>
    </row>
    <row r="219" spans="1:65" ht="15.75" x14ac:dyDescent="0.25">
      <c r="A219" s="55"/>
      <c r="B219" s="301"/>
      <c r="C219" s="301"/>
      <c r="D219" s="302"/>
      <c r="E219" s="278"/>
      <c r="F219" s="274"/>
      <c r="G219" s="274"/>
      <c r="H219" s="274"/>
      <c r="I219" s="274"/>
      <c r="J219" s="112" t="str">
        <f>IF(AND('Mapa final'!$AB$43="Muy Baja",'Mapa final'!$AD$43="Leve"),CONCATENATE("R14C",'Mapa final'!$R$43),"")</f>
        <v/>
      </c>
      <c r="K219" s="53" t="str">
        <f>IF(AND('Mapa final'!$AB$44="Muy Baja",'Mapa final'!$AD$44="Leve"),CONCATENATE("R14C",'Mapa final'!$R$44),"")</f>
        <v/>
      </c>
      <c r="L219" s="113" t="str">
        <f>IF(AND('Mapa final'!$AB$45="Muy Baja",'Mapa final'!$AD$45="Leve"),CONCATENATE("R14C",'Mapa final'!$R$45),"")</f>
        <v/>
      </c>
      <c r="M219" s="112" t="str">
        <f>IF(AND('Mapa final'!$AB$43="Muy Baja",'Mapa final'!$AD$43="Menor"),CONCATENATE("R14C",'Mapa final'!$R$43),"")</f>
        <v/>
      </c>
      <c r="N219" s="53" t="str">
        <f>IF(AND('Mapa final'!$AB$44="Muy Baja",'Mapa final'!$AD$44="Menor"),CONCATENATE("R14C",'Mapa final'!$R$44),"")</f>
        <v/>
      </c>
      <c r="O219" s="113" t="str">
        <f>IF(AND('Mapa final'!$AB$45="Muy Baja",'Mapa final'!$AD$45="Menor"),CONCATENATE("R14C",'Mapa final'!$R$45),"")</f>
        <v/>
      </c>
      <c r="P219" s="48" t="str">
        <f>IF(AND('Mapa final'!$AB$43="Muy Baja",'Mapa final'!$AD$43="Moderado"),CONCATENATE("R14C",'Mapa final'!$R$43),"")</f>
        <v/>
      </c>
      <c r="Q219" s="49" t="str">
        <f>IF(AND('Mapa final'!$AB$44="Muy Baja",'Mapa final'!$AD$44="Moderado"),CONCATENATE("R14C",'Mapa final'!$R$44),"")</f>
        <v>R14C2</v>
      </c>
      <c r="R219" s="108" t="str">
        <f>IF(AND('Mapa final'!$AB$45="Muy Baja",'Mapa final'!$AD$45="Moderado"),CONCATENATE("R14C",'Mapa final'!$R$45),"")</f>
        <v/>
      </c>
      <c r="S219" s="102" t="str">
        <f>IF(AND('Mapa final'!$AB$43="Muy Baja",'Mapa final'!$AD$43="Mayor"),CONCATENATE("R14C",'Mapa final'!$R$43),"")</f>
        <v/>
      </c>
      <c r="T219" s="41" t="str">
        <f>IF(AND('Mapa final'!$AB$44="Muy Baja",'Mapa final'!$AD$44="Mayor"),CONCATENATE("R14C",'Mapa final'!$R$44),"")</f>
        <v/>
      </c>
      <c r="U219" s="103" t="str">
        <f>IF(AND('Mapa final'!$AB$45="Muy Baja",'Mapa final'!$AD$45="Mayor"),CONCATENATE("R14C",'Mapa final'!$R$45),"")</f>
        <v/>
      </c>
      <c r="V219" s="42" t="str">
        <f>IF(AND('Mapa final'!$AB$43="Muy Baja",'Mapa final'!$AD$43="Catastrófico"),CONCATENATE("R14C",'Mapa final'!$R$43),"")</f>
        <v/>
      </c>
      <c r="W219" s="43" t="str">
        <f>IF(AND('Mapa final'!$AB$44="Muy Baja",'Mapa final'!$AD$44="Catastrófico"),CONCATENATE("R14C",'Mapa final'!$R$44),"")</f>
        <v/>
      </c>
      <c r="X219" s="97" t="str">
        <f>IF(AND('Mapa final'!$AB$45="Muy Baja",'Mapa final'!$AD$45="Catastrófico"),CONCATENATE("R14C",'Mapa final'!$R$45),"")</f>
        <v/>
      </c>
      <c r="Y219" s="55"/>
      <c r="Z219" s="55"/>
      <c r="AA219" s="55"/>
      <c r="AB219" s="55"/>
      <c r="AC219" s="55"/>
      <c r="AD219" s="55"/>
      <c r="AE219" s="55"/>
      <c r="AF219" s="55"/>
      <c r="AG219" s="55"/>
      <c r="AH219" s="55"/>
      <c r="AI219" s="55"/>
      <c r="AJ219" s="55"/>
      <c r="AK219" s="55"/>
      <c r="AL219" s="55"/>
      <c r="AM219" s="55"/>
      <c r="AN219" s="55"/>
      <c r="AO219" s="55"/>
      <c r="AP219" s="55"/>
      <c r="AQ219" s="55"/>
      <c r="AR219" s="55"/>
      <c r="AS219" s="55"/>
      <c r="AT219" s="55"/>
      <c r="AU219" s="55"/>
      <c r="AV219" s="55"/>
      <c r="AW219" s="55"/>
      <c r="AX219" s="55"/>
      <c r="AY219" s="55"/>
      <c r="AZ219" s="55"/>
      <c r="BA219" s="55"/>
      <c r="BB219" s="55"/>
      <c r="BC219" s="55"/>
      <c r="BD219" s="55"/>
      <c r="BE219" s="55"/>
      <c r="BF219" s="55"/>
      <c r="BG219" s="55"/>
      <c r="BH219" s="55"/>
      <c r="BI219" s="55"/>
      <c r="BJ219" s="55"/>
      <c r="BK219" s="55"/>
      <c r="BL219" s="55"/>
      <c r="BM219" s="55"/>
    </row>
    <row r="220" spans="1:65" ht="15.75" x14ac:dyDescent="0.25">
      <c r="A220" s="55"/>
      <c r="B220" s="301"/>
      <c r="C220" s="301"/>
      <c r="D220" s="302"/>
      <c r="E220" s="278"/>
      <c r="F220" s="274"/>
      <c r="G220" s="274"/>
      <c r="H220" s="274"/>
      <c r="I220" s="274"/>
      <c r="J220" s="112" t="str">
        <f>IF(AND('Mapa final'!$AB$46="Muy Baja",'Mapa final'!$AD$46="Leve"),CONCATENATE("R15C",'Mapa final'!$R$46),"")</f>
        <v/>
      </c>
      <c r="K220" s="53" t="str">
        <f>IF(AND('Mapa final'!$AB$47="Muy Baja",'Mapa final'!$AD$47="Leve"),CONCATENATE("R15C",'Mapa final'!$R$47),"")</f>
        <v/>
      </c>
      <c r="L220" s="113" t="str">
        <f>IF(AND('Mapa final'!$AB$48="Muy Baja",'Mapa final'!$AD$48="Leve"),CONCATENATE("R15C",'Mapa final'!$R$48),"")</f>
        <v/>
      </c>
      <c r="M220" s="112" t="str">
        <f>IF(AND('Mapa final'!$AB$46="Muy Baja",'Mapa final'!$AD$46="Menor"),CONCATENATE("R15C",'Mapa final'!$R$46),"")</f>
        <v/>
      </c>
      <c r="N220" s="53" t="str">
        <f>IF(AND('Mapa final'!$AB$47="Muy Baja",'Mapa final'!$AD$47="Menor"),CONCATENATE("R15C",'Mapa final'!$R$47),"")</f>
        <v/>
      </c>
      <c r="O220" s="113" t="str">
        <f>IF(AND('Mapa final'!$AB$48="Muy Baja",'Mapa final'!$AD$48="Menor"),CONCATENATE("R15C",'Mapa final'!$R$48),"")</f>
        <v/>
      </c>
      <c r="P220" s="48" t="str">
        <f>IF(AND('Mapa final'!$AB$46="Muy Baja",'Mapa final'!$AD$46="Moderado"),CONCATENATE("R15C",'Mapa final'!$R$46),"")</f>
        <v/>
      </c>
      <c r="Q220" s="49" t="str">
        <f>IF(AND('Mapa final'!$AB$47="Muy Baja",'Mapa final'!$AD$47="Moderado"),CONCATENATE("R15C",'Mapa final'!$R$47),"")</f>
        <v/>
      </c>
      <c r="R220" s="108" t="str">
        <f>IF(AND('Mapa final'!$AB$48="Muy Baja",'Mapa final'!$AD$48="Moderado"),CONCATENATE("R15C",'Mapa final'!$R$48),"")</f>
        <v/>
      </c>
      <c r="S220" s="102" t="str">
        <f>IF(AND('Mapa final'!$AB$46="Muy Baja",'Mapa final'!$AD$46="Mayor"),CONCATENATE("R15C",'Mapa final'!$R$46),"")</f>
        <v/>
      </c>
      <c r="T220" s="41" t="str">
        <f>IF(AND('Mapa final'!$AB$47="Muy Baja",'Mapa final'!$AD$47="Mayor"),CONCATENATE("R15C",'Mapa final'!$R$47),"")</f>
        <v/>
      </c>
      <c r="U220" s="103" t="str">
        <f>IF(AND('Mapa final'!$AB$48="Muy Baja",'Mapa final'!$AD$48="Mayor"),CONCATENATE("R15C",'Mapa final'!$R$48),"")</f>
        <v/>
      </c>
      <c r="V220" s="42" t="str">
        <f>IF(AND('Mapa final'!$AB$46="Muy Baja",'Mapa final'!$AD$46="Catastrófico"),CONCATENATE("R15C",'Mapa final'!$R$46),"")</f>
        <v/>
      </c>
      <c r="W220" s="43" t="str">
        <f>IF(AND('Mapa final'!$AB$47="Muy Baja",'Mapa final'!$AD$47="Catastrófico"),CONCATENATE("R15C",'Mapa final'!$R$47),"")</f>
        <v/>
      </c>
      <c r="X220" s="97" t="str">
        <f>IF(AND('Mapa final'!$AB$48="Muy Baja",'Mapa final'!$AD$48="Catastrófico"),CONCATENATE("R15C",'Mapa final'!$R$48),"")</f>
        <v/>
      </c>
      <c r="Y220" s="55"/>
      <c r="Z220" s="55"/>
      <c r="AA220" s="55"/>
      <c r="AB220" s="55"/>
      <c r="AC220" s="55"/>
      <c r="AD220" s="55"/>
      <c r="AE220" s="55"/>
      <c r="AF220" s="55"/>
      <c r="AG220" s="55"/>
      <c r="AH220" s="55"/>
      <c r="AI220" s="55"/>
      <c r="AJ220" s="55"/>
      <c r="AK220" s="55"/>
      <c r="AL220" s="55"/>
      <c r="AM220" s="55"/>
      <c r="AN220" s="55"/>
      <c r="AO220" s="55"/>
      <c r="AP220" s="55"/>
      <c r="AQ220" s="55"/>
      <c r="AR220" s="55"/>
      <c r="AS220" s="55"/>
      <c r="AT220" s="55"/>
      <c r="AU220" s="55"/>
      <c r="AV220" s="55"/>
      <c r="AW220" s="55"/>
      <c r="AX220" s="55"/>
      <c r="AY220" s="55"/>
      <c r="AZ220" s="55"/>
      <c r="BA220" s="55"/>
      <c r="BB220" s="55"/>
      <c r="BC220" s="55"/>
      <c r="BD220" s="55"/>
      <c r="BE220" s="55"/>
      <c r="BF220" s="55"/>
      <c r="BG220" s="55"/>
      <c r="BH220" s="55"/>
      <c r="BI220" s="55"/>
      <c r="BJ220" s="55"/>
      <c r="BK220" s="55"/>
      <c r="BL220" s="55"/>
      <c r="BM220" s="55"/>
    </row>
    <row r="221" spans="1:65" ht="15.75" x14ac:dyDescent="0.25">
      <c r="A221" s="55"/>
      <c r="B221" s="301"/>
      <c r="C221" s="301"/>
      <c r="D221" s="302"/>
      <c r="E221" s="278"/>
      <c r="F221" s="274"/>
      <c r="G221" s="274"/>
      <c r="H221" s="274"/>
      <c r="I221" s="274"/>
      <c r="J221" s="112" t="str">
        <f>IF(AND('Mapa final'!$AB$49="Muy Baja",'Mapa final'!$AD$49="Leve"),CONCATENATE("R16C",'Mapa final'!$R$49),"")</f>
        <v/>
      </c>
      <c r="K221" s="53" t="str">
        <f>IF(AND('Mapa final'!$AB$50="Muy Baja",'Mapa final'!$AD$50="Leve"),CONCATENATE("R16C",'Mapa final'!$R$50),"")</f>
        <v/>
      </c>
      <c r="L221" s="113" t="str">
        <f>IF(AND('Mapa final'!$AB$51="Muy Baja",'Mapa final'!$AD$51="Leve"),CONCATENATE("R16C",'Mapa final'!$R$51),"")</f>
        <v/>
      </c>
      <c r="M221" s="112" t="str">
        <f>IF(AND('Mapa final'!$AB$49="Muy Baja",'Mapa final'!$AD$49="Menor"),CONCATENATE("R16C",'Mapa final'!$R$49),"")</f>
        <v/>
      </c>
      <c r="N221" s="53" t="str">
        <f>IF(AND('Mapa final'!$AB$50="Muy Baja",'Mapa final'!$AD$50="Menor"),CONCATENATE("R16C",'Mapa final'!$R$50),"")</f>
        <v/>
      </c>
      <c r="O221" s="113" t="str">
        <f>IF(AND('Mapa final'!$AB$51="Muy Baja",'Mapa final'!$AD$51="Menor"),CONCATENATE("R16C",'Mapa final'!$R$51),"")</f>
        <v/>
      </c>
      <c r="P221" s="48" t="str">
        <f>IF(AND('Mapa final'!$AB$49="Muy Baja",'Mapa final'!$AD$49="Moderado"),CONCATENATE("R16C",'Mapa final'!$R$49),"")</f>
        <v/>
      </c>
      <c r="Q221" s="49" t="str">
        <f>IF(AND('Mapa final'!$AB$50="Muy Baja",'Mapa final'!$AD$50="Moderado"),CONCATENATE("R16C",'Mapa final'!$R$50),"")</f>
        <v/>
      </c>
      <c r="R221" s="108" t="str">
        <f>IF(AND('Mapa final'!$AB$51="Muy Baja",'Mapa final'!$AD$51="Moderado"),CONCATENATE("R16C",'Mapa final'!$R$51),"")</f>
        <v/>
      </c>
      <c r="S221" s="102" t="str">
        <f>IF(AND('Mapa final'!$AB$49="Muy Baja",'Mapa final'!$AD$49="Mayor"),CONCATENATE("R16C",'Mapa final'!$R$49),"")</f>
        <v/>
      </c>
      <c r="T221" s="41" t="str">
        <f>IF(AND('Mapa final'!$AB$50="Muy Baja",'Mapa final'!$AD$50="Mayor"),CONCATENATE("R16C",'Mapa final'!$R$50),"")</f>
        <v/>
      </c>
      <c r="U221" s="103" t="str">
        <f>IF(AND('Mapa final'!$AB$51="Muy Baja",'Mapa final'!$AD$51="Mayor"),CONCATENATE("R16C",'Mapa final'!$R$51),"")</f>
        <v/>
      </c>
      <c r="V221" s="42" t="str">
        <f>IF(AND('Mapa final'!$AB$49="Muy Baja",'Mapa final'!$AD$49="Catastrófico"),CONCATENATE("R16C",'Mapa final'!$R$49),"")</f>
        <v/>
      </c>
      <c r="W221" s="43" t="str">
        <f>IF(AND('Mapa final'!$AB$50="Muy Baja",'Mapa final'!$AD$50="Catastrófico"),CONCATENATE("R16C",'Mapa final'!$R$50),"")</f>
        <v/>
      </c>
      <c r="X221" s="97" t="str">
        <f>IF(AND('Mapa final'!$AB$51="Muy Baja",'Mapa final'!$AD$51="Catastrófico"),CONCATENATE("R16C",'Mapa final'!$R$51),"")</f>
        <v/>
      </c>
      <c r="Y221" s="55"/>
      <c r="Z221" s="55"/>
      <c r="AA221" s="55"/>
      <c r="AB221" s="55"/>
      <c r="AC221" s="55"/>
      <c r="AD221" s="55"/>
      <c r="AE221" s="55"/>
      <c r="AF221" s="55"/>
      <c r="AG221" s="55"/>
      <c r="AH221" s="55"/>
      <c r="AI221" s="55"/>
      <c r="AJ221" s="55"/>
      <c r="AK221" s="55"/>
      <c r="AL221" s="55"/>
      <c r="AM221" s="55"/>
      <c r="AN221" s="55"/>
      <c r="AO221" s="55"/>
      <c r="AP221" s="55"/>
      <c r="AQ221" s="55"/>
      <c r="AR221" s="55"/>
      <c r="AS221" s="55"/>
      <c r="AT221" s="55"/>
      <c r="AU221" s="55"/>
      <c r="AV221" s="55"/>
      <c r="AW221" s="55"/>
      <c r="AX221" s="55"/>
      <c r="AY221" s="55"/>
      <c r="AZ221" s="55"/>
      <c r="BA221" s="55"/>
      <c r="BB221" s="55"/>
      <c r="BC221" s="55"/>
      <c r="BD221" s="55"/>
      <c r="BE221" s="55"/>
      <c r="BF221" s="55"/>
      <c r="BG221" s="55"/>
      <c r="BH221" s="55"/>
      <c r="BI221" s="55"/>
      <c r="BJ221" s="55"/>
      <c r="BK221" s="55"/>
      <c r="BL221" s="55"/>
      <c r="BM221" s="55"/>
    </row>
    <row r="222" spans="1:65" ht="15.75" x14ac:dyDescent="0.25">
      <c r="A222" s="55"/>
      <c r="B222" s="301"/>
      <c r="C222" s="301"/>
      <c r="D222" s="302"/>
      <c r="E222" s="278"/>
      <c r="F222" s="274"/>
      <c r="G222" s="274"/>
      <c r="H222" s="274"/>
      <c r="I222" s="274"/>
      <c r="J222" s="112" t="str">
        <f>IF(AND('Mapa final'!$AB$52="Muy Baja",'Mapa final'!$AD$52="Leve"),CONCATENATE("R17C",'Mapa final'!$R$52),"")</f>
        <v/>
      </c>
      <c r="K222" s="53" t="str">
        <f>IF(AND('Mapa final'!$AB$53="Muy Baja",'Mapa final'!$AD$53="Leve"),CONCATENATE("R17C",'Mapa final'!$R$53),"")</f>
        <v/>
      </c>
      <c r="L222" s="113" t="str">
        <f>IF(AND('Mapa final'!$AB$54="Muy Baja",'Mapa final'!$AD$54="Leve"),CONCATENATE("R17C",'Mapa final'!$R$54),"")</f>
        <v/>
      </c>
      <c r="M222" s="112" t="str">
        <f>IF(AND('Mapa final'!$AB$52="Muy Baja",'Mapa final'!$AD$52="Menor"),CONCATENATE("R17C",'Mapa final'!$R$52),"")</f>
        <v/>
      </c>
      <c r="N222" s="53" t="str">
        <f>IF(AND('Mapa final'!$AB$53="Muy Baja",'Mapa final'!$AD$53="Menor"),CONCATENATE("R17C",'Mapa final'!$R$53),"")</f>
        <v/>
      </c>
      <c r="O222" s="113" t="str">
        <f>IF(AND('Mapa final'!$AB$54="Muy Baja",'Mapa final'!$AD$54="Menor"),CONCATENATE("R17C",'Mapa final'!$R$54),"")</f>
        <v/>
      </c>
      <c r="P222" s="48" t="str">
        <f>IF(AND('Mapa final'!$AB$52="Muy Baja",'Mapa final'!$AD$52="Moderado"),CONCATENATE("R17C",'Mapa final'!$R$52),"")</f>
        <v/>
      </c>
      <c r="Q222" s="49" t="str">
        <f>IF(AND('Mapa final'!$AB$53="Muy Baja",'Mapa final'!$AD$53="Moderado"),CONCATENATE("R17C",'Mapa final'!$R$53),"")</f>
        <v/>
      </c>
      <c r="R222" s="108" t="str">
        <f>IF(AND('Mapa final'!$AB$54="Muy Baja",'Mapa final'!$AD$54="Moderado"),CONCATENATE("R17C",'Mapa final'!$R$54),"")</f>
        <v/>
      </c>
      <c r="S222" s="102" t="str">
        <f>IF(AND('Mapa final'!$AB$52="Muy Baja",'Mapa final'!$AD$52="Mayor"),CONCATENATE("R17C",'Mapa final'!$R$52),"")</f>
        <v/>
      </c>
      <c r="T222" s="41" t="str">
        <f>IF(AND('Mapa final'!$AB$53="Muy Baja",'Mapa final'!$AD$53="Mayor"),CONCATENATE("R17C",'Mapa final'!$R$53),"")</f>
        <v/>
      </c>
      <c r="U222" s="103" t="str">
        <f>IF(AND('Mapa final'!$AB$54="Muy Baja",'Mapa final'!$AD$54="Mayor"),CONCATENATE("R17C",'Mapa final'!$R$54),"")</f>
        <v/>
      </c>
      <c r="V222" s="42" t="str">
        <f>IF(AND('Mapa final'!$AB$52="Muy Baja",'Mapa final'!$AD$52="Catastrófico"),CONCATENATE("R17C",'Mapa final'!$R$52),"")</f>
        <v/>
      </c>
      <c r="W222" s="43" t="str">
        <f>IF(AND('Mapa final'!$AB$53="Muy Baja",'Mapa final'!$AD$53="Catastrófico"),CONCATENATE("R17C",'Mapa final'!$R$53),"")</f>
        <v/>
      </c>
      <c r="X222" s="97" t="str">
        <f>IF(AND('Mapa final'!$AB$54="Muy Baja",'Mapa final'!$AD$54="Catastrófico"),CONCATENATE("R17C",'Mapa final'!$R$54),"")</f>
        <v/>
      </c>
      <c r="Y222" s="55"/>
      <c r="Z222" s="55"/>
      <c r="AA222" s="55"/>
      <c r="AB222" s="55"/>
      <c r="AC222" s="55"/>
      <c r="AD222" s="55"/>
      <c r="AE222" s="55"/>
      <c r="AF222" s="55"/>
      <c r="AG222" s="55"/>
      <c r="AH222" s="55"/>
      <c r="AI222" s="55"/>
      <c r="AJ222" s="55"/>
      <c r="AK222" s="55"/>
      <c r="AL222" s="55"/>
      <c r="AM222" s="55"/>
      <c r="AN222" s="55"/>
      <c r="AO222" s="55"/>
      <c r="AP222" s="55"/>
      <c r="AQ222" s="55"/>
      <c r="AR222" s="55"/>
      <c r="AS222" s="55"/>
      <c r="AT222" s="55"/>
      <c r="AU222" s="55"/>
      <c r="AV222" s="55"/>
      <c r="AW222" s="55"/>
      <c r="AX222" s="55"/>
      <c r="AY222" s="55"/>
      <c r="AZ222" s="55"/>
      <c r="BA222" s="55"/>
      <c r="BB222" s="55"/>
      <c r="BC222" s="55"/>
      <c r="BD222" s="55"/>
      <c r="BE222" s="55"/>
      <c r="BF222" s="55"/>
      <c r="BG222" s="55"/>
      <c r="BH222" s="55"/>
      <c r="BI222" s="55"/>
      <c r="BJ222" s="55"/>
      <c r="BK222" s="55"/>
      <c r="BL222" s="55"/>
      <c r="BM222" s="55"/>
    </row>
    <row r="223" spans="1:65" ht="15.75" x14ac:dyDescent="0.25">
      <c r="A223" s="55"/>
      <c r="B223" s="301"/>
      <c r="C223" s="301"/>
      <c r="D223" s="302"/>
      <c r="E223" s="278"/>
      <c r="F223" s="274"/>
      <c r="G223" s="274"/>
      <c r="H223" s="274"/>
      <c r="I223" s="274"/>
      <c r="J223" s="112" t="str">
        <f>IF(AND('Mapa final'!$AB$55="Muy Baja",'Mapa final'!$AD$55="Leve"),CONCATENATE("R18C",'Mapa final'!$R$55),"")</f>
        <v/>
      </c>
      <c r="K223" s="53" t="str">
        <f>IF(AND('Mapa final'!$AB$56="Muy Baja",'Mapa final'!$AD$56="Leve"),CONCATENATE("R18C",'Mapa final'!$R$56),"")</f>
        <v/>
      </c>
      <c r="L223" s="113" t="str">
        <f>IF(AND('Mapa final'!$AB$57="Muy Baja",'Mapa final'!$AD$57="Leve"),CONCATENATE("R18C",'Mapa final'!$R$57),"")</f>
        <v/>
      </c>
      <c r="M223" s="112" t="str">
        <f>IF(AND('Mapa final'!$AB$55="Muy Baja",'Mapa final'!$AD$55="Menor"),CONCATENATE("R18C",'Mapa final'!$R$55),"")</f>
        <v/>
      </c>
      <c r="N223" s="53" t="str">
        <f>IF(AND('Mapa final'!$AB$56="Muy Baja",'Mapa final'!$AD$56="Menor"),CONCATENATE("R18C",'Mapa final'!$R$56),"")</f>
        <v/>
      </c>
      <c r="O223" s="113" t="str">
        <f>IF(AND('Mapa final'!$AB$57="Muy Baja",'Mapa final'!$AD$57="Menor"),CONCATENATE("R18C",'Mapa final'!$R$57),"")</f>
        <v/>
      </c>
      <c r="P223" s="48" t="str">
        <f>IF(AND('Mapa final'!$AB$55="Muy Baja",'Mapa final'!$AD$55="Moderado"),CONCATENATE("R18C",'Mapa final'!$R$55),"")</f>
        <v/>
      </c>
      <c r="Q223" s="49" t="str">
        <f>IF(AND('Mapa final'!$AB$56="Muy Baja",'Mapa final'!$AD$56="Moderado"),CONCATENATE("R18C",'Mapa final'!$R$56),"")</f>
        <v/>
      </c>
      <c r="R223" s="108" t="str">
        <f>IF(AND('Mapa final'!$AB$57="Muy Baja",'Mapa final'!$AD$57="Moderado"),CONCATENATE("R18C",'Mapa final'!$R$57),"")</f>
        <v/>
      </c>
      <c r="S223" s="102" t="str">
        <f>IF(AND('Mapa final'!$AB$55="Muy Baja",'Mapa final'!$AD$55="Mayor"),CONCATENATE("R18C",'Mapa final'!$R$55),"")</f>
        <v/>
      </c>
      <c r="T223" s="41" t="str">
        <f>IF(AND('Mapa final'!$AB$56="Muy Baja",'Mapa final'!$AD$56="Mayor"),CONCATENATE("R18C",'Mapa final'!$R$56),"")</f>
        <v/>
      </c>
      <c r="U223" s="103" t="str">
        <f>IF(AND('Mapa final'!$AB$57="Muy Baja",'Mapa final'!$AD$57="Mayor"),CONCATENATE("R18C",'Mapa final'!$R$57),"")</f>
        <v/>
      </c>
      <c r="V223" s="42" t="str">
        <f>IF(AND('Mapa final'!$AB$55="Muy Baja",'Mapa final'!$AD$55="Catastrófico"),CONCATENATE("R18C",'Mapa final'!$R$55),"")</f>
        <v/>
      </c>
      <c r="W223" s="43" t="str">
        <f>IF(AND('Mapa final'!$AB$56="Muy Baja",'Mapa final'!$AD$56="Catastrófico"),CONCATENATE("R18C",'Mapa final'!$R$56),"")</f>
        <v/>
      </c>
      <c r="X223" s="97" t="str">
        <f>IF(AND('Mapa final'!$AB$57="Muy Baja",'Mapa final'!$AD$57="Catastrófico"),CONCATENATE("R18C",'Mapa final'!$R$57),"")</f>
        <v/>
      </c>
      <c r="Y223" s="55"/>
      <c r="Z223" s="55"/>
      <c r="AA223" s="55"/>
      <c r="AB223" s="55"/>
      <c r="AC223" s="55"/>
      <c r="AD223" s="55"/>
      <c r="AE223" s="55"/>
      <c r="AF223" s="55"/>
      <c r="AG223" s="55"/>
      <c r="AH223" s="55"/>
      <c r="AI223" s="55"/>
      <c r="AJ223" s="55"/>
      <c r="AK223" s="55"/>
      <c r="AL223" s="55"/>
      <c r="AM223" s="55"/>
      <c r="AN223" s="55"/>
      <c r="AO223" s="55"/>
      <c r="AP223" s="55"/>
      <c r="AQ223" s="55"/>
      <c r="AR223" s="55"/>
      <c r="AS223" s="55"/>
      <c r="AT223" s="55"/>
      <c r="AU223" s="55"/>
      <c r="AV223" s="55"/>
      <c r="AW223" s="55"/>
      <c r="AX223" s="55"/>
      <c r="AY223" s="55"/>
      <c r="AZ223" s="55"/>
      <c r="BA223" s="55"/>
      <c r="BB223" s="55"/>
      <c r="BC223" s="55"/>
      <c r="BD223" s="55"/>
      <c r="BE223" s="55"/>
      <c r="BF223" s="55"/>
      <c r="BG223" s="55"/>
      <c r="BH223" s="55"/>
      <c r="BI223" s="55"/>
      <c r="BJ223" s="55"/>
      <c r="BK223" s="55"/>
      <c r="BL223" s="55"/>
      <c r="BM223" s="55"/>
    </row>
    <row r="224" spans="1:65" ht="15.75" x14ac:dyDescent="0.25">
      <c r="A224" s="55"/>
      <c r="B224" s="301"/>
      <c r="C224" s="301"/>
      <c r="D224" s="302"/>
      <c r="E224" s="278"/>
      <c r="F224" s="274"/>
      <c r="G224" s="274"/>
      <c r="H224" s="274"/>
      <c r="I224" s="274"/>
      <c r="J224" s="112" t="str">
        <f>IF(AND('Mapa final'!$AB$58="Muy Baja",'Mapa final'!$AD$58="Leve"),CONCATENATE("R19C",'Mapa final'!$R$58),"")</f>
        <v/>
      </c>
      <c r="K224" s="53" t="str">
        <f>IF(AND('Mapa final'!$AB$59="Muy Baja",'Mapa final'!$AD$59="Leve"),CONCATENATE("R19C",'Mapa final'!$R$59),"")</f>
        <v/>
      </c>
      <c r="L224" s="113" t="str">
        <f>IF(AND('Mapa final'!$AB$60="Muy Baja",'Mapa final'!$AD$60="Leve"),CONCATENATE("R19C",'Mapa final'!$R$60),"")</f>
        <v/>
      </c>
      <c r="M224" s="112" t="str">
        <f>IF(AND('Mapa final'!$AB$58="Muy Baja",'Mapa final'!$AD$58="Menor"),CONCATENATE("R19C",'Mapa final'!$R$58),"")</f>
        <v/>
      </c>
      <c r="N224" s="53" t="str">
        <f>IF(AND('Mapa final'!$AB$59="Muy Baja",'Mapa final'!$AD$59="Menor"),CONCATENATE("R19C",'Mapa final'!$R$59),"")</f>
        <v/>
      </c>
      <c r="O224" s="113" t="str">
        <f>IF(AND('Mapa final'!$AB$60="Muy Baja",'Mapa final'!$AD$60="Menor"),CONCATENATE("R19C",'Mapa final'!$R$60),"")</f>
        <v/>
      </c>
      <c r="P224" s="48" t="str">
        <f>IF(AND('Mapa final'!$AB$58="Muy Baja",'Mapa final'!$AD$58="Moderado"),CONCATENATE("R19C",'Mapa final'!$R$58),"")</f>
        <v/>
      </c>
      <c r="Q224" s="49" t="str">
        <f>IF(AND('Mapa final'!$AB$59="Muy Baja",'Mapa final'!$AD$59="Moderado"),CONCATENATE("R19C",'Mapa final'!$R$59),"")</f>
        <v/>
      </c>
      <c r="R224" s="108" t="str">
        <f>IF(AND('Mapa final'!$AB$60="Muy Baja",'Mapa final'!$AD$60="Moderado"),CONCATENATE("R19C",'Mapa final'!$R$60),"")</f>
        <v/>
      </c>
      <c r="S224" s="102" t="str">
        <f>IF(AND('Mapa final'!$AB$58="Muy Baja",'Mapa final'!$AD$58="Mayor"),CONCATENATE("R19C",'Mapa final'!$R$58),"")</f>
        <v/>
      </c>
      <c r="T224" s="41" t="str">
        <f>IF(AND('Mapa final'!$AB$59="Muy Baja",'Mapa final'!$AD$59="Mayor"),CONCATENATE("R19C",'Mapa final'!$R$59),"")</f>
        <v/>
      </c>
      <c r="U224" s="103" t="str">
        <f>IF(AND('Mapa final'!$AB$60="Muy Baja",'Mapa final'!$AD$60="Mayor"),CONCATENATE("R19C",'Mapa final'!$R$60),"")</f>
        <v/>
      </c>
      <c r="V224" s="42" t="str">
        <f>IF(AND('Mapa final'!$AB$58="Muy Baja",'Mapa final'!$AD$58="Catastrófico"),CONCATENATE("R19C",'Mapa final'!$R$58),"")</f>
        <v/>
      </c>
      <c r="W224" s="43" t="str">
        <f>IF(AND('Mapa final'!$AB$59="Muy Baja",'Mapa final'!$AD$59="Catastrófico"),CONCATENATE("R19C",'Mapa final'!$R$59),"")</f>
        <v/>
      </c>
      <c r="X224" s="97" t="str">
        <f>IF(AND('Mapa final'!$AB$60="Muy Baja",'Mapa final'!$AD$60="Catastrófico"),CONCATENATE("R19C",'Mapa final'!$R$60),"")</f>
        <v/>
      </c>
      <c r="Y224" s="55"/>
      <c r="Z224" s="55"/>
      <c r="AA224" s="55"/>
      <c r="AB224" s="55"/>
      <c r="AC224" s="55"/>
      <c r="AD224" s="55"/>
      <c r="AE224" s="55"/>
      <c r="AF224" s="55"/>
      <c r="AG224" s="55"/>
      <c r="AH224" s="55"/>
      <c r="AI224" s="55"/>
      <c r="AJ224" s="55"/>
      <c r="AK224" s="55"/>
      <c r="AL224" s="55"/>
      <c r="AM224" s="55"/>
      <c r="AN224" s="55"/>
      <c r="AO224" s="55"/>
      <c r="AP224" s="55"/>
      <c r="AQ224" s="55"/>
      <c r="AR224" s="55"/>
      <c r="AS224" s="55"/>
      <c r="AT224" s="55"/>
      <c r="AU224" s="55"/>
      <c r="AV224" s="55"/>
      <c r="AW224" s="55"/>
      <c r="AX224" s="55"/>
      <c r="AY224" s="55"/>
      <c r="AZ224" s="55"/>
      <c r="BA224" s="55"/>
      <c r="BB224" s="55"/>
      <c r="BC224" s="55"/>
      <c r="BD224" s="55"/>
      <c r="BE224" s="55"/>
      <c r="BF224" s="55"/>
      <c r="BG224" s="55"/>
      <c r="BH224" s="55"/>
      <c r="BI224" s="55"/>
      <c r="BJ224" s="55"/>
      <c r="BK224" s="55"/>
      <c r="BL224" s="55"/>
      <c r="BM224" s="55"/>
    </row>
    <row r="225" spans="1:65" ht="15.75" x14ac:dyDescent="0.25">
      <c r="A225" s="55"/>
      <c r="B225" s="301"/>
      <c r="C225" s="301"/>
      <c r="D225" s="302"/>
      <c r="E225" s="278"/>
      <c r="F225" s="274"/>
      <c r="G225" s="274"/>
      <c r="H225" s="274"/>
      <c r="I225" s="274"/>
      <c r="J225" s="112" t="str">
        <f>IF(AND('Mapa final'!$AB$61="Muy Baja",'Mapa final'!$AD$61="Leve"),CONCATENATE("R20C",'Mapa final'!$R$61),"")</f>
        <v/>
      </c>
      <c r="K225" s="53" t="str">
        <f>IF(AND('Mapa final'!$AB$62="Muy Baja",'Mapa final'!$AD$62="Leve"),CONCATENATE("R20C",'Mapa final'!$R$62),"")</f>
        <v/>
      </c>
      <c r="L225" s="113" t="str">
        <f>IF(AND('Mapa final'!$AB$63="Muy Baja",'Mapa final'!$AD$63="Leve"),CONCATENATE("R20C",'Mapa final'!$R$63),"")</f>
        <v/>
      </c>
      <c r="M225" s="112" t="str">
        <f>IF(AND('Mapa final'!$AB$61="Muy Baja",'Mapa final'!$AD$61="Menor"),CONCATENATE("R20C",'Mapa final'!$R$61),"")</f>
        <v/>
      </c>
      <c r="N225" s="53" t="str">
        <f>IF(AND('Mapa final'!$AB$62="Muy Baja",'Mapa final'!$AD$62="Menor"),CONCATENATE("R20C",'Mapa final'!$R$62),"")</f>
        <v/>
      </c>
      <c r="O225" s="113" t="str">
        <f>IF(AND('Mapa final'!$AB$63="Muy Baja",'Mapa final'!$AD$63="Menor"),CONCATENATE("R20C",'Mapa final'!$R$63),"")</f>
        <v/>
      </c>
      <c r="P225" s="48" t="str">
        <f>IF(AND('Mapa final'!$AB$61="Muy Baja",'Mapa final'!$AD$61="Moderado"),CONCATENATE("R20C",'Mapa final'!$R$61),"")</f>
        <v/>
      </c>
      <c r="Q225" s="49" t="str">
        <f>IF(AND('Mapa final'!$AB$62="Muy Baja",'Mapa final'!$AD$62="Moderado"),CONCATENATE("R20C",'Mapa final'!$R$62),"")</f>
        <v/>
      </c>
      <c r="R225" s="108" t="str">
        <f>IF(AND('Mapa final'!$AB$63="Muy Baja",'Mapa final'!$AD$63="Moderado"),CONCATENATE("R20C",'Mapa final'!$R$63),"")</f>
        <v/>
      </c>
      <c r="S225" s="102" t="str">
        <f>IF(AND('Mapa final'!$AB$61="Muy Baja",'Mapa final'!$AD$61="Mayor"),CONCATENATE("R20C",'Mapa final'!$R$61),"")</f>
        <v/>
      </c>
      <c r="T225" s="41" t="str">
        <f>IF(AND('Mapa final'!$AB$62="Muy Baja",'Mapa final'!$AD$62="Mayor"),CONCATENATE("R20C",'Mapa final'!$R$62),"")</f>
        <v/>
      </c>
      <c r="U225" s="103" t="str">
        <f>IF(AND('Mapa final'!$AB$63="Muy Baja",'Mapa final'!$AD$63="Mayor"),CONCATENATE("R20C",'Mapa final'!$R$63),"")</f>
        <v/>
      </c>
      <c r="V225" s="42" t="str">
        <f>IF(AND('Mapa final'!$AB$61="Muy Baja",'Mapa final'!$AD$61="Catastrófico"),CONCATENATE("R20C",'Mapa final'!$R$61),"")</f>
        <v/>
      </c>
      <c r="W225" s="43" t="str">
        <f>IF(AND('Mapa final'!$AB$62="Muy Baja",'Mapa final'!$AD$62="Catastrófico"),CONCATENATE("R20C",'Mapa final'!$R$62),"")</f>
        <v/>
      </c>
      <c r="X225" s="97" t="str">
        <f>IF(AND('Mapa final'!$AB$63="Muy Baja",'Mapa final'!$AD$63="Catastrófico"),CONCATENATE("R20C",'Mapa final'!$R$63),"")</f>
        <v/>
      </c>
      <c r="Y225" s="55"/>
      <c r="Z225" s="55"/>
      <c r="AA225" s="55"/>
      <c r="AB225" s="55"/>
      <c r="AC225" s="55"/>
      <c r="AD225" s="55"/>
      <c r="AE225" s="55"/>
      <c r="AF225" s="55"/>
      <c r="AG225" s="55"/>
      <c r="AH225" s="55"/>
      <c r="AI225" s="55"/>
      <c r="AJ225" s="55"/>
      <c r="AK225" s="55"/>
      <c r="AL225" s="55"/>
      <c r="AM225" s="55"/>
      <c r="AN225" s="55"/>
      <c r="AO225" s="55"/>
      <c r="AP225" s="55"/>
      <c r="AQ225" s="55"/>
      <c r="AR225" s="55"/>
      <c r="AS225" s="55"/>
      <c r="AT225" s="55"/>
      <c r="AU225" s="55"/>
      <c r="AV225" s="55"/>
      <c r="AW225" s="55"/>
      <c r="AX225" s="55"/>
      <c r="AY225" s="55"/>
      <c r="AZ225" s="55"/>
      <c r="BA225" s="55"/>
      <c r="BB225" s="55"/>
      <c r="BC225" s="55"/>
      <c r="BD225" s="55"/>
      <c r="BE225" s="55"/>
      <c r="BF225" s="55"/>
      <c r="BG225" s="55"/>
      <c r="BH225" s="55"/>
      <c r="BI225" s="55"/>
      <c r="BJ225" s="55"/>
      <c r="BK225" s="55"/>
      <c r="BL225" s="55"/>
      <c r="BM225" s="55"/>
    </row>
    <row r="226" spans="1:65" ht="15.75" x14ac:dyDescent="0.25">
      <c r="A226" s="55"/>
      <c r="B226" s="301"/>
      <c r="C226" s="301"/>
      <c r="D226" s="302"/>
      <c r="E226" s="278"/>
      <c r="F226" s="274"/>
      <c r="G226" s="274"/>
      <c r="H226" s="274"/>
      <c r="I226" s="274"/>
      <c r="J226" s="112" t="str">
        <f>IF(AND('Mapa final'!$AB$64="Muy Baja",'Mapa final'!$AD$64="Leve"),CONCATENATE("R21C",'Mapa final'!$R$64),"")</f>
        <v/>
      </c>
      <c r="K226" s="53" t="str">
        <f>IF(AND('Mapa final'!$AB$65="Muy Baja",'Mapa final'!$AD$65="Leve"),CONCATENATE("R21C",'Mapa final'!$R$65),"")</f>
        <v/>
      </c>
      <c r="L226" s="113" t="str">
        <f>IF(AND('Mapa final'!$AB$66="Muy Baja",'Mapa final'!$AD$66="Leve"),CONCATENATE("R21C",'Mapa final'!$R$66),"")</f>
        <v/>
      </c>
      <c r="M226" s="112" t="str">
        <f>IF(AND('Mapa final'!$AB$64="Muy Baja",'Mapa final'!$AD$64="Menor"),CONCATENATE("R21C",'Mapa final'!$R$64),"")</f>
        <v/>
      </c>
      <c r="N226" s="53" t="str">
        <f>IF(AND('Mapa final'!$AB$65="Muy Baja",'Mapa final'!$AD$65="Menor"),CONCATENATE("R21C",'Mapa final'!$R$65),"")</f>
        <v/>
      </c>
      <c r="O226" s="113" t="str">
        <f>IF(AND('Mapa final'!$AB$66="Muy Baja",'Mapa final'!$AD$66="Menor"),CONCATENATE("R21C",'Mapa final'!$R$66),"")</f>
        <v/>
      </c>
      <c r="P226" s="48" t="str">
        <f>IF(AND('Mapa final'!$AB$64="Muy Baja",'Mapa final'!$AD$64="Moderado"),CONCATENATE("R21C",'Mapa final'!$R$64),"")</f>
        <v/>
      </c>
      <c r="Q226" s="49" t="str">
        <f>IF(AND('Mapa final'!$AB$65="Muy Baja",'Mapa final'!$AD$65="Moderado"),CONCATENATE("R21C",'Mapa final'!$R$65),"")</f>
        <v/>
      </c>
      <c r="R226" s="108" t="str">
        <f>IF(AND('Mapa final'!$AB$66="Muy Baja",'Mapa final'!$AD$66="Moderado"),CONCATENATE("R21C",'Mapa final'!$R$66),"")</f>
        <v/>
      </c>
      <c r="S226" s="102" t="str">
        <f>IF(AND('Mapa final'!$AB$64="Muy Baja",'Mapa final'!$AD$64="Mayor"),CONCATENATE("R21C",'Mapa final'!$R$64),"")</f>
        <v/>
      </c>
      <c r="T226" s="41" t="str">
        <f>IF(AND('Mapa final'!$AB$65="Muy Baja",'Mapa final'!$AD$65="Mayor"),CONCATENATE("R21C",'Mapa final'!$R$65),"")</f>
        <v/>
      </c>
      <c r="U226" s="103" t="str">
        <f>IF(AND('Mapa final'!$AB$66="Muy Baja",'Mapa final'!$AD$66="Mayor"),CONCATENATE("R21C",'Mapa final'!$R$66),"")</f>
        <v/>
      </c>
      <c r="V226" s="42" t="str">
        <f>IF(AND('Mapa final'!$AB$64="Muy Baja",'Mapa final'!$AD$64="Catastrófico"),CONCATENATE("R21C",'Mapa final'!$R$64),"")</f>
        <v/>
      </c>
      <c r="W226" s="43" t="str">
        <f>IF(AND('Mapa final'!$AB$65="Muy Baja",'Mapa final'!$AD$65="Catastrófico"),CONCATENATE("R21C",'Mapa final'!$R$65),"")</f>
        <v/>
      </c>
      <c r="X226" s="97" t="str">
        <f>IF(AND('Mapa final'!$AB$66="Muy Baja",'Mapa final'!$AD$66="Catastrófico"),CONCATENATE("R21C",'Mapa final'!$R$66),"")</f>
        <v/>
      </c>
      <c r="Y226" s="55"/>
      <c r="Z226" s="55"/>
      <c r="AA226" s="55"/>
      <c r="AB226" s="55"/>
      <c r="AC226" s="55"/>
      <c r="AD226" s="55"/>
      <c r="AE226" s="55"/>
      <c r="AF226" s="55"/>
      <c r="AG226" s="55"/>
      <c r="AH226" s="55"/>
      <c r="AI226" s="55"/>
      <c r="AJ226" s="55"/>
      <c r="AK226" s="55"/>
      <c r="AL226" s="55"/>
      <c r="AM226" s="55"/>
      <c r="AN226" s="55"/>
      <c r="AO226" s="55"/>
      <c r="AP226" s="55"/>
      <c r="AQ226" s="55"/>
      <c r="AR226" s="55"/>
      <c r="AS226" s="55"/>
      <c r="AT226" s="55"/>
      <c r="AU226" s="55"/>
      <c r="AV226" s="55"/>
      <c r="AW226" s="55"/>
      <c r="AX226" s="55"/>
      <c r="AY226" s="55"/>
      <c r="AZ226" s="55"/>
      <c r="BA226" s="55"/>
      <c r="BB226" s="55"/>
      <c r="BC226" s="55"/>
      <c r="BD226" s="55"/>
      <c r="BE226" s="55"/>
      <c r="BF226" s="55"/>
      <c r="BG226" s="55"/>
      <c r="BH226" s="55"/>
      <c r="BI226" s="55"/>
      <c r="BJ226" s="55"/>
      <c r="BK226" s="55"/>
      <c r="BL226" s="55"/>
      <c r="BM226" s="55"/>
    </row>
    <row r="227" spans="1:65" ht="15.75" x14ac:dyDescent="0.25">
      <c r="A227" s="55"/>
      <c r="B227" s="301"/>
      <c r="C227" s="301"/>
      <c r="D227" s="302"/>
      <c r="E227" s="278"/>
      <c r="F227" s="274"/>
      <c r="G227" s="274"/>
      <c r="H227" s="274"/>
      <c r="I227" s="274"/>
      <c r="J227" s="112" t="str">
        <f>IF(AND('Mapa final'!$AB$67="Muy Baja",'Mapa final'!$AD$67="Leve"),CONCATENATE("R22C",'Mapa final'!$R$67),"")</f>
        <v/>
      </c>
      <c r="K227" s="53" t="str">
        <f>IF(AND('Mapa final'!$AB$68="Muy Baja",'Mapa final'!$AD$68="Leve"),CONCATENATE("R22C",'Mapa final'!$R$68),"")</f>
        <v/>
      </c>
      <c r="L227" s="113" t="str">
        <f>IF(AND('Mapa final'!$AB$69="Muy Baja",'Mapa final'!$AD$69="Leve"),CONCATENATE("R22C",'Mapa final'!$R$69),"")</f>
        <v/>
      </c>
      <c r="M227" s="112" t="str">
        <f>IF(AND('Mapa final'!$AB$67="Muy Baja",'Mapa final'!$AD$67="Menor"),CONCATENATE("R22C",'Mapa final'!$R$67),"")</f>
        <v/>
      </c>
      <c r="N227" s="53" t="str">
        <f>IF(AND('Mapa final'!$AB$68="Muy Baja",'Mapa final'!$AD$68="Menor"),CONCATENATE("R22C",'Mapa final'!$R$68),"")</f>
        <v/>
      </c>
      <c r="O227" s="113" t="str">
        <f>IF(AND('Mapa final'!$AB$69="Muy Baja",'Mapa final'!$AD$69="Menor"),CONCATENATE("R22C",'Mapa final'!$R$69),"")</f>
        <v/>
      </c>
      <c r="P227" s="48" t="str">
        <f>IF(AND('Mapa final'!$AB$67="Muy Baja",'Mapa final'!$AD$67="Moderado"),CONCATENATE("R22C",'Mapa final'!$R$67),"")</f>
        <v/>
      </c>
      <c r="Q227" s="49" t="str">
        <f>IF(AND('Mapa final'!$AB$68="Muy Baja",'Mapa final'!$AD$68="Moderado"),CONCATENATE("R22C",'Mapa final'!$R$68),"")</f>
        <v/>
      </c>
      <c r="R227" s="108" t="str">
        <f>IF(AND('Mapa final'!$AB$69="Muy Baja",'Mapa final'!$AD$69="Moderado"),CONCATENATE("R22C",'Mapa final'!$R$69),"")</f>
        <v/>
      </c>
      <c r="S227" s="102" t="str">
        <f>IF(AND('Mapa final'!$AB$67="Muy Baja",'Mapa final'!$AD$67="Mayor"),CONCATENATE("R22C",'Mapa final'!$R$67),"")</f>
        <v/>
      </c>
      <c r="T227" s="41" t="str">
        <f>IF(AND('Mapa final'!$AB$68="Muy Baja",'Mapa final'!$AD$68="Mayor"),CONCATENATE("R22C",'Mapa final'!$R$68),"")</f>
        <v/>
      </c>
      <c r="U227" s="103" t="str">
        <f>IF(AND('Mapa final'!$AB$69="Muy Baja",'Mapa final'!$AD$69="Mayor"),CONCATENATE("R22C",'Mapa final'!$R$69),"")</f>
        <v/>
      </c>
      <c r="V227" s="42" t="str">
        <f>IF(AND('Mapa final'!$AB$67="Muy Baja",'Mapa final'!$AD$67="Catastrófico"),CONCATENATE("R22C",'Mapa final'!$R$67),"")</f>
        <v/>
      </c>
      <c r="W227" s="43" t="str">
        <f>IF(AND('Mapa final'!$AB$68="Muy Baja",'Mapa final'!$AD$68="Catastrófico"),CONCATENATE("R22C",'Mapa final'!$R$68),"")</f>
        <v/>
      </c>
      <c r="X227" s="97" t="str">
        <f>IF(AND('Mapa final'!$AB$69="Muy Baja",'Mapa final'!$AD$69="Catastrófico"),CONCATENATE("R22C",'Mapa final'!$R$69),"")</f>
        <v/>
      </c>
      <c r="Y227" s="55"/>
      <c r="Z227" s="55"/>
      <c r="AA227" s="55"/>
      <c r="AB227" s="55"/>
      <c r="AC227" s="55"/>
      <c r="AD227" s="55"/>
      <c r="AE227" s="55"/>
      <c r="AF227" s="55"/>
      <c r="AG227" s="55"/>
      <c r="AH227" s="55"/>
      <c r="AI227" s="55"/>
      <c r="AJ227" s="55"/>
      <c r="AK227" s="55"/>
      <c r="AL227" s="55"/>
      <c r="AM227" s="55"/>
      <c r="AN227" s="55"/>
      <c r="AO227" s="55"/>
      <c r="AP227" s="55"/>
      <c r="AQ227" s="55"/>
      <c r="AR227" s="55"/>
      <c r="AS227" s="55"/>
      <c r="AT227" s="55"/>
      <c r="AU227" s="55"/>
      <c r="AV227" s="55"/>
      <c r="AW227" s="55"/>
      <c r="AX227" s="55"/>
      <c r="AY227" s="55"/>
      <c r="AZ227" s="55"/>
      <c r="BA227" s="55"/>
      <c r="BB227" s="55"/>
      <c r="BC227" s="55"/>
      <c r="BD227" s="55"/>
      <c r="BE227" s="55"/>
      <c r="BF227" s="55"/>
      <c r="BG227" s="55"/>
      <c r="BH227" s="55"/>
      <c r="BI227" s="55"/>
      <c r="BJ227" s="55"/>
      <c r="BK227" s="55"/>
      <c r="BL227" s="55"/>
      <c r="BM227" s="55"/>
    </row>
    <row r="228" spans="1:65" ht="15.75" x14ac:dyDescent="0.25">
      <c r="A228" s="55"/>
      <c r="B228" s="301"/>
      <c r="C228" s="301"/>
      <c r="D228" s="302"/>
      <c r="E228" s="278"/>
      <c r="F228" s="274"/>
      <c r="G228" s="274"/>
      <c r="H228" s="274"/>
      <c r="I228" s="274"/>
      <c r="J228" s="112" t="str">
        <f>IF(AND('Mapa final'!$AB$73="Muy Baja",'Mapa final'!$AD$73="Leve"),CONCATENATE("R23C",'Mapa final'!$R$73),"")</f>
        <v/>
      </c>
      <c r="K228" s="53" t="str">
        <f>IF(AND('Mapa final'!$AB$74="Muy Baja",'Mapa final'!$AD$74="Leve"),CONCATENATE("R23C",'Mapa final'!$R$74),"")</f>
        <v/>
      </c>
      <c r="L228" s="113" t="str">
        <f>IF(AND('Mapa final'!$AB$75="Muy Baja",'Mapa final'!$AD$75="Leve"),CONCATENATE("R23C",'Mapa final'!$R$75),"")</f>
        <v/>
      </c>
      <c r="M228" s="112" t="str">
        <f>IF(AND('Mapa final'!$AB$73="Muy Baja",'Mapa final'!$AD$73="Menor"),CONCATENATE("R23C",'Mapa final'!$R$73),"")</f>
        <v/>
      </c>
      <c r="N228" s="53" t="str">
        <f>IF(AND('Mapa final'!$AB$74="Muy Baja",'Mapa final'!$AD$74="Menor"),CONCATENATE("R23C",'Mapa final'!$R$74),"")</f>
        <v/>
      </c>
      <c r="O228" s="113" t="str">
        <f>IF(AND('Mapa final'!$AB$75="Muy Baja",'Mapa final'!$AD$75="Menor"),CONCATENATE("R23C",'Mapa final'!$R$75),"")</f>
        <v/>
      </c>
      <c r="P228" s="48" t="str">
        <f>IF(AND('Mapa final'!$AB$73="Muy Baja",'Mapa final'!$AD$73="Moderado"),CONCATENATE("R23C",'Mapa final'!$R$73),"")</f>
        <v/>
      </c>
      <c r="Q228" s="49" t="str">
        <f>IF(AND('Mapa final'!$AB$74="Muy Baja",'Mapa final'!$AD$74="Moderado"),CONCATENATE("R23C",'Mapa final'!$R$74),"")</f>
        <v/>
      </c>
      <c r="R228" s="108" t="str">
        <f>IF(AND('Mapa final'!$AB$75="Muy Baja",'Mapa final'!$AD$75="Moderado"),CONCATENATE("R23C",'Mapa final'!$R$75),"")</f>
        <v/>
      </c>
      <c r="S228" s="102" t="str">
        <f>IF(AND('Mapa final'!$AB$73="Muy Baja",'Mapa final'!$AD$73="Mayor"),CONCATENATE("R23C",'Mapa final'!$R$73),"")</f>
        <v/>
      </c>
      <c r="T228" s="41" t="str">
        <f>IF(AND('Mapa final'!$AB$74="Muy Baja",'Mapa final'!$AD$74="Mayor"),CONCATENATE("R23C",'Mapa final'!$R$74),"")</f>
        <v/>
      </c>
      <c r="U228" s="103" t="str">
        <f>IF(AND('Mapa final'!$AB$75="Muy Baja",'Mapa final'!$AD$75="Mayor"),CONCATENATE("R23C",'Mapa final'!$R$75),"")</f>
        <v/>
      </c>
      <c r="V228" s="42" t="str">
        <f>IF(AND('Mapa final'!$AB$73="Muy Baja",'Mapa final'!$AD$73="Catastrófico"),CONCATENATE("R23C",'Mapa final'!$R$73),"")</f>
        <v/>
      </c>
      <c r="W228" s="43" t="str">
        <f>IF(AND('Mapa final'!$AB$74="Muy Baja",'Mapa final'!$AD$74="Catastrófico"),CONCATENATE("R23C",'Mapa final'!$R$74),"")</f>
        <v/>
      </c>
      <c r="X228" s="97" t="str">
        <f>IF(AND('Mapa final'!$AB$75="Muy Baja",'Mapa final'!$AD$75="Catastrófico"),CONCATENATE("R23C",'Mapa final'!$R$75),"")</f>
        <v/>
      </c>
      <c r="Y228" s="55"/>
      <c r="Z228" s="55"/>
      <c r="AA228" s="55"/>
      <c r="AB228" s="55"/>
      <c r="AC228" s="55"/>
      <c r="AD228" s="55"/>
      <c r="AE228" s="55"/>
      <c r="AF228" s="55"/>
      <c r="AG228" s="55"/>
      <c r="AH228" s="55"/>
      <c r="AI228" s="55"/>
      <c r="AJ228" s="55"/>
      <c r="AK228" s="55"/>
      <c r="AL228" s="55"/>
      <c r="AM228" s="55"/>
      <c r="AN228" s="55"/>
      <c r="AO228" s="55"/>
      <c r="AP228" s="55"/>
      <c r="AQ228" s="55"/>
      <c r="AR228" s="55"/>
      <c r="AS228" s="55"/>
      <c r="AT228" s="55"/>
      <c r="AU228" s="55"/>
      <c r="AV228" s="55"/>
      <c r="AW228" s="55"/>
      <c r="AX228" s="55"/>
      <c r="AY228" s="55"/>
      <c r="AZ228" s="55"/>
      <c r="BA228" s="55"/>
      <c r="BB228" s="55"/>
      <c r="BC228" s="55"/>
      <c r="BD228" s="55"/>
      <c r="BE228" s="55"/>
      <c r="BF228" s="55"/>
      <c r="BG228" s="55"/>
      <c r="BH228" s="55"/>
      <c r="BI228" s="55"/>
      <c r="BJ228" s="55"/>
      <c r="BK228" s="55"/>
      <c r="BL228" s="55"/>
      <c r="BM228" s="55"/>
    </row>
    <row r="229" spans="1:65" ht="15.75" x14ac:dyDescent="0.25">
      <c r="A229" s="55"/>
      <c r="B229" s="301"/>
      <c r="C229" s="301"/>
      <c r="D229" s="302"/>
      <c r="E229" s="278"/>
      <c r="F229" s="274"/>
      <c r="G229" s="274"/>
      <c r="H229" s="274"/>
      <c r="I229" s="274"/>
      <c r="J229" s="112" t="str">
        <f>IF(AND('Mapa final'!$AB$76="Muy Baja",'Mapa final'!$AD$76="Leve"),CONCATENATE("R24C",'Mapa final'!$R$76),"")</f>
        <v/>
      </c>
      <c r="K229" s="53" t="str">
        <f>IF(AND('Mapa final'!$AB$77="Muy Baja",'Mapa final'!$AD$77="Leve"),CONCATENATE("R24C",'Mapa final'!$R$77),"")</f>
        <v/>
      </c>
      <c r="L229" s="113" t="str">
        <f>IF(AND('Mapa final'!$AB$78="Muy Baja",'Mapa final'!$AD$78="Leve"),CONCATENATE("R24C",'Mapa final'!$R$78),"")</f>
        <v/>
      </c>
      <c r="M229" s="112" t="str">
        <f>IF(AND('Mapa final'!$AB$76="Muy Baja",'Mapa final'!$AD$76="Menor"),CONCATENATE("R24C",'Mapa final'!$R$76),"")</f>
        <v/>
      </c>
      <c r="N229" s="53" t="str">
        <f>IF(AND('Mapa final'!$AB$77="Muy Baja",'Mapa final'!$AD$77="Menor"),CONCATENATE("R24C",'Mapa final'!$R$77),"")</f>
        <v/>
      </c>
      <c r="O229" s="113" t="str">
        <f>IF(AND('Mapa final'!$AB$78="Muy Baja",'Mapa final'!$AD$78="Menor"),CONCATENATE("R24C",'Mapa final'!$R$78),"")</f>
        <v/>
      </c>
      <c r="P229" s="48" t="str">
        <f>IF(AND('Mapa final'!$AB$76="Muy Baja",'Mapa final'!$AD$76="Moderado"),CONCATENATE("R24C",'Mapa final'!$R$76),"")</f>
        <v/>
      </c>
      <c r="Q229" s="49" t="str">
        <f>IF(AND('Mapa final'!$AB$77="Muy Baja",'Mapa final'!$AD$77="Moderado"),CONCATENATE("R24C",'Mapa final'!$R$77),"")</f>
        <v/>
      </c>
      <c r="R229" s="108" t="str">
        <f>IF(AND('Mapa final'!$AB$78="Muy Baja",'Mapa final'!$AD$78="Moderado"),CONCATENATE("R24C",'Mapa final'!$R$78),"")</f>
        <v/>
      </c>
      <c r="S229" s="102" t="str">
        <f>IF(AND('Mapa final'!$AB$76="Muy Baja",'Mapa final'!$AD$76="Mayor"),CONCATENATE("R24C",'Mapa final'!$R$76),"")</f>
        <v/>
      </c>
      <c r="T229" s="41" t="str">
        <f>IF(AND('Mapa final'!$AB$77="Muy Baja",'Mapa final'!$AD$77="Mayor"),CONCATENATE("R24C",'Mapa final'!$R$77),"")</f>
        <v/>
      </c>
      <c r="U229" s="103" t="str">
        <f>IF(AND('Mapa final'!$AB$78="Muy Baja",'Mapa final'!$AD$78="Mayor"),CONCATENATE("R24C",'Mapa final'!$R$78),"")</f>
        <v/>
      </c>
      <c r="V229" s="42" t="str">
        <f>IF(AND('Mapa final'!$AB$76="Muy Baja",'Mapa final'!$AD$76="Catastrófico"),CONCATENATE("R24C",'Mapa final'!$R$76),"")</f>
        <v/>
      </c>
      <c r="W229" s="43" t="str">
        <f>IF(AND('Mapa final'!$AB$77="Muy Baja",'Mapa final'!$AD$77="Catastrófico"),CONCATENATE("R24C",'Mapa final'!$R$77),"")</f>
        <v/>
      </c>
      <c r="X229" s="97" t="str">
        <f>IF(AND('Mapa final'!$AB$78="Muy Baja",'Mapa final'!$AD$78="Catastrófico"),CONCATENATE("R24C",'Mapa final'!$R$78),"")</f>
        <v/>
      </c>
      <c r="Y229" s="55"/>
      <c r="Z229" s="55"/>
      <c r="AA229" s="55"/>
      <c r="AB229" s="55"/>
      <c r="AC229" s="55"/>
      <c r="AD229" s="55"/>
      <c r="AE229" s="55"/>
      <c r="AF229" s="55"/>
      <c r="AG229" s="55"/>
      <c r="AH229" s="55"/>
      <c r="AI229" s="55"/>
      <c r="AJ229" s="55"/>
      <c r="AK229" s="55"/>
      <c r="AL229" s="55"/>
      <c r="AM229" s="55"/>
      <c r="AN229" s="55"/>
      <c r="AO229" s="55"/>
      <c r="AP229" s="55"/>
      <c r="AQ229" s="55"/>
      <c r="AR229" s="55"/>
      <c r="AS229" s="55"/>
      <c r="AT229" s="55"/>
      <c r="AU229" s="55"/>
      <c r="AV229" s="55"/>
      <c r="AW229" s="55"/>
      <c r="AX229" s="55"/>
      <c r="AY229" s="55"/>
      <c r="AZ229" s="55"/>
      <c r="BA229" s="55"/>
      <c r="BB229" s="55"/>
      <c r="BC229" s="55"/>
      <c r="BD229" s="55"/>
      <c r="BE229" s="55"/>
      <c r="BF229" s="55"/>
      <c r="BG229" s="55"/>
      <c r="BH229" s="55"/>
      <c r="BI229" s="55"/>
      <c r="BJ229" s="55"/>
      <c r="BK229" s="55"/>
      <c r="BL229" s="55"/>
      <c r="BM229" s="55"/>
    </row>
    <row r="230" spans="1:65" ht="15.75" x14ac:dyDescent="0.25">
      <c r="A230" s="55"/>
      <c r="B230" s="301"/>
      <c r="C230" s="301"/>
      <c r="D230" s="302"/>
      <c r="E230" s="278"/>
      <c r="F230" s="274"/>
      <c r="G230" s="274"/>
      <c r="H230" s="274"/>
      <c r="I230" s="274"/>
      <c r="J230" s="112" t="str">
        <f>IF(AND('Mapa final'!$AB$79="Muy Baja",'Mapa final'!$AD$79="Leve"),CONCATENATE("R25C",'Mapa final'!$R$79),"")</f>
        <v/>
      </c>
      <c r="K230" s="53" t="str">
        <f>IF(AND('Mapa final'!$AB$80="Muy Baja",'Mapa final'!$AD$80="Leve"),CONCATENATE("R25C",'Mapa final'!$R$80),"")</f>
        <v/>
      </c>
      <c r="L230" s="113" t="str">
        <f>IF(AND('Mapa final'!$AB$81="Muy Baja",'Mapa final'!$AD$81="Leve"),CONCATENATE("R25C",'Mapa final'!$R$81),"")</f>
        <v/>
      </c>
      <c r="M230" s="112" t="str">
        <f>IF(AND('Mapa final'!$AB$79="Muy Baja",'Mapa final'!$AD$79="Menor"),CONCATENATE("R25C",'Mapa final'!$R$79),"")</f>
        <v/>
      </c>
      <c r="N230" s="53" t="str">
        <f>IF(AND('Mapa final'!$AB$80="Muy Baja",'Mapa final'!$AD$80="Menor"),CONCATENATE("R25C",'Mapa final'!$R$80),"")</f>
        <v/>
      </c>
      <c r="O230" s="113" t="str">
        <f>IF(AND('Mapa final'!$AB$81="Muy Baja",'Mapa final'!$AD$81="Menor"),CONCATENATE("R25C",'Mapa final'!$R$81),"")</f>
        <v/>
      </c>
      <c r="P230" s="48" t="str">
        <f>IF(AND('Mapa final'!$AB$79="Muy Baja",'Mapa final'!$AD$79="Moderado"),CONCATENATE("R25C",'Mapa final'!$R$79),"")</f>
        <v/>
      </c>
      <c r="Q230" s="49" t="str">
        <f>IF(AND('Mapa final'!$AB$80="Muy Baja",'Mapa final'!$AD$80="Moderado"),CONCATENATE("R25C",'Mapa final'!$R$80),"")</f>
        <v>R25C2</v>
      </c>
      <c r="R230" s="108" t="str">
        <f>IF(AND('Mapa final'!$AB$81="Muy Baja",'Mapa final'!$AD$81="Moderado"),CONCATENATE("R25C",'Mapa final'!$R$81),"")</f>
        <v>R25C3</v>
      </c>
      <c r="S230" s="102" t="str">
        <f>IF(AND('Mapa final'!$AB$79="Muy Baja",'Mapa final'!$AD$79="Mayor"),CONCATENATE("R25C",'Mapa final'!$R$79),"")</f>
        <v/>
      </c>
      <c r="T230" s="41" t="str">
        <f>IF(AND('Mapa final'!$AB$80="Muy Baja",'Mapa final'!$AD$80="Mayor"),CONCATENATE("R25C",'Mapa final'!$R$80),"")</f>
        <v/>
      </c>
      <c r="U230" s="103" t="str">
        <f>IF(AND('Mapa final'!$AB$81="Muy Baja",'Mapa final'!$AD$81="Mayor"),CONCATENATE("R25C",'Mapa final'!$R$81),"")</f>
        <v/>
      </c>
      <c r="V230" s="42" t="str">
        <f>IF(AND('Mapa final'!$AB$79="Muy Baja",'Mapa final'!$AD$79="Catastrófico"),CONCATENATE("R25C",'Mapa final'!$R$79),"")</f>
        <v/>
      </c>
      <c r="W230" s="43" t="str">
        <f>IF(AND('Mapa final'!$AB$80="Muy Baja",'Mapa final'!$AD$80="Catastrófico"),CONCATENATE("R25C",'Mapa final'!$R$80),"")</f>
        <v/>
      </c>
      <c r="X230" s="97" t="str">
        <f>IF(AND('Mapa final'!$AB$81="Muy Baja",'Mapa final'!$AD$81="Catastrófico"),CONCATENATE("R25C",'Mapa final'!$R$81),"")</f>
        <v/>
      </c>
      <c r="Y230" s="55"/>
      <c r="Z230" s="55"/>
      <c r="AA230" s="55"/>
      <c r="AB230" s="55"/>
      <c r="AC230" s="55"/>
      <c r="AD230" s="55"/>
      <c r="AE230" s="55"/>
      <c r="AF230" s="55"/>
      <c r="AG230" s="55"/>
      <c r="AH230" s="55"/>
      <c r="AI230" s="55"/>
      <c r="AJ230" s="55"/>
      <c r="AK230" s="55"/>
      <c r="AL230" s="55"/>
      <c r="AM230" s="55"/>
      <c r="AN230" s="55"/>
      <c r="AO230" s="55"/>
      <c r="AP230" s="55"/>
      <c r="AQ230" s="55"/>
      <c r="AR230" s="55"/>
      <c r="AS230" s="55"/>
      <c r="AT230" s="55"/>
      <c r="AU230" s="55"/>
      <c r="AV230" s="55"/>
      <c r="AW230" s="55"/>
      <c r="AX230" s="55"/>
      <c r="AY230" s="55"/>
      <c r="AZ230" s="55"/>
      <c r="BA230" s="55"/>
      <c r="BB230" s="55"/>
      <c r="BC230" s="55"/>
      <c r="BD230" s="55"/>
      <c r="BE230" s="55"/>
      <c r="BF230" s="55"/>
      <c r="BG230" s="55"/>
      <c r="BH230" s="55"/>
      <c r="BI230" s="55"/>
      <c r="BJ230" s="55"/>
      <c r="BK230" s="55"/>
      <c r="BL230" s="55"/>
      <c r="BM230" s="55"/>
    </row>
    <row r="231" spans="1:65" ht="15.75" x14ac:dyDescent="0.25">
      <c r="A231" s="55"/>
      <c r="B231" s="301"/>
      <c r="C231" s="301"/>
      <c r="D231" s="302"/>
      <c r="E231" s="278"/>
      <c r="F231" s="274"/>
      <c r="G231" s="274"/>
      <c r="H231" s="274"/>
      <c r="I231" s="274"/>
      <c r="J231" s="112" t="str">
        <f>IF(AND('Mapa final'!$AB$82="Muy Baja",'Mapa final'!$AD$82="Leve"),CONCATENATE("R26C",'Mapa final'!$R$82),"")</f>
        <v/>
      </c>
      <c r="K231" s="53" t="str">
        <f>IF(AND('Mapa final'!$AB$83="Muy Baja",'Mapa final'!$AD$83="Leve"),CONCATENATE("R26C",'Mapa final'!$R$83),"")</f>
        <v/>
      </c>
      <c r="L231" s="113" t="str">
        <f>IF(AND('Mapa final'!$AB$84="Muy Baja",'Mapa final'!$AD$84="Leve"),CONCATENATE("R26C",'Mapa final'!$R$84),"")</f>
        <v/>
      </c>
      <c r="M231" s="112" t="str">
        <f>IF(AND('Mapa final'!$AB$82="Muy Baja",'Mapa final'!$AD$82="Menor"),CONCATENATE("R26C",'Mapa final'!$R$82),"")</f>
        <v/>
      </c>
      <c r="N231" s="53" t="str">
        <f>IF(AND('Mapa final'!$AB$83="Muy Baja",'Mapa final'!$AD$83="Menor"),CONCATENATE("R26C",'Mapa final'!$R$83),"")</f>
        <v/>
      </c>
      <c r="O231" s="113" t="str">
        <f>IF(AND('Mapa final'!$AB$84="Muy Baja",'Mapa final'!$AD$84="Menor"),CONCATENATE("R26C",'Mapa final'!$R$84),"")</f>
        <v/>
      </c>
      <c r="P231" s="48" t="str">
        <f>IF(AND('Mapa final'!$AB$82="Muy Baja",'Mapa final'!$AD$82="Moderado"),CONCATENATE("R26C",'Mapa final'!$R$82),"")</f>
        <v>R26C1</v>
      </c>
      <c r="Q231" s="49" t="str">
        <f>IF(AND('Mapa final'!$AB$83="Muy Baja",'Mapa final'!$AD$83="Moderado"),CONCATENATE("R26C",'Mapa final'!$R$83),"")</f>
        <v>R26C2</v>
      </c>
      <c r="R231" s="108" t="str">
        <f>IF(AND('Mapa final'!$AB$84="Muy Baja",'Mapa final'!$AD$84="Moderado"),CONCATENATE("R26C",'Mapa final'!$R$84),"")</f>
        <v>R26C3</v>
      </c>
      <c r="S231" s="102" t="str">
        <f>IF(AND('Mapa final'!$AB$82="Muy Baja",'Mapa final'!$AD$82="Mayor"),CONCATENATE("R26C",'Mapa final'!$R$82),"")</f>
        <v/>
      </c>
      <c r="T231" s="41" t="str">
        <f>IF(AND('Mapa final'!$AB$83="Muy Baja",'Mapa final'!$AD$83="Mayor"),CONCATENATE("R26C",'Mapa final'!$R$83),"")</f>
        <v/>
      </c>
      <c r="U231" s="103" t="str">
        <f>IF(AND('Mapa final'!$AB$84="Muy Baja",'Mapa final'!$AD$84="Mayor"),CONCATENATE("R26C",'Mapa final'!$R$84),"")</f>
        <v/>
      </c>
      <c r="V231" s="42" t="str">
        <f>IF(AND('Mapa final'!$AB$82="Muy Baja",'Mapa final'!$AD$82="Catastrófico"),CONCATENATE("R26C",'Mapa final'!$R$82),"")</f>
        <v/>
      </c>
      <c r="W231" s="43" t="str">
        <f>IF(AND('Mapa final'!$AB$83="Muy Baja",'Mapa final'!$AD$83="Catastrófico"),CONCATENATE("R26C",'Mapa final'!$R$83),"")</f>
        <v/>
      </c>
      <c r="X231" s="97" t="str">
        <f>IF(AND('Mapa final'!$AB$84="Muy Baja",'Mapa final'!$AD$84="Catastrófico"),CONCATENATE("R26C",'Mapa final'!$R$84),"")</f>
        <v/>
      </c>
      <c r="Y231" s="55"/>
      <c r="Z231" s="55"/>
      <c r="AA231" s="55"/>
      <c r="AB231" s="55"/>
      <c r="AC231" s="55"/>
      <c r="AD231" s="55"/>
      <c r="AE231" s="55"/>
      <c r="AF231" s="55"/>
      <c r="AG231" s="55"/>
      <c r="AH231" s="55"/>
      <c r="AI231" s="55"/>
      <c r="AJ231" s="55"/>
      <c r="AK231" s="55"/>
      <c r="AL231" s="55"/>
      <c r="AM231" s="55"/>
      <c r="AN231" s="55"/>
      <c r="AO231" s="55"/>
      <c r="AP231" s="55"/>
      <c r="AQ231" s="55"/>
      <c r="AR231" s="55"/>
      <c r="AS231" s="55"/>
      <c r="AT231" s="55"/>
      <c r="AU231" s="55"/>
      <c r="AV231" s="55"/>
      <c r="AW231" s="55"/>
      <c r="AX231" s="55"/>
      <c r="AY231" s="55"/>
      <c r="AZ231" s="55"/>
      <c r="BA231" s="55"/>
      <c r="BB231" s="55"/>
      <c r="BC231" s="55"/>
      <c r="BD231" s="55"/>
      <c r="BE231" s="55"/>
      <c r="BF231" s="55"/>
      <c r="BG231" s="55"/>
      <c r="BH231" s="55"/>
      <c r="BI231" s="55"/>
      <c r="BJ231" s="55"/>
      <c r="BK231" s="55"/>
      <c r="BL231" s="55"/>
      <c r="BM231" s="55"/>
    </row>
    <row r="232" spans="1:65" ht="15.75" x14ac:dyDescent="0.25">
      <c r="A232" s="55"/>
      <c r="B232" s="301"/>
      <c r="C232" s="301"/>
      <c r="D232" s="302"/>
      <c r="E232" s="278"/>
      <c r="F232" s="274"/>
      <c r="G232" s="274"/>
      <c r="H232" s="274"/>
      <c r="I232" s="274"/>
      <c r="J232" s="112" t="str">
        <f>IF(AND('Mapa final'!$AB$85="Muy Baja",'Mapa final'!$AD$85="Leve"),CONCATENATE("R27C",'Mapa final'!$R$85),"")</f>
        <v/>
      </c>
      <c r="K232" s="53" t="str">
        <f>IF(AND('Mapa final'!$AB$86="Muy Baja",'Mapa final'!$AD$86="Leve"),CONCATENATE("R27C",'Mapa final'!$R$86),"")</f>
        <v/>
      </c>
      <c r="L232" s="113" t="str">
        <f>IF(AND('Mapa final'!$AB$87="Muy Baja",'Mapa final'!$AD$87="Leve"),CONCATENATE("R27C",'Mapa final'!$R$87),"")</f>
        <v/>
      </c>
      <c r="M232" s="112" t="str">
        <f>IF(AND('Mapa final'!$AB$85="Muy Baja",'Mapa final'!$AD$85="Menor"),CONCATENATE("R27C",'Mapa final'!$R$85),"")</f>
        <v/>
      </c>
      <c r="N232" s="53" t="str">
        <f>IF(AND('Mapa final'!$AB$86="Muy Baja",'Mapa final'!$AD$86="Menor"),CONCATENATE("R27C",'Mapa final'!$R$86),"")</f>
        <v/>
      </c>
      <c r="O232" s="113" t="str">
        <f>IF(AND('Mapa final'!$AB$87="Muy Baja",'Mapa final'!$AD$87="Menor"),CONCATENATE("R27C",'Mapa final'!$R$87),"")</f>
        <v/>
      </c>
      <c r="P232" s="48" t="str">
        <f>IF(AND('Mapa final'!$AB$85="Muy Baja",'Mapa final'!$AD$85="Moderado"),CONCATENATE("R27C",'Mapa final'!$R$85),"")</f>
        <v/>
      </c>
      <c r="Q232" s="49" t="str">
        <f>IF(AND('Mapa final'!$AB$86="Muy Baja",'Mapa final'!$AD$86="Moderado"),CONCATENATE("R27C",'Mapa final'!$R$86),"")</f>
        <v/>
      </c>
      <c r="R232" s="108" t="str">
        <f>IF(AND('Mapa final'!$AB$87="Muy Baja",'Mapa final'!$AD$87="Moderado"),CONCATENATE("R27C",'Mapa final'!$R$87),"")</f>
        <v/>
      </c>
      <c r="S232" s="102" t="str">
        <f>IF(AND('Mapa final'!$AB$85="Muy Baja",'Mapa final'!$AD$85="Mayor"),CONCATENATE("R27C",'Mapa final'!$R$85),"")</f>
        <v/>
      </c>
      <c r="T232" s="41" t="str">
        <f>IF(AND('Mapa final'!$AB$86="Muy Baja",'Mapa final'!$AD$86="Mayor"),CONCATENATE("R27C",'Mapa final'!$R$86),"")</f>
        <v/>
      </c>
      <c r="U232" s="103" t="str">
        <f>IF(AND('Mapa final'!$AB$87="Muy Baja",'Mapa final'!$AD$87="Mayor"),CONCATENATE("R27C",'Mapa final'!$R$87),"")</f>
        <v/>
      </c>
      <c r="V232" s="42" t="str">
        <f>IF(AND('Mapa final'!$AB$85="Muy Baja",'Mapa final'!$AD$85="Catastrófico"),CONCATENATE("R27C",'Mapa final'!$R$85),"")</f>
        <v/>
      </c>
      <c r="W232" s="43" t="str">
        <f>IF(AND('Mapa final'!$AB$86="Muy Baja",'Mapa final'!$AD$86="Catastrófico"),CONCATENATE("R27C",'Mapa final'!$R$86),"")</f>
        <v/>
      </c>
      <c r="X232" s="97" t="str">
        <f>IF(AND('Mapa final'!$AB$87="Muy Baja",'Mapa final'!$AD$87="Catastrófico"),CONCATENATE("R27C",'Mapa final'!$R$87),"")</f>
        <v/>
      </c>
      <c r="Y232" s="55"/>
      <c r="Z232" s="55"/>
      <c r="AA232" s="55"/>
      <c r="AB232" s="55"/>
      <c r="AC232" s="55"/>
      <c r="AD232" s="55"/>
      <c r="AE232" s="55"/>
      <c r="AF232" s="55"/>
      <c r="AG232" s="55"/>
      <c r="AH232" s="55"/>
      <c r="AI232" s="55"/>
      <c r="AJ232" s="55"/>
      <c r="AK232" s="55"/>
      <c r="AL232" s="55"/>
      <c r="AM232" s="55"/>
      <c r="AN232" s="55"/>
      <c r="AO232" s="55"/>
      <c r="AP232" s="55"/>
      <c r="AQ232" s="55"/>
      <c r="AR232" s="55"/>
      <c r="AS232" s="55"/>
      <c r="AT232" s="55"/>
      <c r="AU232" s="55"/>
      <c r="AV232" s="55"/>
      <c r="AW232" s="55"/>
      <c r="AX232" s="55"/>
      <c r="AY232" s="55"/>
      <c r="AZ232" s="55"/>
      <c r="BA232" s="55"/>
      <c r="BB232" s="55"/>
      <c r="BC232" s="55"/>
      <c r="BD232" s="55"/>
      <c r="BE232" s="55"/>
      <c r="BF232" s="55"/>
      <c r="BG232" s="55"/>
      <c r="BH232" s="55"/>
      <c r="BI232" s="55"/>
      <c r="BJ232" s="55"/>
      <c r="BK232" s="55"/>
      <c r="BL232" s="55"/>
      <c r="BM232" s="55"/>
    </row>
    <row r="233" spans="1:65" ht="15.75" x14ac:dyDescent="0.25">
      <c r="A233" s="55"/>
      <c r="B233" s="301"/>
      <c r="C233" s="301"/>
      <c r="D233" s="302"/>
      <c r="E233" s="278"/>
      <c r="F233" s="274"/>
      <c r="G233" s="274"/>
      <c r="H233" s="274"/>
      <c r="I233" s="274"/>
      <c r="J233" s="112" t="str">
        <f>IF(AND('Mapa final'!$AB$88="Muy Baja",'Mapa final'!$AD$88="Leve"),CONCATENATE("R28C",'Mapa final'!$R$88),"")</f>
        <v/>
      </c>
      <c r="K233" s="53" t="str">
        <f>IF(AND('Mapa final'!$AB$89="Muy Baja",'Mapa final'!$AD$89="Leve"),CONCATENATE("R28C",'Mapa final'!$R$89),"")</f>
        <v/>
      </c>
      <c r="L233" s="113" t="str">
        <f>IF(AND('Mapa final'!$AB$90="Muy Baja",'Mapa final'!$AD$90="Leve"),CONCATENATE("R28C",'Mapa final'!$R$90),"")</f>
        <v/>
      </c>
      <c r="M233" s="112" t="str">
        <f>IF(AND('Mapa final'!$AB$88="Muy Baja",'Mapa final'!$AD$88="Menor"),CONCATENATE("R28C",'Mapa final'!$R$88),"")</f>
        <v/>
      </c>
      <c r="N233" s="53" t="str">
        <f>IF(AND('Mapa final'!$AB$89="Muy Baja",'Mapa final'!$AD$89="Menor"),CONCATENATE("R28C",'Mapa final'!$R$89),"")</f>
        <v/>
      </c>
      <c r="O233" s="113" t="str">
        <f>IF(AND('Mapa final'!$AB$90="Muy Baja",'Mapa final'!$AD$90="Menor"),CONCATENATE("R28C",'Mapa final'!$R$90),"")</f>
        <v/>
      </c>
      <c r="P233" s="48" t="str">
        <f>IF(AND('Mapa final'!$AB$88="Muy Baja",'Mapa final'!$AD$88="Moderado"),CONCATENATE("R28C",'Mapa final'!$R$88),"")</f>
        <v/>
      </c>
      <c r="Q233" s="49" t="str">
        <f>IF(AND('Mapa final'!$AB$89="Muy Baja",'Mapa final'!$AD$89="Moderado"),CONCATENATE("R28C",'Mapa final'!$R$89),"")</f>
        <v/>
      </c>
      <c r="R233" s="108" t="str">
        <f>IF(AND('Mapa final'!$AB$90="Muy Baja",'Mapa final'!$AD$90="Moderado"),CONCATENATE("R28C",'Mapa final'!$R$90),"")</f>
        <v/>
      </c>
      <c r="S233" s="102" t="str">
        <f>IF(AND('Mapa final'!$AB$88="Muy Baja",'Mapa final'!$AD$88="Mayor"),CONCATENATE("R28C",'Mapa final'!$R$88),"")</f>
        <v/>
      </c>
      <c r="T233" s="41" t="str">
        <f>IF(AND('Mapa final'!$AB$89="Muy Baja",'Mapa final'!$AD$89="Mayor"),CONCATENATE("R28C",'Mapa final'!$R$89),"")</f>
        <v/>
      </c>
      <c r="U233" s="103" t="str">
        <f>IF(AND('Mapa final'!$AB$90="Muy Baja",'Mapa final'!$AD$90="Mayor"),CONCATENATE("R28C",'Mapa final'!$R$90),"")</f>
        <v/>
      </c>
      <c r="V233" s="42" t="str">
        <f>IF(AND('Mapa final'!$AB$88="Muy Baja",'Mapa final'!$AD$88="Catastrófico"),CONCATENATE("R28C",'Mapa final'!$R$88),"")</f>
        <v/>
      </c>
      <c r="W233" s="43" t="str">
        <f>IF(AND('Mapa final'!$AB$89="Muy Baja",'Mapa final'!$AD$89="Catastrófico"),CONCATENATE("R28C",'Mapa final'!$R$89),"")</f>
        <v/>
      </c>
      <c r="X233" s="97" t="str">
        <f>IF(AND('Mapa final'!$AB$90="Muy Baja",'Mapa final'!$AD$90="Catastrófico"),CONCATENATE("R28C",'Mapa final'!$R$90),"")</f>
        <v/>
      </c>
      <c r="Y233" s="55"/>
      <c r="Z233" s="55"/>
      <c r="AA233" s="55"/>
      <c r="AB233" s="55"/>
      <c r="AC233" s="55"/>
      <c r="AD233" s="55"/>
      <c r="AE233" s="55"/>
      <c r="AF233" s="55"/>
      <c r="AG233" s="55"/>
      <c r="AH233" s="55"/>
      <c r="AI233" s="55"/>
      <c r="AJ233" s="55"/>
      <c r="AK233" s="55"/>
      <c r="AL233" s="55"/>
      <c r="AM233" s="55"/>
      <c r="AN233" s="55"/>
      <c r="AO233" s="55"/>
      <c r="AP233" s="55"/>
      <c r="AQ233" s="55"/>
      <c r="AR233" s="55"/>
      <c r="AS233" s="55"/>
      <c r="AT233" s="55"/>
      <c r="AU233" s="55"/>
      <c r="AV233" s="55"/>
      <c r="AW233" s="55"/>
      <c r="AX233" s="55"/>
      <c r="AY233" s="55"/>
      <c r="AZ233" s="55"/>
      <c r="BA233" s="55"/>
      <c r="BB233" s="55"/>
      <c r="BC233" s="55"/>
      <c r="BD233" s="55"/>
      <c r="BE233" s="55"/>
      <c r="BF233" s="55"/>
      <c r="BG233" s="55"/>
      <c r="BH233" s="55"/>
      <c r="BI233" s="55"/>
      <c r="BJ233" s="55"/>
      <c r="BK233" s="55"/>
      <c r="BL233" s="55"/>
      <c r="BM233" s="55"/>
    </row>
    <row r="234" spans="1:65" ht="15" customHeight="1" x14ac:dyDescent="0.25">
      <c r="A234" s="55"/>
      <c r="B234" s="301"/>
      <c r="C234" s="301"/>
      <c r="D234" s="302"/>
      <c r="E234" s="278"/>
      <c r="F234" s="274"/>
      <c r="G234" s="274"/>
      <c r="H234" s="274"/>
      <c r="I234" s="274"/>
      <c r="J234" s="112" t="str">
        <f>IF(AND('Mapa final'!$AB$91="Muy Baja",'Mapa final'!$AD$91="Leve"),CONCATENATE("R29C",'Mapa final'!$R$91),"")</f>
        <v/>
      </c>
      <c r="K234" s="53" t="str">
        <f>IF(AND('Mapa final'!$AB$92="Muy Baja",'Mapa final'!$AD$92="Leve"),CONCATENATE("R29C",'Mapa final'!$R$92),"")</f>
        <v/>
      </c>
      <c r="L234" s="113" t="str">
        <f>IF(AND('Mapa final'!$AB$93="Muy Baja",'Mapa final'!$AD$93="Leve"),CONCATENATE("R29C",'Mapa final'!$R$93),"")</f>
        <v/>
      </c>
      <c r="M234" s="112" t="str">
        <f>IF(AND('Mapa final'!$AB$91="Muy Baja",'Mapa final'!$AD$91="Menor"),CONCATENATE("R29C",'Mapa final'!$R$91),"")</f>
        <v/>
      </c>
      <c r="N234" s="53" t="str">
        <f>IF(AND('Mapa final'!$AB$92="Muy Baja",'Mapa final'!$AD$92="Menor"),CONCATENATE("R29C",'Mapa final'!$R$92),"")</f>
        <v/>
      </c>
      <c r="O234" s="113" t="str">
        <f>IF(AND('Mapa final'!$AB$93="Muy Baja",'Mapa final'!$AD$93="Menor"),CONCATENATE("R29C",'Mapa final'!$R$93),"")</f>
        <v/>
      </c>
      <c r="P234" s="48" t="str">
        <f>IF(AND('Mapa final'!$AB$91="Muy Baja",'Mapa final'!$AD$91="Moderado"),CONCATENATE("R29C",'Mapa final'!$R$91),"")</f>
        <v/>
      </c>
      <c r="Q234" s="49" t="str">
        <f>IF(AND('Mapa final'!$AB$92="Muy Baja",'Mapa final'!$AD$92="Moderado"),CONCATENATE("R29C",'Mapa final'!$R$92),"")</f>
        <v/>
      </c>
      <c r="R234" s="108" t="str">
        <f>IF(AND('Mapa final'!$AB$93="Muy Baja",'Mapa final'!$AD$93="Moderado"),CONCATENATE("R29C",'Mapa final'!$R$93),"")</f>
        <v/>
      </c>
      <c r="S234" s="102" t="str">
        <f>IF(AND('Mapa final'!$AB$91="Muy Baja",'Mapa final'!$AD$91="Mayor"),CONCATENATE("R29C",'Mapa final'!$R$91),"")</f>
        <v/>
      </c>
      <c r="T234" s="41" t="str">
        <f>IF(AND('Mapa final'!$AB$92="Muy Baja",'Mapa final'!$AD$92="Mayor"),CONCATENATE("R29C",'Mapa final'!$R$92),"")</f>
        <v/>
      </c>
      <c r="U234" s="103" t="str">
        <f>IF(AND('Mapa final'!$AB$93="Muy Baja",'Mapa final'!$AD$93="Mayor"),CONCATENATE("R29C",'Mapa final'!$R$93),"")</f>
        <v/>
      </c>
      <c r="V234" s="42" t="str">
        <f>IF(AND('Mapa final'!$AB$91="Muy Baja",'Mapa final'!$AD$91="Catastrófico"),CONCATENATE("R29C",'Mapa final'!$R$91),"")</f>
        <v/>
      </c>
      <c r="W234" s="43" t="str">
        <f>IF(AND('Mapa final'!$AB$92="Muy Baja",'Mapa final'!$AD$92="Catastrófico"),CONCATENATE("R29C",'Mapa final'!$R$92),"")</f>
        <v/>
      </c>
      <c r="X234" s="97" t="str">
        <f>IF(AND('Mapa final'!$AB$93="Muy Baja",'Mapa final'!$AD$93="Catastrófico"),CONCATENATE("R29C",'Mapa final'!$R$93),"")</f>
        <v/>
      </c>
      <c r="Y234" s="55"/>
      <c r="Z234" s="55"/>
      <c r="AA234" s="55"/>
      <c r="AB234" s="55"/>
      <c r="AC234" s="55"/>
      <c r="AD234" s="55"/>
      <c r="AE234" s="55"/>
      <c r="AF234" s="55"/>
      <c r="AG234" s="55"/>
      <c r="AH234" s="55"/>
      <c r="AI234" s="55"/>
      <c r="AJ234" s="55"/>
      <c r="AK234" s="55"/>
      <c r="AL234" s="55"/>
      <c r="AM234" s="55"/>
      <c r="AN234" s="55"/>
      <c r="AO234" s="55"/>
      <c r="AP234" s="55"/>
      <c r="AQ234" s="55"/>
      <c r="AR234" s="55"/>
      <c r="AS234" s="55"/>
      <c r="AT234" s="55"/>
      <c r="AU234" s="55"/>
      <c r="AV234" s="55"/>
      <c r="AW234" s="55"/>
      <c r="AX234" s="55"/>
      <c r="AY234" s="55"/>
      <c r="AZ234" s="55"/>
      <c r="BA234" s="55"/>
      <c r="BB234" s="55"/>
      <c r="BC234" s="55"/>
      <c r="BD234" s="55"/>
      <c r="BE234" s="55"/>
      <c r="BF234" s="55"/>
      <c r="BG234" s="55"/>
      <c r="BH234" s="55"/>
      <c r="BI234" s="55"/>
      <c r="BJ234" s="55"/>
      <c r="BK234" s="55"/>
      <c r="BL234" s="55"/>
      <c r="BM234" s="55"/>
    </row>
    <row r="235" spans="1:65" ht="15" customHeight="1" x14ac:dyDescent="0.25">
      <c r="A235" s="55"/>
      <c r="B235" s="301"/>
      <c r="C235" s="301"/>
      <c r="D235" s="302"/>
      <c r="E235" s="279"/>
      <c r="F235" s="274"/>
      <c r="G235" s="274"/>
      <c r="H235" s="274"/>
      <c r="I235" s="274"/>
      <c r="J235" s="112" t="str">
        <f>IF(AND('Mapa final'!$AB$94="Muy Baja",'Mapa final'!$AD$94="Leve"),CONCATENATE("R30C",'Mapa final'!$R$94),"")</f>
        <v/>
      </c>
      <c r="K235" s="53" t="str">
        <f>IF(AND('Mapa final'!$AB$95="Muy Baja",'Mapa final'!$AD$95="Leve"),CONCATENATE("R30C",'Mapa final'!$R$95),"")</f>
        <v/>
      </c>
      <c r="L235" s="113" t="str">
        <f>IF(AND('Mapa final'!$AB$96="Muy Baja",'Mapa final'!$AD$96="Leve"),CONCATENATE("R30C",'Mapa final'!$R$96),"")</f>
        <v/>
      </c>
      <c r="M235" s="112" t="str">
        <f>IF(AND('Mapa final'!$AB$94="Muy Baja",'Mapa final'!$AD$94="Menor"),CONCATENATE("R30C",'Mapa final'!$R$94),"")</f>
        <v/>
      </c>
      <c r="N235" s="53" t="str">
        <f>IF(AND('Mapa final'!$AB$95="Muy Baja",'Mapa final'!$AD$95="Menor"),CONCATENATE("R30C",'Mapa final'!$R$95),"")</f>
        <v/>
      </c>
      <c r="O235" s="113" t="str">
        <f>IF(AND('Mapa final'!$AB$96="Muy Baja",'Mapa final'!$AD$96="Menor"),CONCATENATE("R30C",'Mapa final'!$R$96),"")</f>
        <v/>
      </c>
      <c r="P235" s="48" t="str">
        <f>IF(AND('Mapa final'!$AB$94="Muy Baja",'Mapa final'!$AD$94="Moderado"),CONCATENATE("R30C",'Mapa final'!$R$94),"")</f>
        <v/>
      </c>
      <c r="Q235" s="49" t="str">
        <f>IF(AND('Mapa final'!$AB$95="Muy Baja",'Mapa final'!$AD$95="Moderado"),CONCATENATE("R30C",'Mapa final'!$R$95),"")</f>
        <v/>
      </c>
      <c r="R235" s="108" t="str">
        <f>IF(AND('Mapa final'!$AB$96="Muy Baja",'Mapa final'!$AD$96="Moderado"),CONCATENATE("R30C",'Mapa final'!$R$96),"")</f>
        <v/>
      </c>
      <c r="S235" s="102" t="str">
        <f>IF(AND('Mapa final'!$AB$94="Muy Baja",'Mapa final'!$AD$94="Mayor"),CONCATENATE("R30C",'Mapa final'!$R$94),"")</f>
        <v/>
      </c>
      <c r="T235" s="41" t="str">
        <f>IF(AND('Mapa final'!$AB$95="Muy Baja",'Mapa final'!$AD$95="Mayor"),CONCATENATE("R30C",'Mapa final'!$R$95),"")</f>
        <v/>
      </c>
      <c r="U235" s="103" t="str">
        <f>IF(AND('Mapa final'!$AB$96="Muy Baja",'Mapa final'!$AD$96="Mayor"),CONCATENATE("R30C",'Mapa final'!$R$96),"")</f>
        <v/>
      </c>
      <c r="V235" s="42" t="str">
        <f>IF(AND('Mapa final'!$AB$94="Muy Baja",'Mapa final'!$AD$94="Catastrófico"),CONCATENATE("R30C",'Mapa final'!$R$94),"")</f>
        <v/>
      </c>
      <c r="W235" s="43" t="str">
        <f>IF(AND('Mapa final'!$AB$95="Muy Baja",'Mapa final'!$AD$95="Catastrófico"),CONCATENATE("R30C",'Mapa final'!$R$95),"")</f>
        <v/>
      </c>
      <c r="X235" s="97" t="str">
        <f>IF(AND('Mapa final'!$AB$96="Muy Baja",'Mapa final'!$AD$96="Catastrófico"),CONCATENATE("R30C",'Mapa final'!$R$96),"")</f>
        <v/>
      </c>
      <c r="Y235" s="55"/>
      <c r="Z235" s="55"/>
      <c r="AA235" s="55"/>
      <c r="AB235" s="55"/>
      <c r="AC235" s="55"/>
      <c r="AD235" s="55"/>
      <c r="AE235" s="55"/>
      <c r="AF235" s="55"/>
      <c r="AG235" s="55"/>
      <c r="AH235" s="55"/>
      <c r="AI235" s="55"/>
      <c r="AJ235" s="55"/>
      <c r="AK235" s="55"/>
      <c r="AL235" s="55"/>
      <c r="AM235" s="55"/>
      <c r="AN235" s="55"/>
      <c r="AO235" s="55"/>
      <c r="AP235" s="55"/>
      <c r="AQ235" s="55"/>
      <c r="AR235" s="55"/>
      <c r="AS235" s="55"/>
      <c r="AT235" s="55"/>
      <c r="AU235" s="55"/>
      <c r="AV235" s="55"/>
      <c r="AW235" s="55"/>
      <c r="AX235" s="55"/>
      <c r="AY235" s="55"/>
      <c r="AZ235" s="55"/>
      <c r="BA235" s="55"/>
      <c r="BB235" s="55"/>
      <c r="BC235" s="55"/>
      <c r="BD235" s="55"/>
      <c r="BE235" s="55"/>
      <c r="BF235" s="55"/>
      <c r="BG235" s="55"/>
      <c r="BH235" s="55"/>
      <c r="BI235" s="55"/>
      <c r="BJ235" s="55"/>
      <c r="BK235" s="55"/>
      <c r="BL235" s="55"/>
      <c r="BM235" s="55"/>
    </row>
    <row r="236" spans="1:65" ht="15" customHeight="1" x14ac:dyDescent="0.25">
      <c r="A236" s="55"/>
      <c r="B236" s="301"/>
      <c r="C236" s="301"/>
      <c r="D236" s="302"/>
      <c r="E236" s="279"/>
      <c r="F236" s="274"/>
      <c r="G236" s="274"/>
      <c r="H236" s="274"/>
      <c r="I236" s="274"/>
      <c r="J236" s="112" t="str">
        <f>IF(AND('Mapa final'!$AB$97="Muy Baja",'Mapa final'!$AD$97="Leve"),CONCATENATE("R31C",'Mapa final'!$R$97),"")</f>
        <v/>
      </c>
      <c r="K236" s="53" t="str">
        <f>IF(AND('Mapa final'!$AB$98="Muy Baja",'Mapa final'!$AD$98="Leve"),CONCATENATE("R31C",'Mapa final'!$R$98),"")</f>
        <v/>
      </c>
      <c r="L236" s="113" t="str">
        <f>IF(AND('Mapa final'!$AB$99="Muy Baja",'Mapa final'!$AD$99="Leve"),CONCATENATE("R31C",'Mapa final'!$R$99),"")</f>
        <v/>
      </c>
      <c r="M236" s="112" t="str">
        <f>IF(AND('Mapa final'!$AB$97="Muy Baja",'Mapa final'!$AD$97="Menor"),CONCATENATE("R31C",'Mapa final'!$R$97),"")</f>
        <v/>
      </c>
      <c r="N236" s="53" t="str">
        <f>IF(AND('Mapa final'!$AB$98="Muy Baja",'Mapa final'!$AD$98="Menor"),CONCATENATE("R31C",'Mapa final'!$R$98),"")</f>
        <v/>
      </c>
      <c r="O236" s="113" t="str">
        <f>IF(AND('Mapa final'!$AB$99="Muy Baja",'Mapa final'!$AD$99="Menor"),CONCATENATE("R31C",'Mapa final'!$R$99),"")</f>
        <v/>
      </c>
      <c r="P236" s="48" t="str">
        <f>IF(AND('Mapa final'!$AB$97="Muy Baja",'Mapa final'!$AD$97="Moderado"),CONCATENATE("R31C",'Mapa final'!$R$97),"")</f>
        <v/>
      </c>
      <c r="Q236" s="49" t="str">
        <f>IF(AND('Mapa final'!$AB$98="Muy Baja",'Mapa final'!$AD$98="Moderado"),CONCATENATE("R31C",'Mapa final'!$R$98),"")</f>
        <v/>
      </c>
      <c r="R236" s="108" t="str">
        <f>IF(AND('Mapa final'!$AB$99="Muy Baja",'Mapa final'!$AD$99="Moderado"),CONCATENATE("R31C",'Mapa final'!$R$99),"")</f>
        <v/>
      </c>
      <c r="S236" s="102" t="str">
        <f>IF(AND('Mapa final'!$AB$97="Muy Baja",'Mapa final'!$AD$97="Mayor"),CONCATENATE("R31C",'Mapa final'!$R$97),"")</f>
        <v/>
      </c>
      <c r="T236" s="41" t="str">
        <f>IF(AND('Mapa final'!$AB$98="Muy Baja",'Mapa final'!$AD$98="Mayor"),CONCATENATE("R31C",'Mapa final'!$R$98),"")</f>
        <v/>
      </c>
      <c r="U236" s="103" t="str">
        <f>IF(AND('Mapa final'!$AB$99="Muy Baja",'Mapa final'!$AD$99="Mayor"),CONCATENATE("R31C",'Mapa final'!$R$99),"")</f>
        <v/>
      </c>
      <c r="V236" s="42" t="str">
        <f>IF(AND('Mapa final'!$AB$97="Muy Baja",'Mapa final'!$AD$97="Catastrófico"),CONCATENATE("R31C",'Mapa final'!$R$97),"")</f>
        <v/>
      </c>
      <c r="W236" s="43" t="str">
        <f>IF(AND('Mapa final'!$AB$98="Muy Baja",'Mapa final'!$AD$98="Catastrófico"),CONCATENATE("R31C",'Mapa final'!$R$98),"")</f>
        <v/>
      </c>
      <c r="X236" s="97" t="str">
        <f>IF(AND('Mapa final'!$AB$99="Muy Baja",'Mapa final'!$AD$99="Catastrófico"),CONCATENATE("R31C",'Mapa final'!$R$99),"")</f>
        <v/>
      </c>
      <c r="Y236" s="55"/>
      <c r="Z236" s="55"/>
      <c r="AA236" s="55"/>
      <c r="AB236" s="55"/>
      <c r="AC236" s="55"/>
      <c r="AD236" s="55"/>
      <c r="AE236" s="55"/>
      <c r="AF236" s="55"/>
      <c r="AG236" s="55"/>
      <c r="AH236" s="55"/>
      <c r="AI236" s="55"/>
      <c r="AJ236" s="55"/>
      <c r="AK236" s="55"/>
      <c r="AL236" s="55"/>
      <c r="AM236" s="55"/>
      <c r="AN236" s="55"/>
      <c r="AO236" s="55"/>
      <c r="AP236" s="55"/>
      <c r="AQ236" s="55"/>
      <c r="AR236" s="55"/>
      <c r="AS236" s="55"/>
      <c r="AT236" s="55"/>
      <c r="AU236" s="55"/>
      <c r="AV236" s="55"/>
      <c r="AW236" s="55"/>
      <c r="AX236" s="55"/>
      <c r="AY236" s="55"/>
      <c r="AZ236" s="55"/>
      <c r="BA236" s="55"/>
      <c r="BB236" s="55"/>
      <c r="BC236" s="55"/>
      <c r="BD236" s="55"/>
      <c r="BE236" s="55"/>
      <c r="BF236" s="55"/>
      <c r="BG236" s="55"/>
      <c r="BH236" s="55"/>
      <c r="BI236" s="55"/>
      <c r="BJ236" s="55"/>
      <c r="BK236" s="55"/>
      <c r="BL236" s="55"/>
      <c r="BM236" s="55"/>
    </row>
    <row r="237" spans="1:65" ht="15" customHeight="1" x14ac:dyDescent="0.25">
      <c r="A237" s="55"/>
      <c r="B237" s="301"/>
      <c r="C237" s="301"/>
      <c r="D237" s="302"/>
      <c r="E237" s="279"/>
      <c r="F237" s="274"/>
      <c r="G237" s="274"/>
      <c r="H237" s="274"/>
      <c r="I237" s="274"/>
      <c r="J237" s="112" t="e">
        <f>IF(AND('Mapa final'!#REF!="Muy Baja",'Mapa final'!#REF!="Leve"),CONCATENATE("R32C",'Mapa final'!#REF!),"")</f>
        <v>#REF!</v>
      </c>
      <c r="K237" s="53" t="e">
        <f>IF(AND('Mapa final'!#REF!="Muy Baja",'Mapa final'!#REF!="Leve"),CONCATENATE("R32C",'Mapa final'!#REF!),"")</f>
        <v>#REF!</v>
      </c>
      <c r="L237" s="113" t="e">
        <f>IF(AND('Mapa final'!#REF!="Muy Baja",'Mapa final'!#REF!="Leve"),CONCATENATE("R32C",'Mapa final'!#REF!),"")</f>
        <v>#REF!</v>
      </c>
      <c r="M237" s="112" t="e">
        <f>IF(AND('Mapa final'!#REF!="Muy Baja",'Mapa final'!#REF!="Menor"),CONCATENATE("R32C",'Mapa final'!#REF!),"")</f>
        <v>#REF!</v>
      </c>
      <c r="N237" s="53" t="e">
        <f>IF(AND('Mapa final'!#REF!="Muy Baja",'Mapa final'!#REF!="Menor"),CONCATENATE("R32C",'Mapa final'!#REF!),"")</f>
        <v>#REF!</v>
      </c>
      <c r="O237" s="113" t="e">
        <f>IF(AND('Mapa final'!#REF!="Muy Baja",'Mapa final'!#REF!="Menor"),CONCATENATE("R32C",'Mapa final'!#REF!),"")</f>
        <v>#REF!</v>
      </c>
      <c r="P237" s="48" t="e">
        <f>IF(AND('Mapa final'!#REF!="Muy Baja",'Mapa final'!#REF!="Moderado"),CONCATENATE("R32C",'Mapa final'!#REF!),"")</f>
        <v>#REF!</v>
      </c>
      <c r="Q237" s="49" t="e">
        <f>IF(AND('Mapa final'!#REF!="Muy Baja",'Mapa final'!#REF!="Moderado"),CONCATENATE("R32C",'Mapa final'!#REF!),"")</f>
        <v>#REF!</v>
      </c>
      <c r="R237" s="108" t="e">
        <f>IF(AND('Mapa final'!#REF!="Muy Baja",'Mapa final'!#REF!="Moderado"),CONCATENATE("R32C",'Mapa final'!#REF!),"")</f>
        <v>#REF!</v>
      </c>
      <c r="S237" s="102" t="e">
        <f>IF(AND('Mapa final'!#REF!="Muy Baja",'Mapa final'!#REF!="Mayor"),CONCATENATE("R32C",'Mapa final'!#REF!),"")</f>
        <v>#REF!</v>
      </c>
      <c r="T237" s="41" t="e">
        <f>IF(AND('Mapa final'!#REF!="Muy Baja",'Mapa final'!#REF!="Mayor"),CONCATENATE("R32C",'Mapa final'!#REF!),"")</f>
        <v>#REF!</v>
      </c>
      <c r="U237" s="103" t="e">
        <f>IF(AND('Mapa final'!#REF!="Muy Baja",'Mapa final'!#REF!="Mayor"),CONCATENATE("R32C",'Mapa final'!#REF!),"")</f>
        <v>#REF!</v>
      </c>
      <c r="V237" s="42" t="e">
        <f>IF(AND('Mapa final'!#REF!="Muy Baja",'Mapa final'!#REF!="Catastrófico"),CONCATENATE("R32C",'Mapa final'!#REF!),"")</f>
        <v>#REF!</v>
      </c>
      <c r="W237" s="43" t="e">
        <f>IF(AND('Mapa final'!#REF!="Muy Baja",'Mapa final'!#REF!="Catastrófico"),CONCATENATE("R32C",'Mapa final'!#REF!),"")</f>
        <v>#REF!</v>
      </c>
      <c r="X237" s="97" t="e">
        <f>IF(AND('Mapa final'!#REF!="Muy Baja",'Mapa final'!#REF!="Catastrófico"),CONCATENATE("R32C",'Mapa final'!#REF!),"")</f>
        <v>#REF!</v>
      </c>
      <c r="Y237" s="55"/>
      <c r="Z237" s="55"/>
      <c r="AA237" s="55"/>
      <c r="AB237" s="55"/>
      <c r="AC237" s="55"/>
      <c r="AD237" s="55"/>
      <c r="AE237" s="55"/>
      <c r="AF237" s="55"/>
      <c r="AG237" s="55"/>
      <c r="AH237" s="55"/>
      <c r="AI237" s="55"/>
      <c r="AJ237" s="55"/>
      <c r="AK237" s="55"/>
      <c r="AL237" s="55"/>
      <c r="AM237" s="55"/>
      <c r="AN237" s="55"/>
      <c r="AO237" s="55"/>
      <c r="AP237" s="55"/>
      <c r="AQ237" s="55"/>
      <c r="AR237" s="55"/>
      <c r="AS237" s="55"/>
      <c r="AT237" s="55"/>
      <c r="AU237" s="55"/>
      <c r="AV237" s="55"/>
      <c r="AW237" s="55"/>
      <c r="AX237" s="55"/>
      <c r="AY237" s="55"/>
      <c r="AZ237" s="55"/>
      <c r="BA237" s="55"/>
      <c r="BB237" s="55"/>
      <c r="BC237" s="55"/>
      <c r="BD237" s="55"/>
      <c r="BE237" s="55"/>
      <c r="BF237" s="55"/>
      <c r="BG237" s="55"/>
      <c r="BH237" s="55"/>
      <c r="BI237" s="55"/>
      <c r="BJ237" s="55"/>
      <c r="BK237" s="55"/>
      <c r="BL237" s="55"/>
      <c r="BM237" s="55"/>
    </row>
    <row r="238" spans="1:65" ht="15" customHeight="1" x14ac:dyDescent="0.25">
      <c r="A238" s="55"/>
      <c r="B238" s="301"/>
      <c r="C238" s="301"/>
      <c r="D238" s="302"/>
      <c r="E238" s="279"/>
      <c r="F238" s="274"/>
      <c r="G238" s="274"/>
      <c r="H238" s="274"/>
      <c r="I238" s="274"/>
      <c r="J238" s="112" t="str">
        <f>IF(AND('Mapa final'!$AB$100="Muy Baja",'Mapa final'!$AD$100="Leve"),CONCATENATE("R33C",'Mapa final'!$R$100),"")</f>
        <v/>
      </c>
      <c r="K238" s="53" t="str">
        <f>IF(AND('Mapa final'!$AB$101="Muy Baja",'Mapa final'!$AD$101="Leve"),CONCATENATE("R33C",'Mapa final'!$R$101),"")</f>
        <v/>
      </c>
      <c r="L238" s="113" t="str">
        <f>IF(AND('Mapa final'!$AB$102="Muy Baja",'Mapa final'!$AD$102="Leve"),CONCATENATE("R33C",'Mapa final'!$R$102),"")</f>
        <v/>
      </c>
      <c r="M238" s="112" t="str">
        <f>IF(AND('Mapa final'!$AB$100="Muy Baja",'Mapa final'!$AD$100="Menor"),CONCATENATE("R33C",'Mapa final'!$R$100),"")</f>
        <v/>
      </c>
      <c r="N238" s="53" t="str">
        <f>IF(AND('Mapa final'!$AB$101="Muy Baja",'Mapa final'!$AD$101="Menor"),CONCATENATE("R33C",'Mapa final'!$R$101),"")</f>
        <v/>
      </c>
      <c r="O238" s="113" t="str">
        <f>IF(AND('Mapa final'!$AB$102="Muy Baja",'Mapa final'!$AD$102="Menor"),CONCATENATE("R33C",'Mapa final'!$R$102),"")</f>
        <v/>
      </c>
      <c r="P238" s="48" t="str">
        <f>IF(AND('Mapa final'!$AB$100="Muy Baja",'Mapa final'!$AD$100="Moderado"),CONCATENATE("R33C",'Mapa final'!$R$100),"")</f>
        <v/>
      </c>
      <c r="Q238" s="49" t="str">
        <f>IF(AND('Mapa final'!$AB$101="Muy Baja",'Mapa final'!$AD$101="Moderado"),CONCATENATE("R33C",'Mapa final'!$R$101),"")</f>
        <v/>
      </c>
      <c r="R238" s="108" t="str">
        <f>IF(AND('Mapa final'!$AB$102="Muy Baja",'Mapa final'!$AD$102="Moderado"),CONCATENATE("R33C",'Mapa final'!$R$102),"")</f>
        <v/>
      </c>
      <c r="S238" s="102" t="str">
        <f>IF(AND('Mapa final'!$AB$100="Muy Baja",'Mapa final'!$AD$100="Mayor"),CONCATENATE("R33C",'Mapa final'!$R$100),"")</f>
        <v/>
      </c>
      <c r="T238" s="41" t="str">
        <f>IF(AND('Mapa final'!$AB$101="Muy Baja",'Mapa final'!$AD$101="Mayor"),CONCATENATE("R33C",'Mapa final'!$R$101),"")</f>
        <v/>
      </c>
      <c r="U238" s="103" t="str">
        <f>IF(AND('Mapa final'!$AB$102="Muy Baja",'Mapa final'!$AD$102="Mayor"),CONCATENATE("R33C",'Mapa final'!$R$102),"")</f>
        <v/>
      </c>
      <c r="V238" s="42" t="str">
        <f>IF(AND('Mapa final'!$AB$100="Muy Baja",'Mapa final'!$AD$100="Catastrófico"),CONCATENATE("R33C",'Mapa final'!$R$100),"")</f>
        <v/>
      </c>
      <c r="W238" s="43" t="str">
        <f>IF(AND('Mapa final'!$AB$101="Muy Baja",'Mapa final'!$AD$101="Catastrófico"),CONCATENATE("R33C",'Mapa final'!$R$101),"")</f>
        <v/>
      </c>
      <c r="X238" s="97" t="str">
        <f>IF(AND('Mapa final'!$AB$102="Muy Baja",'Mapa final'!$AD$102="Catastrófico"),CONCATENATE("R33C",'Mapa final'!$R$102),"")</f>
        <v/>
      </c>
      <c r="Y238" s="55"/>
      <c r="Z238" s="55"/>
      <c r="AA238" s="55"/>
      <c r="AB238" s="55"/>
      <c r="AC238" s="55"/>
      <c r="AD238" s="55"/>
      <c r="AE238" s="55"/>
      <c r="AF238" s="55"/>
      <c r="AG238" s="55"/>
      <c r="AH238" s="55"/>
      <c r="AI238" s="55"/>
      <c r="AJ238" s="55"/>
      <c r="AK238" s="55"/>
      <c r="AL238" s="55"/>
      <c r="AM238" s="55"/>
      <c r="AN238" s="55"/>
      <c r="AO238" s="55"/>
      <c r="AP238" s="55"/>
      <c r="AQ238" s="55"/>
      <c r="AR238" s="55"/>
      <c r="AS238" s="55"/>
      <c r="AT238" s="55"/>
      <c r="AU238" s="55"/>
      <c r="AV238" s="55"/>
      <c r="AW238" s="55"/>
      <c r="AX238" s="55"/>
      <c r="AY238" s="55"/>
      <c r="AZ238" s="55"/>
      <c r="BA238" s="55"/>
      <c r="BB238" s="55"/>
      <c r="BC238" s="55"/>
      <c r="BD238" s="55"/>
      <c r="BE238" s="55"/>
      <c r="BF238" s="55"/>
      <c r="BG238" s="55"/>
      <c r="BH238" s="55"/>
      <c r="BI238" s="55"/>
      <c r="BJ238" s="55"/>
      <c r="BK238" s="55"/>
      <c r="BL238" s="55"/>
      <c r="BM238" s="55"/>
    </row>
    <row r="239" spans="1:65" ht="15" customHeight="1" x14ac:dyDescent="0.25">
      <c r="A239" s="55"/>
      <c r="B239" s="301"/>
      <c r="C239" s="301"/>
      <c r="D239" s="302"/>
      <c r="E239" s="279"/>
      <c r="F239" s="274"/>
      <c r="G239" s="274"/>
      <c r="H239" s="274"/>
      <c r="I239" s="274"/>
      <c r="J239" s="112" t="str">
        <f>IF(AND('Mapa final'!$AB$103="Muy Baja",'Mapa final'!$AD$103="Leve"),CONCATENATE("R34C",'Mapa final'!$R$103),"")</f>
        <v/>
      </c>
      <c r="K239" s="53" t="str">
        <f>IF(AND('Mapa final'!$AB$104="Muy Baja",'Mapa final'!$AD$104="Leve"),CONCATENATE("R34C",'Mapa final'!$R$104),"")</f>
        <v/>
      </c>
      <c r="L239" s="113" t="str">
        <f>IF(AND('Mapa final'!$AB$105="Muy Baja",'Mapa final'!$AD$105="Leve"),CONCATENATE("R34C",'Mapa final'!$R$105),"")</f>
        <v/>
      </c>
      <c r="M239" s="112" t="str">
        <f>IF(AND('Mapa final'!$AB$103="Muy Baja",'Mapa final'!$AD$103="Menor"),CONCATENATE("R34C",'Mapa final'!$R$103),"")</f>
        <v/>
      </c>
      <c r="N239" s="53" t="str">
        <f>IF(AND('Mapa final'!$AB$104="Muy Baja",'Mapa final'!$AD$104="Menor"),CONCATENATE("R34C",'Mapa final'!$R$104),"")</f>
        <v/>
      </c>
      <c r="O239" s="113" t="str">
        <f>IF(AND('Mapa final'!$AB$105="Muy Baja",'Mapa final'!$AD$105="Menor"),CONCATENATE("R34C",'Mapa final'!$R$105),"")</f>
        <v/>
      </c>
      <c r="P239" s="48" t="str">
        <f>IF(AND('Mapa final'!$AB$103="Muy Baja",'Mapa final'!$AD$103="Moderado"),CONCATENATE("R34C",'Mapa final'!$R$103),"")</f>
        <v/>
      </c>
      <c r="Q239" s="49" t="str">
        <f>IF(AND('Mapa final'!$AB$104="Muy Baja",'Mapa final'!$AD$104="Moderado"),CONCATENATE("R34C",'Mapa final'!$R$104),"")</f>
        <v/>
      </c>
      <c r="R239" s="108" t="str">
        <f>IF(AND('Mapa final'!$AB$105="Muy Baja",'Mapa final'!$AD$105="Moderado"),CONCATENATE("R34C",'Mapa final'!$R$105),"")</f>
        <v/>
      </c>
      <c r="S239" s="102" t="str">
        <f>IF(AND('Mapa final'!$AB$103="Muy Baja",'Mapa final'!$AD$103="Mayor"),CONCATENATE("R34C",'Mapa final'!$R$103),"")</f>
        <v/>
      </c>
      <c r="T239" s="41" t="str">
        <f>IF(AND('Mapa final'!$AB$104="Muy Baja",'Mapa final'!$AD$104="Mayor"),CONCATENATE("R34C",'Mapa final'!$R$104),"")</f>
        <v/>
      </c>
      <c r="U239" s="103" t="str">
        <f>IF(AND('Mapa final'!$AB$105="Muy Baja",'Mapa final'!$AD$105="Mayor"),CONCATENATE("R34C",'Mapa final'!$R$105),"")</f>
        <v/>
      </c>
      <c r="V239" s="42" t="str">
        <f>IF(AND('Mapa final'!$AB$103="Muy Baja",'Mapa final'!$AD$103="Catastrófico"),CONCATENATE("R34C",'Mapa final'!$R$103),"")</f>
        <v/>
      </c>
      <c r="W239" s="43" t="str">
        <f>IF(AND('Mapa final'!$AB$104="Muy Baja",'Mapa final'!$AD$104="Catastrófico"),CONCATENATE("R34C",'Mapa final'!$R$104),"")</f>
        <v/>
      </c>
      <c r="X239" s="97" t="str">
        <f>IF(AND('Mapa final'!$AB$105="Muy Baja",'Mapa final'!$AD$105="Catastrófico"),CONCATENATE("R34C",'Mapa final'!$R$105),"")</f>
        <v/>
      </c>
      <c r="Y239" s="55"/>
      <c r="Z239" s="55"/>
      <c r="AA239" s="55"/>
      <c r="AB239" s="55"/>
      <c r="AC239" s="55"/>
      <c r="AD239" s="55"/>
      <c r="AE239" s="55"/>
      <c r="AF239" s="55"/>
      <c r="AG239" s="55"/>
      <c r="AH239" s="55"/>
      <c r="AI239" s="55"/>
      <c r="AJ239" s="55"/>
      <c r="AK239" s="55"/>
      <c r="AL239" s="55"/>
      <c r="AM239" s="55"/>
      <c r="AN239" s="55"/>
      <c r="AO239" s="55"/>
      <c r="AP239" s="55"/>
      <c r="AQ239" s="55"/>
      <c r="AR239" s="55"/>
      <c r="AS239" s="55"/>
      <c r="AT239" s="55"/>
      <c r="AU239" s="55"/>
      <c r="AV239" s="55"/>
      <c r="AW239" s="55"/>
      <c r="AX239" s="55"/>
      <c r="AY239" s="55"/>
      <c r="AZ239" s="55"/>
      <c r="BA239" s="55"/>
      <c r="BB239" s="55"/>
      <c r="BC239" s="55"/>
      <c r="BD239" s="55"/>
      <c r="BE239" s="55"/>
      <c r="BF239" s="55"/>
      <c r="BG239" s="55"/>
      <c r="BH239" s="55"/>
      <c r="BI239" s="55"/>
      <c r="BJ239" s="55"/>
      <c r="BK239" s="55"/>
      <c r="BL239" s="55"/>
      <c r="BM239" s="55"/>
    </row>
    <row r="240" spans="1:65" ht="15" customHeight="1" x14ac:dyDescent="0.25">
      <c r="A240" s="55"/>
      <c r="B240" s="301"/>
      <c r="C240" s="301"/>
      <c r="D240" s="302"/>
      <c r="E240" s="279"/>
      <c r="F240" s="274"/>
      <c r="G240" s="274"/>
      <c r="H240" s="274"/>
      <c r="I240" s="274"/>
      <c r="J240" s="112" t="str">
        <f>IF(AND('Mapa final'!$AB$106="Muy Baja",'Mapa final'!$AD$106="Leve"),CONCATENATE("R35C",'Mapa final'!$R$106),"")</f>
        <v/>
      </c>
      <c r="K240" s="53" t="str">
        <f>IF(AND('Mapa final'!$AB$107="Muy Baja",'Mapa final'!$AD$107="Leve"),CONCATENATE("R35C",'Mapa final'!$R$107),"")</f>
        <v/>
      </c>
      <c r="L240" s="113" t="str">
        <f>IF(AND('Mapa final'!$AB$108="Muy Baja",'Mapa final'!$AD$108="Leve"),CONCATENATE("R35C",'Mapa final'!$R$108),"")</f>
        <v/>
      </c>
      <c r="M240" s="112" t="str">
        <f>IF(AND('Mapa final'!$AB$106="Muy Baja",'Mapa final'!$AD$106="Menor"),CONCATENATE("R35C",'Mapa final'!$R$106),"")</f>
        <v/>
      </c>
      <c r="N240" s="53" t="str">
        <f>IF(AND('Mapa final'!$AB$107="Muy Baja",'Mapa final'!$AD$107="Menor"),CONCATENATE("R35C",'Mapa final'!$R$107),"")</f>
        <v/>
      </c>
      <c r="O240" s="113" t="str">
        <f>IF(AND('Mapa final'!$AB$108="Muy Baja",'Mapa final'!$AD$108="Menor"),CONCATENATE("R35C",'Mapa final'!$R$108),"")</f>
        <v/>
      </c>
      <c r="P240" s="48" t="str">
        <f>IF(AND('Mapa final'!$AB$106="Muy Baja",'Mapa final'!$AD$106="Moderado"),CONCATENATE("R35C",'Mapa final'!$R$106),"")</f>
        <v/>
      </c>
      <c r="Q240" s="49" t="str">
        <f>IF(AND('Mapa final'!$AB$107="Muy Baja",'Mapa final'!$AD$107="Moderado"),CONCATENATE("R35C",'Mapa final'!$R$107),"")</f>
        <v/>
      </c>
      <c r="R240" s="108" t="str">
        <f>IF(AND('Mapa final'!$AB$108="Muy Baja",'Mapa final'!$AD$108="Moderado"),CONCATENATE("R35C",'Mapa final'!$R$108),"")</f>
        <v/>
      </c>
      <c r="S240" s="102" t="str">
        <f>IF(AND('Mapa final'!$AB$106="Muy Baja",'Mapa final'!$AD$106="Mayor"),CONCATENATE("R35C",'Mapa final'!$R$106),"")</f>
        <v/>
      </c>
      <c r="T240" s="41" t="str">
        <f>IF(AND('Mapa final'!$AB$107="Muy Baja",'Mapa final'!$AD$107="Mayor"),CONCATENATE("R35C",'Mapa final'!$R$107),"")</f>
        <v/>
      </c>
      <c r="U240" s="103" t="str">
        <f>IF(AND('Mapa final'!$AB$108="Muy Baja",'Mapa final'!$AD$108="Mayor"),CONCATENATE("R35C",'Mapa final'!$R$108),"")</f>
        <v/>
      </c>
      <c r="V240" s="42" t="str">
        <f>IF(AND('Mapa final'!$AB$106="Muy Baja",'Mapa final'!$AD$106="Catastrófico"),CONCATENATE("R35C",'Mapa final'!$R$106),"")</f>
        <v/>
      </c>
      <c r="W240" s="43" t="str">
        <f>IF(AND('Mapa final'!$AB$107="Muy Baja",'Mapa final'!$AD$107="Catastrófico"),CONCATENATE("R35C",'Mapa final'!$R$107),"")</f>
        <v/>
      </c>
      <c r="X240" s="97" t="str">
        <f>IF(AND('Mapa final'!$AB$108="Muy Baja",'Mapa final'!$AD$108="Catastrófico"),CONCATENATE("R35C",'Mapa final'!$R$108),"")</f>
        <v/>
      </c>
      <c r="Y240" s="55"/>
      <c r="Z240" s="55"/>
      <c r="AA240" s="55"/>
      <c r="AB240" s="55"/>
      <c r="AC240" s="55"/>
      <c r="AD240" s="55"/>
      <c r="AE240" s="55"/>
      <c r="AF240" s="55"/>
      <c r="AG240" s="55"/>
      <c r="AH240" s="55"/>
      <c r="AI240" s="55"/>
      <c r="AJ240" s="55"/>
      <c r="AK240" s="55"/>
      <c r="AL240" s="55"/>
      <c r="AM240" s="55"/>
      <c r="AN240" s="55"/>
      <c r="AO240" s="55"/>
      <c r="AP240" s="55"/>
      <c r="AQ240" s="55"/>
      <c r="AR240" s="55"/>
      <c r="AS240" s="55"/>
      <c r="AT240" s="55"/>
      <c r="AU240" s="55"/>
      <c r="AV240" s="55"/>
      <c r="AW240" s="55"/>
      <c r="AX240" s="55"/>
      <c r="AY240" s="55"/>
      <c r="AZ240" s="55"/>
      <c r="BA240" s="55"/>
      <c r="BB240" s="55"/>
      <c r="BC240" s="55"/>
      <c r="BD240" s="55"/>
      <c r="BE240" s="55"/>
      <c r="BF240" s="55"/>
      <c r="BG240" s="55"/>
      <c r="BH240" s="55"/>
      <c r="BI240" s="55"/>
      <c r="BJ240" s="55"/>
      <c r="BK240" s="55"/>
      <c r="BL240" s="55"/>
      <c r="BM240" s="55"/>
    </row>
    <row r="241" spans="1:65" ht="15" customHeight="1" x14ac:dyDescent="0.25">
      <c r="A241" s="55"/>
      <c r="B241" s="301"/>
      <c r="C241" s="301"/>
      <c r="D241" s="302"/>
      <c r="E241" s="279"/>
      <c r="F241" s="274"/>
      <c r="G241" s="274"/>
      <c r="H241" s="274"/>
      <c r="I241" s="274"/>
      <c r="J241" s="112" t="str">
        <f>IF(AND('Mapa final'!$AB$109="Muy Baja",'Mapa final'!$AD$109="Leve"),CONCATENATE("R36C",'Mapa final'!$R$109),"")</f>
        <v/>
      </c>
      <c r="K241" s="53" t="str">
        <f>IF(AND('Mapa final'!$AB$110="Muy Baja",'Mapa final'!$AD$110="Leve"),CONCATENATE("R36C",'Mapa final'!$R$110),"")</f>
        <v/>
      </c>
      <c r="L241" s="113" t="str">
        <f>IF(AND('Mapa final'!$AB$111="Muy Baja",'Mapa final'!$AD$111="Leve"),CONCATENATE("R36C",'Mapa final'!$R$111),"")</f>
        <v/>
      </c>
      <c r="M241" s="112" t="str">
        <f>IF(AND('Mapa final'!$AB$109="Muy Baja",'Mapa final'!$AD$109="Menor"),CONCATENATE("R36C",'Mapa final'!$R$109),"")</f>
        <v/>
      </c>
      <c r="N241" s="53" t="str">
        <f>IF(AND('Mapa final'!$AB$110="Muy Baja",'Mapa final'!$AD$110="Menor"),CONCATENATE("R36C",'Mapa final'!$R$110),"")</f>
        <v/>
      </c>
      <c r="O241" s="113" t="str">
        <f>IF(AND('Mapa final'!$AB$111="Muy Baja",'Mapa final'!$AD$111="Menor"),CONCATENATE("R36C",'Mapa final'!$R$111),"")</f>
        <v/>
      </c>
      <c r="P241" s="48" t="str">
        <f>IF(AND('Mapa final'!$AB$109="Muy Baja",'Mapa final'!$AD$109="Moderado"),CONCATENATE("R36C",'Mapa final'!$R$109),"")</f>
        <v/>
      </c>
      <c r="Q241" s="49" t="str">
        <f>IF(AND('Mapa final'!$AB$110="Muy Baja",'Mapa final'!$AD$110="Moderado"),CONCATENATE("R36C",'Mapa final'!$R$110),"")</f>
        <v/>
      </c>
      <c r="R241" s="108" t="str">
        <f>IF(AND('Mapa final'!$AB$111="Muy Baja",'Mapa final'!$AD$111="Moderado"),CONCATENATE("R36C",'Mapa final'!$R$111),"")</f>
        <v/>
      </c>
      <c r="S241" s="102" t="str">
        <f>IF(AND('Mapa final'!$AB$109="Muy Baja",'Mapa final'!$AD$109="Mayor"),CONCATENATE("R36C",'Mapa final'!$R$109),"")</f>
        <v/>
      </c>
      <c r="T241" s="41" t="str">
        <f>IF(AND('Mapa final'!$AB$110="Muy Baja",'Mapa final'!$AD$110="Mayor"),CONCATENATE("R36C",'Mapa final'!$R$110),"")</f>
        <v/>
      </c>
      <c r="U241" s="103" t="str">
        <f>IF(AND('Mapa final'!$AB$111="Muy Baja",'Mapa final'!$AD$111="Mayor"),CONCATENATE("R36C",'Mapa final'!$R$111),"")</f>
        <v/>
      </c>
      <c r="V241" s="42" t="str">
        <f>IF(AND('Mapa final'!$AB$109="Muy Baja",'Mapa final'!$AD$109="Catastrófico"),CONCATENATE("R36C",'Mapa final'!$R$109),"")</f>
        <v/>
      </c>
      <c r="W241" s="43" t="str">
        <f>IF(AND('Mapa final'!$AB$110="Muy Baja",'Mapa final'!$AD$110="Catastrófico"),CONCATENATE("R36C",'Mapa final'!$R$110),"")</f>
        <v/>
      </c>
      <c r="X241" s="97" t="str">
        <f>IF(AND('Mapa final'!$AB$111="Muy Baja",'Mapa final'!$AD$111="Catastrófico"),CONCATENATE("R36C",'Mapa final'!$R$111),"")</f>
        <v/>
      </c>
      <c r="Y241" s="55"/>
      <c r="Z241" s="55"/>
      <c r="AA241" s="55"/>
      <c r="AB241" s="55"/>
      <c r="AC241" s="55"/>
      <c r="AD241" s="55"/>
      <c r="AE241" s="55"/>
      <c r="AF241" s="55"/>
      <c r="AG241" s="55"/>
      <c r="AH241" s="55"/>
      <c r="AI241" s="55"/>
      <c r="AJ241" s="55"/>
      <c r="AK241" s="55"/>
      <c r="AL241" s="55"/>
      <c r="AM241" s="55"/>
      <c r="AN241" s="55"/>
      <c r="AO241" s="55"/>
      <c r="AP241" s="55"/>
      <c r="AQ241" s="55"/>
      <c r="AR241" s="55"/>
      <c r="AS241" s="55"/>
      <c r="AT241" s="55"/>
      <c r="AU241" s="55"/>
      <c r="AV241" s="55"/>
      <c r="AW241" s="55"/>
      <c r="AX241" s="55"/>
      <c r="AY241" s="55"/>
      <c r="AZ241" s="55"/>
      <c r="BA241" s="55"/>
      <c r="BB241" s="55"/>
      <c r="BC241" s="55"/>
      <c r="BD241" s="55"/>
      <c r="BE241" s="55"/>
      <c r="BF241" s="55"/>
      <c r="BG241" s="55"/>
      <c r="BH241" s="55"/>
      <c r="BI241" s="55"/>
      <c r="BJ241" s="55"/>
      <c r="BK241" s="55"/>
      <c r="BL241" s="55"/>
      <c r="BM241" s="55"/>
    </row>
    <row r="242" spans="1:65" ht="15" customHeight="1" x14ac:dyDescent="0.25">
      <c r="A242" s="55"/>
      <c r="B242" s="301"/>
      <c r="C242" s="301"/>
      <c r="D242" s="302"/>
      <c r="E242" s="279"/>
      <c r="F242" s="274"/>
      <c r="G242" s="274"/>
      <c r="H242" s="274"/>
      <c r="I242" s="274"/>
      <c r="J242" s="112" t="str">
        <f>IF(AND('Mapa final'!$AB$112="Muy Baja",'Mapa final'!$AD$112="Leve"),CONCATENATE("R37C",'Mapa final'!$R$112),"")</f>
        <v/>
      </c>
      <c r="K242" s="53" t="str">
        <f>IF(AND('Mapa final'!$AB$113="Muy Baja",'Mapa final'!$AD$113="Leve"),CONCATENATE("R37C",'Mapa final'!$R$113),"")</f>
        <v/>
      </c>
      <c r="L242" s="113" t="str">
        <f>IF(AND('Mapa final'!$AB$114="Muy Baja",'Mapa final'!$AD$114="Leve"),CONCATENATE("R37C",'Mapa final'!$R$114),"")</f>
        <v/>
      </c>
      <c r="M242" s="112" t="str">
        <f>IF(AND('Mapa final'!$AB$112="Muy Baja",'Mapa final'!$AD$112="Menor"),CONCATENATE("R37C",'Mapa final'!$R$112),"")</f>
        <v/>
      </c>
      <c r="N242" s="53" t="str">
        <f>IF(AND('Mapa final'!$AB$113="Muy Baja",'Mapa final'!$AD$113="Menor"),CONCATENATE("R37C",'Mapa final'!$R$113),"")</f>
        <v/>
      </c>
      <c r="O242" s="113" t="str">
        <f>IF(AND('Mapa final'!$AB$114="Muy Baja",'Mapa final'!$AD$114="Menor"),CONCATENATE("R37C",'Mapa final'!$R$114),"")</f>
        <v/>
      </c>
      <c r="P242" s="48" t="str">
        <f>IF(AND('Mapa final'!$AB$112="Muy Baja",'Mapa final'!$AD$112="Moderado"),CONCATENATE("R37C",'Mapa final'!$R$112),"")</f>
        <v/>
      </c>
      <c r="Q242" s="49" t="str">
        <f>IF(AND('Mapa final'!$AB$113="Muy Baja",'Mapa final'!$AD$113="Moderado"),CONCATENATE("R37C",'Mapa final'!$R$113),"")</f>
        <v/>
      </c>
      <c r="R242" s="108" t="str">
        <f>IF(AND('Mapa final'!$AB$114="Muy Baja",'Mapa final'!$AD$114="Moderado"),CONCATENATE("R37C",'Mapa final'!$R$114),"")</f>
        <v/>
      </c>
      <c r="S242" s="102" t="str">
        <f>IF(AND('Mapa final'!$AB$112="Muy Baja",'Mapa final'!$AD$112="Mayor"),CONCATENATE("R37C",'Mapa final'!$R$112),"")</f>
        <v/>
      </c>
      <c r="T242" s="41" t="str">
        <f>IF(AND('Mapa final'!$AB$113="Muy Baja",'Mapa final'!$AD$113="Mayor"),CONCATENATE("R37C",'Mapa final'!$R$113),"")</f>
        <v/>
      </c>
      <c r="U242" s="103" t="str">
        <f>IF(AND('Mapa final'!$AB$114="Muy Baja",'Mapa final'!$AD$114="Mayor"),CONCATENATE("R37C",'Mapa final'!$R$114),"")</f>
        <v/>
      </c>
      <c r="V242" s="42" t="str">
        <f>IF(AND('Mapa final'!$AB$112="Muy Baja",'Mapa final'!$AD$112="Catastrófico"),CONCATENATE("R37C",'Mapa final'!$R$112),"")</f>
        <v/>
      </c>
      <c r="W242" s="43" t="str">
        <f>IF(AND('Mapa final'!$AB$113="Muy Baja",'Mapa final'!$AD$113="Catastrófico"),CONCATENATE("R37C",'Mapa final'!$R$113),"")</f>
        <v/>
      </c>
      <c r="X242" s="97" t="str">
        <f>IF(AND('Mapa final'!$AB$114="Muy Baja",'Mapa final'!$AD$114="Catastrófico"),CONCATENATE("R37C",'Mapa final'!$R$114),"")</f>
        <v/>
      </c>
      <c r="Y242" s="55"/>
      <c r="Z242" s="55"/>
      <c r="AA242" s="55"/>
      <c r="AB242" s="55"/>
      <c r="AC242" s="55"/>
      <c r="AD242" s="55"/>
      <c r="AE242" s="55"/>
      <c r="AF242" s="55"/>
      <c r="AG242" s="55"/>
      <c r="AH242" s="55"/>
      <c r="AI242" s="55"/>
      <c r="AJ242" s="55"/>
      <c r="AK242" s="55"/>
      <c r="AL242" s="55"/>
      <c r="AM242" s="55"/>
      <c r="AN242" s="55"/>
      <c r="AO242" s="55"/>
      <c r="AP242" s="55"/>
      <c r="AQ242" s="55"/>
      <c r="AR242" s="55"/>
      <c r="AS242" s="55"/>
      <c r="AT242" s="55"/>
      <c r="AU242" s="55"/>
      <c r="AV242" s="55"/>
      <c r="AW242" s="55"/>
      <c r="AX242" s="55"/>
      <c r="AY242" s="55"/>
      <c r="AZ242" s="55"/>
      <c r="BA242" s="55"/>
      <c r="BB242" s="55"/>
      <c r="BC242" s="55"/>
      <c r="BD242" s="55"/>
      <c r="BE242" s="55"/>
      <c r="BF242" s="55"/>
      <c r="BG242" s="55"/>
      <c r="BH242" s="55"/>
      <c r="BI242" s="55"/>
      <c r="BJ242" s="55"/>
      <c r="BK242" s="55"/>
      <c r="BL242" s="55"/>
      <c r="BM242" s="55"/>
    </row>
    <row r="243" spans="1:65" ht="15" customHeight="1" x14ac:dyDescent="0.25">
      <c r="A243" s="55"/>
      <c r="B243" s="301"/>
      <c r="C243" s="301"/>
      <c r="D243" s="302"/>
      <c r="E243" s="279"/>
      <c r="F243" s="274"/>
      <c r="G243" s="274"/>
      <c r="H243" s="274"/>
      <c r="I243" s="274"/>
      <c r="J243" s="112" t="str">
        <f>IF(AND('Mapa final'!$AB$115="Muy Baja",'Mapa final'!$AD$115="Leve"),CONCATENATE("R38C",'Mapa final'!$R$115),"")</f>
        <v/>
      </c>
      <c r="K243" s="53" t="str">
        <f>IF(AND('Mapa final'!$AB$116="Muy Baja",'Mapa final'!$AD$116="Leve"),CONCATENATE("R38C",'Mapa final'!$R$116),"")</f>
        <v/>
      </c>
      <c r="L243" s="113" t="str">
        <f>IF(AND('Mapa final'!$AB$117="Muy Baja",'Mapa final'!$AD$117="Leve"),CONCATENATE("R38C",'Mapa final'!$R$117),"")</f>
        <v/>
      </c>
      <c r="M243" s="112" t="str">
        <f>IF(AND('Mapa final'!$AB$115="Muy Baja",'Mapa final'!$AD$115="Menor"),CONCATENATE("R38C",'Mapa final'!$R$115),"")</f>
        <v/>
      </c>
      <c r="N243" s="53" t="str">
        <f>IF(AND('Mapa final'!$AB$116="Muy Baja",'Mapa final'!$AD$116="Menor"),CONCATENATE("R38C",'Mapa final'!$R$116),"")</f>
        <v>R38C2</v>
      </c>
      <c r="O243" s="113" t="str">
        <f>IF(AND('Mapa final'!$AB$117="Muy Baja",'Mapa final'!$AD$117="Menor"),CONCATENATE("R38C",'Mapa final'!$R$117),"")</f>
        <v/>
      </c>
      <c r="P243" s="48" t="str">
        <f>IF(AND('Mapa final'!$AB$115="Muy Baja",'Mapa final'!$AD$115="Moderado"),CONCATENATE("R38C",'Mapa final'!$R$115),"")</f>
        <v/>
      </c>
      <c r="Q243" s="49" t="str">
        <f>IF(AND('Mapa final'!$AB$116="Muy Baja",'Mapa final'!$AD$116="Moderado"),CONCATENATE("R38C",'Mapa final'!$R$116),"")</f>
        <v/>
      </c>
      <c r="R243" s="108" t="str">
        <f>IF(AND('Mapa final'!$AB$117="Muy Baja",'Mapa final'!$AD$117="Moderado"),CONCATENATE("R38C",'Mapa final'!$R$117),"")</f>
        <v/>
      </c>
      <c r="S243" s="102" t="str">
        <f>IF(AND('Mapa final'!$AB$115="Muy Baja",'Mapa final'!$AD$115="Mayor"),CONCATENATE("R38C",'Mapa final'!$R$115),"")</f>
        <v/>
      </c>
      <c r="T243" s="41" t="str">
        <f>IF(AND('Mapa final'!$AB$116="Muy Baja",'Mapa final'!$AD$116="Mayor"),CONCATENATE("R38C",'Mapa final'!$R$116),"")</f>
        <v/>
      </c>
      <c r="U243" s="103" t="str">
        <f>IF(AND('Mapa final'!$AB$117="Muy Baja",'Mapa final'!$AD$117="Mayor"),CONCATENATE("R38C",'Mapa final'!$R$117),"")</f>
        <v/>
      </c>
      <c r="V243" s="42" t="str">
        <f>IF(AND('Mapa final'!$AB$115="Muy Baja",'Mapa final'!$AD$115="Catastrófico"),CONCATENATE("R38C",'Mapa final'!$R$115),"")</f>
        <v/>
      </c>
      <c r="W243" s="43" t="str">
        <f>IF(AND('Mapa final'!$AB$116="Muy Baja",'Mapa final'!$AD$116="Catastrófico"),CONCATENATE("R38C",'Mapa final'!$R$116),"")</f>
        <v/>
      </c>
      <c r="X243" s="97" t="str">
        <f>IF(AND('Mapa final'!$AB$117="Muy Baja",'Mapa final'!$AD$117="Catastrófico"),CONCATENATE("R38C",'Mapa final'!$R$117),"")</f>
        <v/>
      </c>
      <c r="Y243" s="55"/>
      <c r="Z243" s="55"/>
      <c r="AA243" s="55"/>
      <c r="AB243" s="55"/>
      <c r="AC243" s="55"/>
      <c r="AD243" s="55"/>
      <c r="AE243" s="55"/>
      <c r="AF243" s="55"/>
      <c r="AG243" s="55"/>
      <c r="AH243" s="55"/>
      <c r="AI243" s="55"/>
      <c r="AJ243" s="55"/>
      <c r="AK243" s="55"/>
      <c r="AL243" s="55"/>
      <c r="AM243" s="55"/>
      <c r="AN243" s="55"/>
      <c r="AO243" s="55"/>
      <c r="AP243" s="55"/>
      <c r="AQ243" s="55"/>
      <c r="AR243" s="55"/>
      <c r="AS243" s="55"/>
      <c r="AT243" s="55"/>
      <c r="AU243" s="55"/>
      <c r="AV243" s="55"/>
      <c r="AW243" s="55"/>
      <c r="AX243" s="55"/>
      <c r="AY243" s="55"/>
      <c r="AZ243" s="55"/>
      <c r="BA243" s="55"/>
      <c r="BB243" s="55"/>
      <c r="BC243" s="55"/>
      <c r="BD243" s="55"/>
      <c r="BE243" s="55"/>
      <c r="BF243" s="55"/>
      <c r="BG243" s="55"/>
      <c r="BH243" s="55"/>
      <c r="BI243" s="55"/>
      <c r="BJ243" s="55"/>
      <c r="BK243" s="55"/>
      <c r="BL243" s="55"/>
      <c r="BM243" s="55"/>
    </row>
    <row r="244" spans="1:65" ht="15" customHeight="1" x14ac:dyDescent="0.25">
      <c r="A244" s="55"/>
      <c r="B244" s="301"/>
      <c r="C244" s="301"/>
      <c r="D244" s="302"/>
      <c r="E244" s="279"/>
      <c r="F244" s="274"/>
      <c r="G244" s="274"/>
      <c r="H244" s="274"/>
      <c r="I244" s="274"/>
      <c r="J244" s="112" t="str">
        <f>IF(AND('Mapa final'!$AB$118="Muy Baja",'Mapa final'!$AD$118="Leve"),CONCATENATE("R39C",'Mapa final'!$R$118),"")</f>
        <v/>
      </c>
      <c r="K244" s="53" t="str">
        <f>IF(AND('Mapa final'!$AB$119="Muy Baja",'Mapa final'!$AD$119="Leve"),CONCATENATE("R39C",'Mapa final'!$R$119),"")</f>
        <v/>
      </c>
      <c r="L244" s="113" t="str">
        <f>IF(AND('Mapa final'!$AB$120="Muy Baja",'Mapa final'!$AD$120="Leve"),CONCATENATE("R39C",'Mapa final'!$R$120),"")</f>
        <v/>
      </c>
      <c r="M244" s="112" t="str">
        <f>IF(AND('Mapa final'!$AB$118="Muy Baja",'Mapa final'!$AD$118="Menor"),CONCATENATE("R39C",'Mapa final'!$R$118),"")</f>
        <v/>
      </c>
      <c r="N244" s="53" t="str">
        <f>IF(AND('Mapa final'!$AB$119="Muy Baja",'Mapa final'!$AD$119="Menor"),CONCATENATE("R39C",'Mapa final'!$R$119),"")</f>
        <v/>
      </c>
      <c r="O244" s="113" t="str">
        <f>IF(AND('Mapa final'!$AB$120="Muy Baja",'Mapa final'!$AD$120="Menor"),CONCATENATE("R39C",'Mapa final'!$R$120),"")</f>
        <v/>
      </c>
      <c r="P244" s="48" t="str">
        <f>IF(AND('Mapa final'!$AB$118="Muy Baja",'Mapa final'!$AD$118="Moderado"),CONCATENATE("R39C",'Mapa final'!$R$118),"")</f>
        <v/>
      </c>
      <c r="Q244" s="49" t="str">
        <f>IF(AND('Mapa final'!$AB$119="Muy Baja",'Mapa final'!$AD$119="Moderado"),CONCATENATE("R39C",'Mapa final'!$R$119),"")</f>
        <v/>
      </c>
      <c r="R244" s="108" t="str">
        <f>IF(AND('Mapa final'!$AB$120="Muy Baja",'Mapa final'!$AD$120="Moderado"),CONCATENATE("R39C",'Mapa final'!$R$120),"")</f>
        <v/>
      </c>
      <c r="S244" s="102" t="str">
        <f>IF(AND('Mapa final'!$AB$118="Muy Baja",'Mapa final'!$AD$118="Mayor"),CONCATENATE("R39C",'Mapa final'!$R$118),"")</f>
        <v/>
      </c>
      <c r="T244" s="41" t="str">
        <f>IF(AND('Mapa final'!$AB$119="Muy Baja",'Mapa final'!$AD$119="Mayor"),CONCATENATE("R39C",'Mapa final'!$R$119),"")</f>
        <v/>
      </c>
      <c r="U244" s="103" t="str">
        <f>IF(AND('Mapa final'!$AB$120="Muy Baja",'Mapa final'!$AD$120="Mayor"),CONCATENATE("R39C",'Mapa final'!$R$120),"")</f>
        <v/>
      </c>
      <c r="V244" s="42" t="str">
        <f>IF(AND('Mapa final'!$AB$118="Muy Baja",'Mapa final'!$AD$118="Catastrófico"),CONCATENATE("R39C",'Mapa final'!$R$118),"")</f>
        <v/>
      </c>
      <c r="W244" s="43" t="str">
        <f>IF(AND('Mapa final'!$AB$119="Muy Baja",'Mapa final'!$AD$119="Catastrófico"),CONCATENATE("R39C",'Mapa final'!$R$119),"")</f>
        <v/>
      </c>
      <c r="X244" s="97" t="str">
        <f>IF(AND('Mapa final'!$AB$120="Muy Baja",'Mapa final'!$AD$120="Catastrófico"),CONCATENATE("R39C",'Mapa final'!$R$120),"")</f>
        <v/>
      </c>
      <c r="Y244" s="55"/>
      <c r="Z244" s="55"/>
      <c r="AA244" s="55"/>
      <c r="AB244" s="55"/>
      <c r="AC244" s="55"/>
      <c r="AD244" s="55"/>
      <c r="AE244" s="55"/>
      <c r="AF244" s="55"/>
      <c r="AG244" s="55"/>
      <c r="AH244" s="55"/>
      <c r="AI244" s="55"/>
      <c r="AJ244" s="55"/>
      <c r="AK244" s="55"/>
      <c r="AL244" s="55"/>
      <c r="AM244" s="55"/>
      <c r="AN244" s="55"/>
      <c r="AO244" s="55"/>
      <c r="AP244" s="55"/>
      <c r="AQ244" s="55"/>
      <c r="AR244" s="55"/>
      <c r="AS244" s="55"/>
      <c r="AT244" s="55"/>
      <c r="AU244" s="55"/>
      <c r="AV244" s="55"/>
      <c r="AW244" s="55"/>
      <c r="AX244" s="55"/>
      <c r="AY244" s="55"/>
      <c r="AZ244" s="55"/>
      <c r="BA244" s="55"/>
      <c r="BB244" s="55"/>
      <c r="BC244" s="55"/>
      <c r="BD244" s="55"/>
      <c r="BE244" s="55"/>
      <c r="BF244" s="55"/>
      <c r="BG244" s="55"/>
      <c r="BH244" s="55"/>
      <c r="BI244" s="55"/>
      <c r="BJ244" s="55"/>
      <c r="BK244" s="55"/>
      <c r="BL244" s="55"/>
      <c r="BM244" s="55"/>
    </row>
    <row r="245" spans="1:65" ht="15" customHeight="1" x14ac:dyDescent="0.25">
      <c r="A245" s="55"/>
      <c r="B245" s="301"/>
      <c r="C245" s="301"/>
      <c r="D245" s="302"/>
      <c r="E245" s="279"/>
      <c r="F245" s="274"/>
      <c r="G245" s="274"/>
      <c r="H245" s="274"/>
      <c r="I245" s="274"/>
      <c r="J245" s="112" t="str">
        <f>IF(AND('Mapa final'!$AB$121="Muy Baja",'Mapa final'!$AD$121="Leve"),CONCATENATE("R40C",'Mapa final'!$R$121),"")</f>
        <v/>
      </c>
      <c r="K245" s="53" t="str">
        <f>IF(AND('Mapa final'!$AB$122="Muy Baja",'Mapa final'!$AD$122="Leve"),CONCATENATE("R40C",'Mapa final'!$R$122),"")</f>
        <v/>
      </c>
      <c r="L245" s="113" t="str">
        <f>IF(AND('Mapa final'!$AB$123="Muy Baja",'Mapa final'!$AD$123="Leve"),CONCATENATE("R40C",'Mapa final'!$R$123),"")</f>
        <v/>
      </c>
      <c r="M245" s="112" t="str">
        <f>IF(AND('Mapa final'!$AB$121="Muy Baja",'Mapa final'!$AD$121="Menor"),CONCATENATE("R40C",'Mapa final'!$R$121),"")</f>
        <v/>
      </c>
      <c r="N245" s="53" t="str">
        <f>IF(AND('Mapa final'!$AB$122="Muy Baja",'Mapa final'!$AD$122="Menor"),CONCATENATE("R40C",'Mapa final'!$R$122),"")</f>
        <v/>
      </c>
      <c r="O245" s="113" t="str">
        <f>IF(AND('Mapa final'!$AB$123="Muy Baja",'Mapa final'!$AD$123="Menor"),CONCATENATE("R40C",'Mapa final'!$R$123),"")</f>
        <v/>
      </c>
      <c r="P245" s="48" t="str">
        <f>IF(AND('Mapa final'!$AB$121="Muy Baja",'Mapa final'!$AD$121="Moderado"),CONCATENATE("R40C",'Mapa final'!$R$121),"")</f>
        <v/>
      </c>
      <c r="Q245" s="49" t="str">
        <f>IF(AND('Mapa final'!$AB$122="Muy Baja",'Mapa final'!$AD$122="Moderado"),CONCATENATE("R40C",'Mapa final'!$R$122),"")</f>
        <v/>
      </c>
      <c r="R245" s="108" t="str">
        <f>IF(AND('Mapa final'!$AB$123="Muy Baja",'Mapa final'!$AD$123="Moderado"),CONCATENATE("R40C",'Mapa final'!$R$123),"")</f>
        <v/>
      </c>
      <c r="S245" s="102" t="str">
        <f>IF(AND('Mapa final'!$AB$121="Muy Baja",'Mapa final'!$AD$121="Mayor"),CONCATENATE("R40C",'Mapa final'!$R$121),"")</f>
        <v/>
      </c>
      <c r="T245" s="41" t="str">
        <f>IF(AND('Mapa final'!$AB$122="Muy Baja",'Mapa final'!$AD$122="Mayor"),CONCATENATE("R40C",'Mapa final'!$R$122),"")</f>
        <v/>
      </c>
      <c r="U245" s="103" t="str">
        <f>IF(AND('Mapa final'!$AB$123="Muy Baja",'Mapa final'!$AD$123="Mayor"),CONCATENATE("R40C",'Mapa final'!$R$123),"")</f>
        <v/>
      </c>
      <c r="V245" s="42" t="str">
        <f>IF(AND('Mapa final'!$AB$121="Muy Baja",'Mapa final'!$AD$121="Catastrófico"),CONCATENATE("R40C",'Mapa final'!$R$121),"")</f>
        <v/>
      </c>
      <c r="W245" s="43" t="str">
        <f>IF(AND('Mapa final'!$AB$122="Muy Baja",'Mapa final'!$AD$122="Catastrófico"),CONCATENATE("R40C",'Mapa final'!$R$122),"")</f>
        <v/>
      </c>
      <c r="X245" s="97" t="str">
        <f>IF(AND('Mapa final'!$AB$123="Muy Baja",'Mapa final'!$AD$123="Catastrófico"),CONCATENATE("R40C",'Mapa final'!$R$123),"")</f>
        <v/>
      </c>
      <c r="Y245" s="55"/>
      <c r="Z245" s="55"/>
      <c r="AA245" s="55"/>
      <c r="AB245" s="55"/>
      <c r="AC245" s="55"/>
      <c r="AD245" s="55"/>
      <c r="AE245" s="55"/>
      <c r="AF245" s="55"/>
      <c r="AG245" s="55"/>
      <c r="AH245" s="55"/>
      <c r="AI245" s="55"/>
      <c r="AJ245" s="55"/>
      <c r="AK245" s="55"/>
      <c r="AL245" s="55"/>
      <c r="AM245" s="55"/>
      <c r="AN245" s="55"/>
      <c r="AO245" s="55"/>
      <c r="AP245" s="55"/>
      <c r="AQ245" s="55"/>
      <c r="AR245" s="55"/>
      <c r="AS245" s="55"/>
      <c r="AT245" s="55"/>
      <c r="AU245" s="55"/>
      <c r="AV245" s="55"/>
      <c r="AW245" s="55"/>
      <c r="AX245" s="55"/>
      <c r="AY245" s="55"/>
      <c r="AZ245" s="55"/>
      <c r="BA245" s="55"/>
      <c r="BB245" s="55"/>
      <c r="BC245" s="55"/>
      <c r="BD245" s="55"/>
      <c r="BE245" s="55"/>
      <c r="BF245" s="55"/>
      <c r="BG245" s="55"/>
      <c r="BH245" s="55"/>
      <c r="BI245" s="55"/>
      <c r="BJ245" s="55"/>
      <c r="BK245" s="55"/>
      <c r="BL245" s="55"/>
      <c r="BM245" s="55"/>
    </row>
    <row r="246" spans="1:65" ht="15" customHeight="1" x14ac:dyDescent="0.25">
      <c r="A246" s="55"/>
      <c r="B246" s="301"/>
      <c r="C246" s="301"/>
      <c r="D246" s="302"/>
      <c r="E246" s="279"/>
      <c r="F246" s="274"/>
      <c r="G246" s="274"/>
      <c r="H246" s="274"/>
      <c r="I246" s="274"/>
      <c r="J246" s="112" t="str">
        <f>IF(AND('Mapa final'!$AB$124="Muy Baja",'Mapa final'!$AD$124="Leve"),CONCATENATE("R41C",'Mapa final'!$R$124),"")</f>
        <v/>
      </c>
      <c r="K246" s="53" t="str">
        <f>IF(AND('Mapa final'!$AB$125="Muy Baja",'Mapa final'!$AD$125="Leve"),CONCATENATE("R41C",'Mapa final'!$R$125),"")</f>
        <v/>
      </c>
      <c r="L246" s="113" t="str">
        <f>IF(AND('Mapa final'!$AB$126="Muy Baja",'Mapa final'!$AD$126="Leve"),CONCATENATE("R41C",'Mapa final'!$R$126),"")</f>
        <v/>
      </c>
      <c r="M246" s="112" t="str">
        <f>IF(AND('Mapa final'!$AB$124="Muy Baja",'Mapa final'!$AD$124="Menor"),CONCATENATE("R41C",'Mapa final'!$R$124),"")</f>
        <v/>
      </c>
      <c r="N246" s="53" t="str">
        <f>IF(AND('Mapa final'!$AB$125="Muy Baja",'Mapa final'!$AD$125="Menor"),CONCATENATE("R41C",'Mapa final'!$R$125),"")</f>
        <v/>
      </c>
      <c r="O246" s="113" t="str">
        <f>IF(AND('Mapa final'!$AB$126="Muy Baja",'Mapa final'!$AD$126="Menor"),CONCATENATE("R41C",'Mapa final'!$R$126),"")</f>
        <v/>
      </c>
      <c r="P246" s="48" t="str">
        <f>IF(AND('Mapa final'!$AB$124="Muy Baja",'Mapa final'!$AD$124="Moderado"),CONCATENATE("R41C",'Mapa final'!$R$124),"")</f>
        <v/>
      </c>
      <c r="Q246" s="49" t="str">
        <f>IF(AND('Mapa final'!$AB$125="Muy Baja",'Mapa final'!$AD$125="Moderado"),CONCATENATE("R41C",'Mapa final'!$R$125),"")</f>
        <v/>
      </c>
      <c r="R246" s="108" t="str">
        <f>IF(AND('Mapa final'!$AB$126="Muy Baja",'Mapa final'!$AD$126="Moderado"),CONCATENATE("R41C",'Mapa final'!$R$126),"")</f>
        <v/>
      </c>
      <c r="S246" s="102" t="str">
        <f>IF(AND('Mapa final'!$AB$124="Muy Baja",'Mapa final'!$AD$124="Mayor"),CONCATENATE("R41C",'Mapa final'!$R$124),"")</f>
        <v/>
      </c>
      <c r="T246" s="41" t="str">
        <f>IF(AND('Mapa final'!$AB$125="Muy Baja",'Mapa final'!$AD$125="Mayor"),CONCATENATE("R41C",'Mapa final'!$R$125),"")</f>
        <v/>
      </c>
      <c r="U246" s="103" t="str">
        <f>IF(AND('Mapa final'!$AB$126="Muy Baja",'Mapa final'!$AD$126="Mayor"),CONCATENATE("R41C",'Mapa final'!$R$126),"")</f>
        <v/>
      </c>
      <c r="V246" s="42" t="str">
        <f>IF(AND('Mapa final'!$AB$124="Muy Baja",'Mapa final'!$AD$124="Catastrófico"),CONCATENATE("R41C",'Mapa final'!$R$124),"")</f>
        <v/>
      </c>
      <c r="W246" s="43" t="str">
        <f>IF(AND('Mapa final'!$AB$125="Muy Baja",'Mapa final'!$AD$125="Catastrófico"),CONCATENATE("R41C",'Mapa final'!$R$125),"")</f>
        <v/>
      </c>
      <c r="X246" s="97" t="str">
        <f>IF(AND('Mapa final'!$AB$126="Muy Baja",'Mapa final'!$AD$126="Catastrófico"),CONCATENATE("R41C",'Mapa final'!$R$126),"")</f>
        <v/>
      </c>
      <c r="Y246" s="55"/>
      <c r="Z246" s="55"/>
      <c r="AA246" s="55"/>
      <c r="AB246" s="55"/>
      <c r="AC246" s="55"/>
      <c r="AD246" s="55"/>
      <c r="AE246" s="55"/>
      <c r="AF246" s="55"/>
      <c r="AG246" s="55"/>
      <c r="AH246" s="55"/>
      <c r="AI246" s="55"/>
      <c r="AJ246" s="55"/>
      <c r="AK246" s="55"/>
      <c r="AL246" s="55"/>
      <c r="AM246" s="55"/>
      <c r="AN246" s="55"/>
      <c r="AO246" s="55"/>
      <c r="AP246" s="55"/>
      <c r="AQ246" s="55"/>
      <c r="AR246" s="55"/>
      <c r="AS246" s="55"/>
      <c r="AT246" s="55"/>
      <c r="AU246" s="55"/>
      <c r="AV246" s="55"/>
      <c r="AW246" s="55"/>
      <c r="AX246" s="55"/>
      <c r="AY246" s="55"/>
      <c r="AZ246" s="55"/>
      <c r="BA246" s="55"/>
      <c r="BB246" s="55"/>
      <c r="BC246" s="55"/>
      <c r="BD246" s="55"/>
      <c r="BE246" s="55"/>
      <c r="BF246" s="55"/>
      <c r="BG246" s="55"/>
      <c r="BH246" s="55"/>
      <c r="BI246" s="55"/>
      <c r="BJ246" s="55"/>
      <c r="BK246" s="55"/>
      <c r="BL246" s="55"/>
      <c r="BM246" s="55"/>
    </row>
    <row r="247" spans="1:65" ht="15" customHeight="1" x14ac:dyDescent="0.25">
      <c r="A247" s="55"/>
      <c r="B247" s="301"/>
      <c r="C247" s="301"/>
      <c r="D247" s="302"/>
      <c r="E247" s="279"/>
      <c r="F247" s="274"/>
      <c r="G247" s="274"/>
      <c r="H247" s="274"/>
      <c r="I247" s="274"/>
      <c r="J247" s="112" t="str">
        <f>IF(AND('Mapa final'!$AB$127="Muy Baja",'Mapa final'!$AD$127="Leve"),CONCATENATE("R42C",'Mapa final'!$R$127),"")</f>
        <v/>
      </c>
      <c r="K247" s="53" t="str">
        <f>IF(AND('Mapa final'!$AB$128="Muy Baja",'Mapa final'!$AD$128="Leve"),CONCATENATE("R42C",'Mapa final'!$R$128),"")</f>
        <v/>
      </c>
      <c r="L247" s="113" t="str">
        <f>IF(AND('Mapa final'!$AB$129="Muy Baja",'Mapa final'!$AD$129="Leve"),CONCATENATE("R42C",'Mapa final'!$R$129),"")</f>
        <v/>
      </c>
      <c r="M247" s="112" t="str">
        <f>IF(AND('Mapa final'!$AB$127="Muy Baja",'Mapa final'!$AD$127="Menor"),CONCATENATE("R42C",'Mapa final'!$R$127),"")</f>
        <v/>
      </c>
      <c r="N247" s="53" t="str">
        <f>IF(AND('Mapa final'!$AB$128="Muy Baja",'Mapa final'!$AD$128="Menor"),CONCATENATE("R42C",'Mapa final'!$R$128),"")</f>
        <v/>
      </c>
      <c r="O247" s="113" t="str">
        <f>IF(AND('Mapa final'!$AB$129="Muy Baja",'Mapa final'!$AD$129="Menor"),CONCATENATE("R42C",'Mapa final'!$R$129),"")</f>
        <v/>
      </c>
      <c r="P247" s="48" t="str">
        <f>IF(AND('Mapa final'!$AB$127="Muy Baja",'Mapa final'!$AD$127="Moderado"),CONCATENATE("R42C",'Mapa final'!$R$127),"")</f>
        <v/>
      </c>
      <c r="Q247" s="49" t="str">
        <f>IF(AND('Mapa final'!$AB$128="Muy Baja",'Mapa final'!$AD$128="Moderado"),CONCATENATE("R42C",'Mapa final'!$R$128),"")</f>
        <v/>
      </c>
      <c r="R247" s="108" t="str">
        <f>IF(AND('Mapa final'!$AB$129="Muy Baja",'Mapa final'!$AD$129="Moderado"),CONCATENATE("R42C",'Mapa final'!$R$129),"")</f>
        <v/>
      </c>
      <c r="S247" s="102" t="str">
        <f>IF(AND('Mapa final'!$AB$127="Muy Baja",'Mapa final'!$AD$127="Mayor"),CONCATENATE("R42C",'Mapa final'!$R$127),"")</f>
        <v/>
      </c>
      <c r="T247" s="41" t="str">
        <f>IF(AND('Mapa final'!$AB$128="Muy Baja",'Mapa final'!$AD$128="Mayor"),CONCATENATE("R42C",'Mapa final'!$R$128),"")</f>
        <v/>
      </c>
      <c r="U247" s="103" t="str">
        <f>IF(AND('Mapa final'!$AB$129="Muy Baja",'Mapa final'!$AD$129="Mayor"),CONCATENATE("R42C",'Mapa final'!$R$129),"")</f>
        <v/>
      </c>
      <c r="V247" s="42" t="str">
        <f>IF(AND('Mapa final'!$AB$127="Muy Baja",'Mapa final'!$AD$127="Catastrófico"),CONCATENATE("R42C",'Mapa final'!$R$127),"")</f>
        <v/>
      </c>
      <c r="W247" s="43" t="str">
        <f>IF(AND('Mapa final'!$AB$128="Muy Baja",'Mapa final'!$AD$128="Catastrófico"),CONCATENATE("R42C",'Mapa final'!$R$128),"")</f>
        <v/>
      </c>
      <c r="X247" s="97" t="str">
        <f>IF(AND('Mapa final'!$AB$129="Muy Baja",'Mapa final'!$AD$129="Catastrófico"),CONCATENATE("R42C",'Mapa final'!$R$129),"")</f>
        <v/>
      </c>
      <c r="Y247" s="55"/>
      <c r="Z247" s="55"/>
      <c r="AA247" s="55"/>
      <c r="AB247" s="55"/>
      <c r="AC247" s="55"/>
      <c r="AD247" s="55"/>
      <c r="AE247" s="55"/>
      <c r="AF247" s="55"/>
      <c r="AG247" s="55"/>
      <c r="AH247" s="55"/>
      <c r="AI247" s="55"/>
      <c r="AJ247" s="55"/>
      <c r="AK247" s="55"/>
      <c r="AL247" s="55"/>
      <c r="AM247" s="55"/>
      <c r="AN247" s="55"/>
      <c r="AO247" s="55"/>
      <c r="AP247" s="55"/>
      <c r="AQ247" s="55"/>
      <c r="AR247" s="55"/>
      <c r="AS247" s="55"/>
      <c r="AT247" s="55"/>
      <c r="AU247" s="55"/>
      <c r="AV247" s="55"/>
      <c r="AW247" s="55"/>
      <c r="AX247" s="55"/>
      <c r="AY247" s="55"/>
      <c r="AZ247" s="55"/>
      <c r="BA247" s="55"/>
      <c r="BB247" s="55"/>
      <c r="BC247" s="55"/>
      <c r="BD247" s="55"/>
      <c r="BE247" s="55"/>
      <c r="BF247" s="55"/>
      <c r="BG247" s="55"/>
      <c r="BH247" s="55"/>
      <c r="BI247" s="55"/>
      <c r="BJ247" s="55"/>
      <c r="BK247" s="55"/>
      <c r="BL247" s="55"/>
      <c r="BM247" s="55"/>
    </row>
    <row r="248" spans="1:65" ht="15" customHeight="1" x14ac:dyDescent="0.25">
      <c r="A248" s="55"/>
      <c r="B248" s="301"/>
      <c r="C248" s="301"/>
      <c r="D248" s="302"/>
      <c r="E248" s="279"/>
      <c r="F248" s="274"/>
      <c r="G248" s="274"/>
      <c r="H248" s="274"/>
      <c r="I248" s="274"/>
      <c r="J248" s="112" t="str">
        <f>IF(AND('Mapa final'!$AB$130="Muy Baja",'Mapa final'!$AD$130="Leve"),CONCATENATE("R43C",'Mapa final'!$R$130),"")</f>
        <v/>
      </c>
      <c r="K248" s="53" t="str">
        <f>IF(AND('Mapa final'!$AB$131="Muy Baja",'Mapa final'!$AD$131="Leve"),CONCATENATE("R43C",'Mapa final'!$R$131),"")</f>
        <v/>
      </c>
      <c r="L248" s="113" t="str">
        <f>IF(AND('Mapa final'!$AB$132="Muy Baja",'Mapa final'!$AD$132="Leve"),CONCATENATE("R43C",'Mapa final'!$R$132),"")</f>
        <v/>
      </c>
      <c r="M248" s="112" t="str">
        <f>IF(AND('Mapa final'!$AB$130="Muy Baja",'Mapa final'!$AD$130="Menor"),CONCATENATE("R43C",'Mapa final'!$R$130),"")</f>
        <v/>
      </c>
      <c r="N248" s="53" t="str">
        <f>IF(AND('Mapa final'!$AB$131="Muy Baja",'Mapa final'!$AD$131="Menor"),CONCATENATE("R43C",'Mapa final'!$R$131),"")</f>
        <v/>
      </c>
      <c r="O248" s="113" t="str">
        <f>IF(AND('Mapa final'!$AB$132="Muy Baja",'Mapa final'!$AD$132="Menor"),CONCATENATE("R43C",'Mapa final'!$R$132),"")</f>
        <v/>
      </c>
      <c r="P248" s="48" t="str">
        <f>IF(AND('Mapa final'!$AB$130="Muy Baja",'Mapa final'!$AD$130="Moderado"),CONCATENATE("R43C",'Mapa final'!$R$130),"")</f>
        <v/>
      </c>
      <c r="Q248" s="49" t="str">
        <f>IF(AND('Mapa final'!$AB$131="Muy Baja",'Mapa final'!$AD$131="Moderado"),CONCATENATE("R43C",'Mapa final'!$R$131),"")</f>
        <v/>
      </c>
      <c r="R248" s="108" t="str">
        <f>IF(AND('Mapa final'!$AB$132="Muy Baja",'Mapa final'!$AD$132="Moderado"),CONCATENATE("R43C",'Mapa final'!$R$132),"")</f>
        <v/>
      </c>
      <c r="S248" s="102" t="str">
        <f>IF(AND('Mapa final'!$AB$130="Muy Baja",'Mapa final'!$AD$130="Mayor"),CONCATENATE("R43C",'Mapa final'!$R$130),"")</f>
        <v/>
      </c>
      <c r="T248" s="41" t="str">
        <f>IF(AND('Mapa final'!$AB$131="Muy Baja",'Mapa final'!$AD$131="Mayor"),CONCATENATE("R43C",'Mapa final'!$R$131),"")</f>
        <v/>
      </c>
      <c r="U248" s="103" t="str">
        <f>IF(AND('Mapa final'!$AB$132="Muy Baja",'Mapa final'!$AD$132="Mayor"),CONCATENATE("R43C",'Mapa final'!$R$132),"")</f>
        <v>R43C3</v>
      </c>
      <c r="V248" s="42" t="str">
        <f>IF(AND('Mapa final'!$AB$130="Muy Baja",'Mapa final'!$AD$130="Catastrófico"),CONCATENATE("R43C",'Mapa final'!$R$130),"")</f>
        <v/>
      </c>
      <c r="W248" s="43" t="str">
        <f>IF(AND('Mapa final'!$AB$131="Muy Baja",'Mapa final'!$AD$131="Catastrófico"),CONCATENATE("R43C",'Mapa final'!$R$131),"")</f>
        <v/>
      </c>
      <c r="X248" s="97" t="str">
        <f>IF(AND('Mapa final'!$AB$132="Muy Baja",'Mapa final'!$AD$132="Catastrófico"),CONCATENATE("R43C",'Mapa final'!$R$132),"")</f>
        <v/>
      </c>
      <c r="Y248" s="55"/>
      <c r="Z248" s="55"/>
      <c r="AA248" s="55"/>
      <c r="AB248" s="55"/>
      <c r="AC248" s="55"/>
      <c r="AD248" s="55"/>
      <c r="AE248" s="55"/>
      <c r="AF248" s="55"/>
      <c r="AG248" s="55"/>
      <c r="AH248" s="55"/>
      <c r="AI248" s="55"/>
      <c r="AJ248" s="55"/>
      <c r="AK248" s="55"/>
      <c r="AL248" s="55"/>
      <c r="AM248" s="55"/>
      <c r="AN248" s="55"/>
      <c r="AO248" s="55"/>
      <c r="AP248" s="55"/>
      <c r="AQ248" s="55"/>
      <c r="AR248" s="55"/>
      <c r="AS248" s="55"/>
      <c r="AT248" s="55"/>
      <c r="AU248" s="55"/>
      <c r="AV248" s="55"/>
      <c r="AW248" s="55"/>
      <c r="AX248" s="55"/>
      <c r="AY248" s="55"/>
      <c r="AZ248" s="55"/>
      <c r="BA248" s="55"/>
      <c r="BB248" s="55"/>
      <c r="BC248" s="55"/>
      <c r="BD248" s="55"/>
      <c r="BE248" s="55"/>
      <c r="BF248" s="55"/>
      <c r="BG248" s="55"/>
      <c r="BH248" s="55"/>
      <c r="BI248" s="55"/>
      <c r="BJ248" s="55"/>
      <c r="BK248" s="55"/>
      <c r="BL248" s="55"/>
      <c r="BM248" s="55"/>
    </row>
    <row r="249" spans="1:65" ht="15" customHeight="1" x14ac:dyDescent="0.25">
      <c r="A249" s="55"/>
      <c r="B249" s="301"/>
      <c r="C249" s="301"/>
      <c r="D249" s="302"/>
      <c r="E249" s="279"/>
      <c r="F249" s="274"/>
      <c r="G249" s="274"/>
      <c r="H249" s="274"/>
      <c r="I249" s="274"/>
      <c r="J249" s="112" t="str">
        <f>IF(AND('Mapa final'!$AB$133="Muy Baja",'Mapa final'!$AD$133="Leve"),CONCATENATE("R44C",'Mapa final'!$R$133),"")</f>
        <v/>
      </c>
      <c r="K249" s="53" t="str">
        <f>IF(AND('Mapa final'!$AB$134="Muy Baja",'Mapa final'!$AD$134="Leve"),CONCATENATE("R44C",'Mapa final'!$R$134),"")</f>
        <v/>
      </c>
      <c r="L249" s="113" t="str">
        <f>IF(AND('Mapa final'!$AB$135="Muy Baja",'Mapa final'!$AD$135="Leve"),CONCATENATE("R44C",'Mapa final'!$R$135),"")</f>
        <v/>
      </c>
      <c r="M249" s="112" t="str">
        <f>IF(AND('Mapa final'!$AB$133="Muy Baja",'Mapa final'!$AD$133="Menor"),CONCATENATE("R44C",'Mapa final'!$R$133),"")</f>
        <v/>
      </c>
      <c r="N249" s="53" t="str">
        <f>IF(AND('Mapa final'!$AB$134="Muy Baja",'Mapa final'!$AD$134="Menor"),CONCATENATE("R44C",'Mapa final'!$R$134),"")</f>
        <v/>
      </c>
      <c r="O249" s="113" t="str">
        <f>IF(AND('Mapa final'!$AB$135="Muy Baja",'Mapa final'!$AD$135="Menor"),CONCATENATE("R44C",'Mapa final'!$R$135),"")</f>
        <v/>
      </c>
      <c r="P249" s="48" t="str">
        <f>IF(AND('Mapa final'!$AB$133="Muy Baja",'Mapa final'!$AD$133="Moderado"),CONCATENATE("R44C",'Mapa final'!$R$133),"")</f>
        <v/>
      </c>
      <c r="Q249" s="49" t="str">
        <f>IF(AND('Mapa final'!$AB$134="Muy Baja",'Mapa final'!$AD$134="Moderado"),CONCATENATE("R44C",'Mapa final'!$R$134),"")</f>
        <v/>
      </c>
      <c r="R249" s="108" t="str">
        <f>IF(AND('Mapa final'!$AB$135="Muy Baja",'Mapa final'!$AD$135="Moderado"),CONCATENATE("R44C",'Mapa final'!$R$135),"")</f>
        <v/>
      </c>
      <c r="S249" s="102" t="str">
        <f>IF(AND('Mapa final'!$AB$133="Muy Baja",'Mapa final'!$AD$133="Mayor"),CONCATENATE("R44C",'Mapa final'!$R$133),"")</f>
        <v/>
      </c>
      <c r="T249" s="41" t="str">
        <f>IF(AND('Mapa final'!$AB$134="Muy Baja",'Mapa final'!$AD$134="Mayor"),CONCATENATE("R44C",'Mapa final'!$R$134),"")</f>
        <v/>
      </c>
      <c r="U249" s="103" t="str">
        <f>IF(AND('Mapa final'!$AB$135="Muy Baja",'Mapa final'!$AD$135="Mayor"),CONCATENATE("R44C",'Mapa final'!$R$135),"")</f>
        <v/>
      </c>
      <c r="V249" s="42" t="str">
        <f>IF(AND('Mapa final'!$AB$133="Muy Baja",'Mapa final'!$AD$133="Catastrófico"),CONCATENATE("R44C",'Mapa final'!$R$133),"")</f>
        <v/>
      </c>
      <c r="W249" s="43" t="str">
        <f>IF(AND('Mapa final'!$AB$134="Muy Baja",'Mapa final'!$AD$134="Catastrófico"),CONCATENATE("R44C",'Mapa final'!$R$134),"")</f>
        <v/>
      </c>
      <c r="X249" s="97" t="str">
        <f>IF(AND('Mapa final'!$AB$135="Muy Baja",'Mapa final'!$AD$135="Catastrófico"),CONCATENATE("R44C",'Mapa final'!$R$135),"")</f>
        <v/>
      </c>
      <c r="Y249" s="55"/>
      <c r="Z249" s="55"/>
      <c r="AA249" s="55"/>
      <c r="AB249" s="55"/>
      <c r="AC249" s="55"/>
      <c r="AD249" s="55"/>
      <c r="AE249" s="55"/>
      <c r="AF249" s="55"/>
      <c r="AG249" s="55"/>
      <c r="AH249" s="55"/>
      <c r="AI249" s="55"/>
      <c r="AJ249" s="55"/>
      <c r="AK249" s="55"/>
      <c r="AL249" s="55"/>
      <c r="AM249" s="55"/>
      <c r="AN249" s="55"/>
      <c r="AO249" s="55"/>
      <c r="AP249" s="55"/>
      <c r="AQ249" s="55"/>
      <c r="AR249" s="55"/>
      <c r="AS249" s="55"/>
      <c r="AT249" s="55"/>
      <c r="AU249" s="55"/>
      <c r="AV249" s="55"/>
      <c r="AW249" s="55"/>
      <c r="AX249" s="55"/>
      <c r="AY249" s="55"/>
      <c r="AZ249" s="55"/>
      <c r="BA249" s="55"/>
      <c r="BB249" s="55"/>
      <c r="BC249" s="55"/>
      <c r="BD249" s="55"/>
      <c r="BE249" s="55"/>
      <c r="BF249" s="55"/>
      <c r="BG249" s="55"/>
      <c r="BH249" s="55"/>
      <c r="BI249" s="55"/>
      <c r="BJ249" s="55"/>
      <c r="BK249" s="55"/>
      <c r="BL249" s="55"/>
      <c r="BM249" s="55"/>
    </row>
    <row r="250" spans="1:65" ht="15" customHeight="1" x14ac:dyDescent="0.25">
      <c r="A250" s="55"/>
      <c r="B250" s="301"/>
      <c r="C250" s="301"/>
      <c r="D250" s="302"/>
      <c r="E250" s="279"/>
      <c r="F250" s="274"/>
      <c r="G250" s="274"/>
      <c r="H250" s="274"/>
      <c r="I250" s="274"/>
      <c r="J250" s="112" t="str">
        <f>IF(AND('Mapa final'!$AB$136="Muy Baja",'Mapa final'!$AD$136="Leve"),CONCATENATE("R45C",'Mapa final'!$R$136),"")</f>
        <v/>
      </c>
      <c r="K250" s="53" t="str">
        <f>IF(AND('Mapa final'!$AB$137="Muy Baja",'Mapa final'!$AD$137="Leve"),CONCATENATE("R45C",'Mapa final'!$R$137),"")</f>
        <v/>
      </c>
      <c r="L250" s="113" t="str">
        <f>IF(AND('Mapa final'!$AB$138="Muy Baja",'Mapa final'!$AD$138="Leve"),CONCATENATE("R45C",'Mapa final'!$R$138),"")</f>
        <v/>
      </c>
      <c r="M250" s="112" t="str">
        <f>IF(AND('Mapa final'!$AB$136="Muy Baja",'Mapa final'!$AD$136="Menor"),CONCATENATE("R45C",'Mapa final'!$R$136),"")</f>
        <v/>
      </c>
      <c r="N250" s="53" t="str">
        <f>IF(AND('Mapa final'!$AB$137="Muy Baja",'Mapa final'!$AD$137="Menor"),CONCATENATE("R45C",'Mapa final'!$R$137),"")</f>
        <v/>
      </c>
      <c r="O250" s="113" t="str">
        <f>IF(AND('Mapa final'!$AB$138="Muy Baja",'Mapa final'!$AD$138="Menor"),CONCATENATE("R45C",'Mapa final'!$R$138),"")</f>
        <v/>
      </c>
      <c r="P250" s="48" t="str">
        <f>IF(AND('Mapa final'!$AB$136="Muy Baja",'Mapa final'!$AD$136="Moderado"),CONCATENATE("R45C",'Mapa final'!$R$136),"")</f>
        <v/>
      </c>
      <c r="Q250" s="49" t="str">
        <f>IF(AND('Mapa final'!$AB$137="Muy Baja",'Mapa final'!$AD$137="Moderado"),CONCATENATE("R45C",'Mapa final'!$R$137),"")</f>
        <v/>
      </c>
      <c r="R250" s="108" t="str">
        <f>IF(AND('Mapa final'!$AB$138="Muy Baja",'Mapa final'!$AD$138="Moderado"),CONCATENATE("R45C",'Mapa final'!$R$138),"")</f>
        <v/>
      </c>
      <c r="S250" s="102" t="str">
        <f>IF(AND('Mapa final'!$AB$136="Muy Baja",'Mapa final'!$AD$136="Mayor"),CONCATENATE("R45C",'Mapa final'!$R$136),"")</f>
        <v/>
      </c>
      <c r="T250" s="41" t="str">
        <f>IF(AND('Mapa final'!$AB$137="Muy Baja",'Mapa final'!$AD$137="Mayor"),CONCATENATE("R45C",'Mapa final'!$R$137),"")</f>
        <v/>
      </c>
      <c r="U250" s="103" t="str">
        <f>IF(AND('Mapa final'!$AB$138="Muy Baja",'Mapa final'!$AD$138="Mayor"),CONCATENATE("R45C",'Mapa final'!$R$138),"")</f>
        <v/>
      </c>
      <c r="V250" s="42" t="str">
        <f>IF(AND('Mapa final'!$AB$136="Muy Baja",'Mapa final'!$AD$136="Catastrófico"),CONCATENATE("R45C",'Mapa final'!$R$136),"")</f>
        <v/>
      </c>
      <c r="W250" s="43" t="str">
        <f>IF(AND('Mapa final'!$AB$137="Muy Baja",'Mapa final'!$AD$137="Catastrófico"),CONCATENATE("R45C",'Mapa final'!$R$137),"")</f>
        <v/>
      </c>
      <c r="X250" s="97" t="str">
        <f>IF(AND('Mapa final'!$AB$138="Muy Baja",'Mapa final'!$AD$138="Catastrófico"),CONCATENATE("R45C",'Mapa final'!$R$138),"")</f>
        <v/>
      </c>
      <c r="Y250" s="55"/>
      <c r="Z250" s="55"/>
      <c r="AA250" s="55"/>
      <c r="AB250" s="55"/>
      <c r="AC250" s="55"/>
      <c r="AD250" s="55"/>
      <c r="AE250" s="55"/>
      <c r="AF250" s="55"/>
      <c r="AG250" s="55"/>
      <c r="AH250" s="55"/>
      <c r="AI250" s="55"/>
      <c r="AJ250" s="55"/>
      <c r="AK250" s="55"/>
      <c r="AL250" s="55"/>
      <c r="AM250" s="55"/>
      <c r="AN250" s="55"/>
      <c r="AO250" s="55"/>
      <c r="AP250" s="55"/>
      <c r="AQ250" s="55"/>
      <c r="AR250" s="55"/>
      <c r="AS250" s="55"/>
      <c r="AT250" s="55"/>
      <c r="AU250" s="55"/>
      <c r="AV250" s="55"/>
      <c r="AW250" s="55"/>
      <c r="AX250" s="55"/>
      <c r="AY250" s="55"/>
      <c r="AZ250" s="55"/>
      <c r="BA250" s="55"/>
      <c r="BB250" s="55"/>
      <c r="BC250" s="55"/>
      <c r="BD250" s="55"/>
      <c r="BE250" s="55"/>
      <c r="BF250" s="55"/>
      <c r="BG250" s="55"/>
      <c r="BH250" s="55"/>
      <c r="BI250" s="55"/>
      <c r="BJ250" s="55"/>
      <c r="BK250" s="55"/>
      <c r="BL250" s="55"/>
      <c r="BM250" s="55"/>
    </row>
    <row r="251" spans="1:65" ht="15" customHeight="1" x14ac:dyDescent="0.25">
      <c r="A251" s="55"/>
      <c r="B251" s="301"/>
      <c r="C251" s="301"/>
      <c r="D251" s="302"/>
      <c r="E251" s="279"/>
      <c r="F251" s="274"/>
      <c r="G251" s="274"/>
      <c r="H251" s="274"/>
      <c r="I251" s="274"/>
      <c r="J251" s="112" t="str">
        <f>IF(AND('Mapa final'!$AB$139="Muy Baja",'Mapa final'!$AD$139="Leve"),CONCATENATE("R46C",'Mapa final'!$R$139),"")</f>
        <v/>
      </c>
      <c r="K251" s="53" t="str">
        <f>IF(AND('Mapa final'!$AB$140="Muy Baja",'Mapa final'!$AD$140="Leve"),CONCATENATE("R46C",'Mapa final'!$R$140),"")</f>
        <v/>
      </c>
      <c r="L251" s="113" t="str">
        <f>IF(AND('Mapa final'!$AB$141="Muy Baja",'Mapa final'!$AD$141="Leve"),CONCATENATE("R46C",'Mapa final'!$R$141),"")</f>
        <v/>
      </c>
      <c r="M251" s="112" t="str">
        <f>IF(AND('Mapa final'!$AB$139="Muy Baja",'Mapa final'!$AD$139="Menor"),CONCATENATE("R46C",'Mapa final'!$R$139),"")</f>
        <v/>
      </c>
      <c r="N251" s="53" t="str">
        <f>IF(AND('Mapa final'!$AB$140="Muy Baja",'Mapa final'!$AD$140="Menor"),CONCATENATE("R46C",'Mapa final'!$R$140),"")</f>
        <v/>
      </c>
      <c r="O251" s="113" t="str">
        <f>IF(AND('Mapa final'!$AB$141="Muy Baja",'Mapa final'!$AD$141="Menor"),CONCATENATE("R46C",'Mapa final'!$R$141),"")</f>
        <v/>
      </c>
      <c r="P251" s="48" t="str">
        <f>IF(AND('Mapa final'!$AB$139="Muy Baja",'Mapa final'!$AD$139="Moderado"),CONCATENATE("R46C",'Mapa final'!$R$139),"")</f>
        <v/>
      </c>
      <c r="Q251" s="49" t="str">
        <f>IF(AND('Mapa final'!$AB$140="Muy Baja",'Mapa final'!$AD$140="Moderado"),CONCATENATE("R46C",'Mapa final'!$R$140),"")</f>
        <v/>
      </c>
      <c r="R251" s="108" t="str">
        <f>IF(AND('Mapa final'!$AB$141="Muy Baja",'Mapa final'!$AD$141="Moderado"),CONCATENATE("R46C",'Mapa final'!$R$141),"")</f>
        <v/>
      </c>
      <c r="S251" s="102" t="str">
        <f>IF(AND('Mapa final'!$AB$139="Muy Baja",'Mapa final'!$AD$139="Mayor"),CONCATENATE("R46C",'Mapa final'!$R$139),"")</f>
        <v/>
      </c>
      <c r="T251" s="41" t="str">
        <f>IF(AND('Mapa final'!$AB$140="Muy Baja",'Mapa final'!$AD$140="Mayor"),CONCATENATE("R46C",'Mapa final'!$R$140),"")</f>
        <v/>
      </c>
      <c r="U251" s="103" t="str">
        <f>IF(AND('Mapa final'!$AB$141="Muy Baja",'Mapa final'!$AD$141="Mayor"),CONCATENATE("R46C",'Mapa final'!$R$141),"")</f>
        <v/>
      </c>
      <c r="V251" s="42" t="str">
        <f>IF(AND('Mapa final'!$AB$139="Muy Baja",'Mapa final'!$AD$139="Catastrófico"),CONCATENATE("R46C",'Mapa final'!$R$139),"")</f>
        <v/>
      </c>
      <c r="W251" s="43" t="str">
        <f>IF(AND('Mapa final'!$AB$140="Muy Baja",'Mapa final'!$AD$140="Catastrófico"),CONCATENATE("R46C",'Mapa final'!$R$140),"")</f>
        <v/>
      </c>
      <c r="X251" s="97" t="str">
        <f>IF(AND('Mapa final'!$AB$141="Muy Baja",'Mapa final'!$AD$141="Catastrófico"),CONCATENATE("R46C",'Mapa final'!$R$141),"")</f>
        <v/>
      </c>
      <c r="Y251" s="55"/>
      <c r="Z251" s="55"/>
      <c r="AA251" s="55"/>
      <c r="AB251" s="55"/>
      <c r="AC251" s="55"/>
      <c r="AD251" s="55"/>
      <c r="AE251" s="55"/>
      <c r="AF251" s="55"/>
      <c r="AG251" s="55"/>
      <c r="AH251" s="55"/>
      <c r="AI251" s="55"/>
      <c r="AJ251" s="55"/>
      <c r="AK251" s="55"/>
      <c r="AL251" s="55"/>
      <c r="AM251" s="55"/>
      <c r="AN251" s="55"/>
      <c r="AO251" s="55"/>
      <c r="AP251" s="55"/>
      <c r="AQ251" s="55"/>
      <c r="AR251" s="55"/>
      <c r="AS251" s="55"/>
      <c r="AT251" s="55"/>
      <c r="AU251" s="55"/>
      <c r="AV251" s="55"/>
      <c r="AW251" s="55"/>
      <c r="AX251" s="55"/>
      <c r="AY251" s="55"/>
      <c r="AZ251" s="55"/>
      <c r="BA251" s="55"/>
      <c r="BB251" s="55"/>
      <c r="BC251" s="55"/>
      <c r="BD251" s="55"/>
      <c r="BE251" s="55"/>
      <c r="BF251" s="55"/>
      <c r="BG251" s="55"/>
      <c r="BH251" s="55"/>
      <c r="BI251" s="55"/>
      <c r="BJ251" s="55"/>
      <c r="BK251" s="55"/>
      <c r="BL251" s="55"/>
      <c r="BM251" s="55"/>
    </row>
    <row r="252" spans="1:65" ht="15" customHeight="1" x14ac:dyDescent="0.25">
      <c r="A252" s="55"/>
      <c r="B252" s="301"/>
      <c r="C252" s="301"/>
      <c r="D252" s="302"/>
      <c r="E252" s="279"/>
      <c r="F252" s="274"/>
      <c r="G252" s="274"/>
      <c r="H252" s="274"/>
      <c r="I252" s="274"/>
      <c r="J252" s="112" t="str">
        <f>IF(AND('Mapa final'!$AB$142="Muy Baja",'Mapa final'!$AD$142="Leve"),CONCATENATE("R47C",'Mapa final'!$R$142),"")</f>
        <v/>
      </c>
      <c r="K252" s="53" t="str">
        <f>IF(AND('Mapa final'!$AB$143="Muy Baja",'Mapa final'!$AD$143="Leve"),CONCATENATE("R47C",'Mapa final'!$R$143),"")</f>
        <v/>
      </c>
      <c r="L252" s="113" t="str">
        <f>IF(AND('Mapa final'!$AB$144="Muy Baja",'Mapa final'!$AD$144="Leve"),CONCATENATE("R47C",'Mapa final'!$R$144),"")</f>
        <v/>
      </c>
      <c r="M252" s="112" t="str">
        <f>IF(AND('Mapa final'!$AB$142="Muy Baja",'Mapa final'!$AD$142="Menor"),CONCATENATE("R47C",'Mapa final'!$R$142),"")</f>
        <v/>
      </c>
      <c r="N252" s="53" t="str">
        <f>IF(AND('Mapa final'!$AB$143="Muy Baja",'Mapa final'!$AD$143="Menor"),CONCATENATE("R47C",'Mapa final'!$R$143),"")</f>
        <v/>
      </c>
      <c r="O252" s="113" t="str">
        <f>IF(AND('Mapa final'!$AB$144="Muy Baja",'Mapa final'!$AD$144="Menor"),CONCATENATE("R47C",'Mapa final'!$R$144),"")</f>
        <v/>
      </c>
      <c r="P252" s="48" t="str">
        <f>IF(AND('Mapa final'!$AB$142="Muy Baja",'Mapa final'!$AD$142="Moderado"),CONCATENATE("R47C",'Mapa final'!$R$142),"")</f>
        <v/>
      </c>
      <c r="Q252" s="49" t="str">
        <f>IF(AND('Mapa final'!$AB$143="Muy Baja",'Mapa final'!$AD$143="Moderado"),CONCATENATE("R47C",'Mapa final'!$R$143),"")</f>
        <v/>
      </c>
      <c r="R252" s="108" t="str">
        <f>IF(AND('Mapa final'!$AB$144="Muy Baja",'Mapa final'!$AD$144="Moderado"),CONCATENATE("R47C",'Mapa final'!$R$144),"")</f>
        <v/>
      </c>
      <c r="S252" s="102" t="str">
        <f>IF(AND('Mapa final'!$AB$142="Muy Baja",'Mapa final'!$AD$142="Mayor"),CONCATENATE("R47C",'Mapa final'!$R$142),"")</f>
        <v/>
      </c>
      <c r="T252" s="41" t="str">
        <f>IF(AND('Mapa final'!$AB$143="Muy Baja",'Mapa final'!$AD$143="Mayor"),CONCATENATE("R47C",'Mapa final'!$R$143),"")</f>
        <v/>
      </c>
      <c r="U252" s="103" t="str">
        <f>IF(AND('Mapa final'!$AB$144="Muy Baja",'Mapa final'!$AD$144="Mayor"),CONCATENATE("R47C",'Mapa final'!$R$144),"")</f>
        <v/>
      </c>
      <c r="V252" s="42" t="str">
        <f>IF(AND('Mapa final'!$AB$142="Muy Baja",'Mapa final'!$AD$142="Catastrófico"),CONCATENATE("R47C",'Mapa final'!$R$142),"")</f>
        <v/>
      </c>
      <c r="W252" s="43" t="str">
        <f>IF(AND('Mapa final'!$AB$143="Muy Baja",'Mapa final'!$AD$143="Catastrófico"),CONCATENATE("R47C",'Mapa final'!$R$143),"")</f>
        <v/>
      </c>
      <c r="X252" s="97" t="str">
        <f>IF(AND('Mapa final'!$AB$144="Muy Baja",'Mapa final'!$AD$144="Catastrófico"),CONCATENATE("R47C",'Mapa final'!$R$144),"")</f>
        <v/>
      </c>
      <c r="Y252" s="55"/>
      <c r="Z252" s="55"/>
      <c r="AA252" s="55"/>
      <c r="AB252" s="55"/>
      <c r="AC252" s="55"/>
      <c r="AD252" s="55"/>
      <c r="AE252" s="55"/>
      <c r="AF252" s="55"/>
      <c r="AG252" s="55"/>
      <c r="AH252" s="55"/>
      <c r="AI252" s="55"/>
      <c r="AJ252" s="55"/>
      <c r="AK252" s="55"/>
      <c r="AL252" s="55"/>
      <c r="AM252" s="55"/>
      <c r="AN252" s="55"/>
      <c r="AO252" s="55"/>
      <c r="AP252" s="55"/>
      <c r="AQ252" s="55"/>
      <c r="AR252" s="55"/>
      <c r="AS252" s="55"/>
      <c r="AT252" s="55"/>
      <c r="AU252" s="55"/>
      <c r="AV252" s="55"/>
      <c r="AW252" s="55"/>
      <c r="AX252" s="55"/>
      <c r="AY252" s="55"/>
      <c r="AZ252" s="55"/>
      <c r="BA252" s="55"/>
      <c r="BB252" s="55"/>
      <c r="BC252" s="55"/>
      <c r="BD252" s="55"/>
      <c r="BE252" s="55"/>
      <c r="BF252" s="55"/>
      <c r="BG252" s="55"/>
      <c r="BH252" s="55"/>
      <c r="BI252" s="55"/>
      <c r="BJ252" s="55"/>
      <c r="BK252" s="55"/>
      <c r="BL252" s="55"/>
      <c r="BM252" s="55"/>
    </row>
    <row r="253" spans="1:65" ht="15" customHeight="1" x14ac:dyDescent="0.25">
      <c r="A253" s="55"/>
      <c r="B253" s="301"/>
      <c r="C253" s="301"/>
      <c r="D253" s="302"/>
      <c r="E253" s="279"/>
      <c r="F253" s="274"/>
      <c r="G253" s="274"/>
      <c r="H253" s="274"/>
      <c r="I253" s="274"/>
      <c r="J253" s="112" t="str">
        <f>IF(AND('Mapa final'!$AB$145="Muy Baja",'Mapa final'!$AD$145="Leve"),CONCATENATE("R48C",'Mapa final'!$R$145),"")</f>
        <v/>
      </c>
      <c r="K253" s="53" t="str">
        <f>IF(AND('Mapa final'!$AB$146="Muy Baja",'Mapa final'!$AD$146="Leve"),CONCATENATE("R48C",'Mapa final'!$R$146),"")</f>
        <v/>
      </c>
      <c r="L253" s="113" t="str">
        <f>IF(AND('Mapa final'!$AB$147="Muy Baja",'Mapa final'!$AD$147="Leve"),CONCATENATE("R48C",'Mapa final'!$R$147),"")</f>
        <v/>
      </c>
      <c r="M253" s="112" t="str">
        <f>IF(AND('Mapa final'!$AB$145="Muy Baja",'Mapa final'!$AD$145="Menor"),CONCATENATE("R48C",'Mapa final'!$R$145),"")</f>
        <v/>
      </c>
      <c r="N253" s="53" t="str">
        <f>IF(AND('Mapa final'!$AB$146="Muy Baja",'Mapa final'!$AD$146="Menor"),CONCATENATE("R48C",'Mapa final'!$R$146),"")</f>
        <v/>
      </c>
      <c r="O253" s="113" t="str">
        <f>IF(AND('Mapa final'!$AB$147="Muy Baja",'Mapa final'!$AD$147="Menor"),CONCATENATE("R48C",'Mapa final'!$R$147),"")</f>
        <v/>
      </c>
      <c r="P253" s="48" t="str">
        <f>IF(AND('Mapa final'!$AB$145="Muy Baja",'Mapa final'!$AD$145="Moderado"),CONCATENATE("R48C",'Mapa final'!$R$145),"")</f>
        <v/>
      </c>
      <c r="Q253" s="49" t="str">
        <f>IF(AND('Mapa final'!$AB$146="Muy Baja",'Mapa final'!$AD$146="Moderado"),CONCATENATE("R48C",'Mapa final'!$R$146),"")</f>
        <v/>
      </c>
      <c r="R253" s="108" t="str">
        <f>IF(AND('Mapa final'!$AB$147="Muy Baja",'Mapa final'!$AD$147="Moderado"),CONCATENATE("R48C",'Mapa final'!$R$147),"")</f>
        <v/>
      </c>
      <c r="S253" s="102" t="str">
        <f>IF(AND('Mapa final'!$AB$145="Muy Baja",'Mapa final'!$AD$145="Mayor"),CONCATENATE("R48C",'Mapa final'!$R$145),"")</f>
        <v/>
      </c>
      <c r="T253" s="41" t="str">
        <f>IF(AND('Mapa final'!$AB$146="Muy Baja",'Mapa final'!$AD$146="Mayor"),CONCATENATE("R48C",'Mapa final'!$R$146),"")</f>
        <v/>
      </c>
      <c r="U253" s="103" t="str">
        <f>IF(AND('Mapa final'!$AB$147="Muy Baja",'Mapa final'!$AD$147="Mayor"),CONCATENATE("R48C",'Mapa final'!$R$147),"")</f>
        <v/>
      </c>
      <c r="V253" s="42" t="str">
        <f>IF(AND('Mapa final'!$AB$145="Muy Baja",'Mapa final'!$AD$145="Catastrófico"),CONCATENATE("R48C",'Mapa final'!$R$145),"")</f>
        <v/>
      </c>
      <c r="W253" s="43" t="str">
        <f>IF(AND('Mapa final'!$AB$146="Muy Baja",'Mapa final'!$AD$146="Catastrófico"),CONCATENATE("R48C",'Mapa final'!$R$146),"")</f>
        <v/>
      </c>
      <c r="X253" s="97" t="str">
        <f>IF(AND('Mapa final'!$AB$147="Muy Baja",'Mapa final'!$AD$147="Catastrófico"),CONCATENATE("R48C",'Mapa final'!$R$147),"")</f>
        <v/>
      </c>
      <c r="Y253" s="55"/>
      <c r="Z253" s="55"/>
      <c r="AA253" s="55"/>
      <c r="AB253" s="55"/>
      <c r="AC253" s="55"/>
      <c r="AD253" s="55"/>
      <c r="AE253" s="55"/>
      <c r="AF253" s="55"/>
      <c r="AG253" s="55"/>
      <c r="AH253" s="55"/>
      <c r="AI253" s="55"/>
      <c r="AJ253" s="55"/>
      <c r="AK253" s="55"/>
      <c r="AL253" s="55"/>
      <c r="AM253" s="55"/>
      <c r="AN253" s="55"/>
      <c r="AO253" s="55"/>
      <c r="AP253" s="55"/>
      <c r="AQ253" s="55"/>
      <c r="AR253" s="55"/>
      <c r="AS253" s="55"/>
      <c r="AT253" s="55"/>
      <c r="AU253" s="55"/>
      <c r="AV253" s="55"/>
      <c r="AW253" s="55"/>
      <c r="AX253" s="55"/>
      <c r="AY253" s="55"/>
      <c r="AZ253" s="55"/>
      <c r="BA253" s="55"/>
      <c r="BB253" s="55"/>
      <c r="BC253" s="55"/>
      <c r="BD253" s="55"/>
      <c r="BE253" s="55"/>
      <c r="BF253" s="55"/>
      <c r="BG253" s="55"/>
      <c r="BH253" s="55"/>
      <c r="BI253" s="55"/>
      <c r="BJ253" s="55"/>
      <c r="BK253" s="55"/>
      <c r="BL253" s="55"/>
      <c r="BM253" s="55"/>
    </row>
    <row r="254" spans="1:65" ht="15" customHeight="1" x14ac:dyDescent="0.25">
      <c r="A254" s="55"/>
      <c r="B254" s="301"/>
      <c r="C254" s="301"/>
      <c r="D254" s="302"/>
      <c r="E254" s="279"/>
      <c r="F254" s="274"/>
      <c r="G254" s="274"/>
      <c r="H254" s="274"/>
      <c r="I254" s="274"/>
      <c r="J254" s="112" t="str">
        <f>IF(AND('Mapa final'!$AB$148="Muy Baja",'Mapa final'!$AD$148="Leve"),CONCATENATE("R49C",'Mapa final'!$R$148),"")</f>
        <v/>
      </c>
      <c r="K254" s="53" t="str">
        <f>IF(AND('Mapa final'!$AB$149="Muy Baja",'Mapa final'!$AD$149="Leve"),CONCATENATE("R49C",'Mapa final'!$R$149),"")</f>
        <v/>
      </c>
      <c r="L254" s="113" t="str">
        <f>IF(AND('Mapa final'!$AB$150="Muy Baja",'Mapa final'!$AD$150="Leve"),CONCATENATE("R49C",'Mapa final'!$R$150),"")</f>
        <v/>
      </c>
      <c r="M254" s="112" t="str">
        <f>IF(AND('Mapa final'!$AB$148="Muy Baja",'Mapa final'!$AD$148="Menor"),CONCATENATE("R49C",'Mapa final'!$R$148),"")</f>
        <v/>
      </c>
      <c r="N254" s="53" t="str">
        <f>IF(AND('Mapa final'!$AB$149="Muy Baja",'Mapa final'!$AD$149="Menor"),CONCATENATE("R49C",'Mapa final'!$R$149),"")</f>
        <v/>
      </c>
      <c r="O254" s="113" t="str">
        <f>IF(AND('Mapa final'!$AB$150="Muy Baja",'Mapa final'!$AD$150="Menor"),CONCATENATE("R49C",'Mapa final'!$R$150),"")</f>
        <v/>
      </c>
      <c r="P254" s="48" t="str">
        <f>IF(AND('Mapa final'!$AB$148="Muy Baja",'Mapa final'!$AD$148="Moderado"),CONCATENATE("R49C",'Mapa final'!$R$148),"")</f>
        <v/>
      </c>
      <c r="Q254" s="49" t="str">
        <f>IF(AND('Mapa final'!$AB$149="Muy Baja",'Mapa final'!$AD$149="Moderado"),CONCATENATE("R49C",'Mapa final'!$R$149),"")</f>
        <v/>
      </c>
      <c r="R254" s="108" t="str">
        <f>IF(AND('Mapa final'!$AB$150="Muy Baja",'Mapa final'!$AD$150="Moderado"),CONCATENATE("R49C",'Mapa final'!$R$150),"")</f>
        <v/>
      </c>
      <c r="S254" s="102" t="str">
        <f>IF(AND('Mapa final'!$AB$148="Muy Baja",'Mapa final'!$AD$148="Mayor"),CONCATENATE("R49C",'Mapa final'!$R$148),"")</f>
        <v/>
      </c>
      <c r="T254" s="41" t="str">
        <f>IF(AND('Mapa final'!$AB$149="Muy Baja",'Mapa final'!$AD$149="Mayor"),CONCATENATE("R49C",'Mapa final'!$R$149),"")</f>
        <v/>
      </c>
      <c r="U254" s="103" t="str">
        <f>IF(AND('Mapa final'!$AB$150="Muy Baja",'Mapa final'!$AD$150="Mayor"),CONCATENATE("R49C",'Mapa final'!$R$150),"")</f>
        <v/>
      </c>
      <c r="V254" s="42" t="str">
        <f>IF(AND('Mapa final'!$AB$148="Muy Baja",'Mapa final'!$AD$148="Catastrófico"),CONCATENATE("R49C",'Mapa final'!$R$148),"")</f>
        <v/>
      </c>
      <c r="W254" s="43" t="str">
        <f>IF(AND('Mapa final'!$AB$149="Muy Baja",'Mapa final'!$AD$149="Catastrófico"),CONCATENATE("R49C",'Mapa final'!$R$149),"")</f>
        <v/>
      </c>
      <c r="X254" s="97" t="str">
        <f>IF(AND('Mapa final'!$AB$150="Muy Baja",'Mapa final'!$AD$150="Catastrófico"),CONCATENATE("R49C",'Mapa final'!$R$150),"")</f>
        <v/>
      </c>
      <c r="Y254" s="55"/>
      <c r="Z254" s="55"/>
      <c r="AA254" s="55"/>
      <c r="AB254" s="55"/>
      <c r="AC254" s="55"/>
      <c r="AD254" s="55"/>
      <c r="AE254" s="55"/>
      <c r="AF254" s="55"/>
      <c r="AG254" s="55"/>
      <c r="AH254" s="55"/>
      <c r="AI254" s="55"/>
      <c r="AJ254" s="55"/>
      <c r="AK254" s="55"/>
      <c r="AL254" s="55"/>
      <c r="AM254" s="55"/>
      <c r="AN254" s="55"/>
      <c r="AO254" s="55"/>
      <c r="AP254" s="55"/>
      <c r="AQ254" s="55"/>
      <c r="AR254" s="55"/>
      <c r="AS254" s="55"/>
      <c r="AT254" s="55"/>
      <c r="AU254" s="55"/>
      <c r="AV254" s="55"/>
      <c r="AW254" s="55"/>
      <c r="AX254" s="55"/>
      <c r="AY254" s="55"/>
      <c r="AZ254" s="55"/>
      <c r="BA254" s="55"/>
      <c r="BB254" s="55"/>
      <c r="BC254" s="55"/>
      <c r="BD254" s="55"/>
      <c r="BE254" s="55"/>
      <c r="BF254" s="55"/>
      <c r="BG254" s="55"/>
      <c r="BH254" s="55"/>
      <c r="BI254" s="55"/>
      <c r="BJ254" s="55"/>
      <c r="BK254" s="55"/>
      <c r="BL254" s="55"/>
      <c r="BM254" s="55"/>
    </row>
    <row r="255" spans="1:65" ht="15" customHeight="1" thickBot="1" x14ac:dyDescent="0.3">
      <c r="A255" s="55"/>
      <c r="B255" s="301"/>
      <c r="C255" s="301"/>
      <c r="D255" s="302"/>
      <c r="E255" s="279"/>
      <c r="F255" s="274"/>
      <c r="G255" s="274"/>
      <c r="H255" s="274"/>
      <c r="I255" s="274"/>
      <c r="J255" s="114" t="str">
        <f>IF(AND('Mapa final'!$AB$151="Muy Baja",'Mapa final'!$AD$151="Leve"),CONCATENATE("R50C",'Mapa final'!$R$151),"")</f>
        <v/>
      </c>
      <c r="K255" s="54" t="str">
        <f>IF(AND('Mapa final'!$AB$152="Muy Baja",'Mapa final'!$AD$152="Leve"),CONCATENATE("R50C",'Mapa final'!$R$152),"")</f>
        <v/>
      </c>
      <c r="L255" s="115" t="str">
        <f>IF(AND('Mapa final'!$AB$153="Muy Baja",'Mapa final'!$AD$153="Leve"),CONCATENATE("R50C",'Mapa final'!$R$153),"")</f>
        <v/>
      </c>
      <c r="M255" s="114" t="str">
        <f>IF(AND('Mapa final'!$AB$151="Muy Baja",'Mapa final'!$AD$151="Menor"),CONCATENATE("R50C",'Mapa final'!$R$151),"")</f>
        <v/>
      </c>
      <c r="N255" s="54" t="str">
        <f>IF(AND('Mapa final'!$AB$152="Muy Baja",'Mapa final'!$AD$152="Menor"),CONCATENATE("R50C",'Mapa final'!$R$152),"")</f>
        <v/>
      </c>
      <c r="O255" s="115" t="str">
        <f>IF(AND('Mapa final'!$AB$153="Muy Baja",'Mapa final'!$AD$153="Menor"),CONCATENATE("R50C",'Mapa final'!$R$153),"")</f>
        <v/>
      </c>
      <c r="P255" s="50" t="str">
        <f>IF(AND('Mapa final'!$AB$151="Muy Baja",'Mapa final'!$AD$151="Moderado"),CONCATENATE("R50C",'Mapa final'!$R$151),"")</f>
        <v/>
      </c>
      <c r="Q255" s="51" t="str">
        <f>IF(AND('Mapa final'!$AB$152="Muy Baja",'Mapa final'!$AD$152="Moderado"),CONCATENATE("R50C",'Mapa final'!$R$152),"")</f>
        <v/>
      </c>
      <c r="R255" s="109" t="str">
        <f>IF(AND('Mapa final'!$AB$153="Muy Baja",'Mapa final'!$AD$153="Moderado"),CONCATENATE("R50C",'Mapa final'!$R$153),"")</f>
        <v/>
      </c>
      <c r="S255" s="104" t="str">
        <f>IF(AND('Mapa final'!$AB$151="Muy Baja",'Mapa final'!$AD$151="Mayor"),CONCATENATE("R50C",'Mapa final'!$R$151),"")</f>
        <v/>
      </c>
      <c r="T255" s="105" t="str">
        <f>IF(AND('Mapa final'!$AB$152="Muy Baja",'Mapa final'!$AD$152="Mayor"),CONCATENATE("R50C",'Mapa final'!$R$152),"")</f>
        <v/>
      </c>
      <c r="U255" s="106" t="str">
        <f>IF(AND('Mapa final'!$AB$153="Muy Baja",'Mapa final'!$AD$153="Mayor"),CONCATENATE("R50C",'Mapa final'!$R$153),"")</f>
        <v/>
      </c>
      <c r="V255" s="44" t="str">
        <f>IF(AND('Mapa final'!$AB$151="Muy Baja",'Mapa final'!$AD$151="Catastrófico"),CONCATENATE("R50C",'Mapa final'!$R$151),"")</f>
        <v/>
      </c>
      <c r="W255" s="45" t="str">
        <f>IF(AND('Mapa final'!$AB$152="Muy Baja",'Mapa final'!$AD$152="Catastrófico"),CONCATENATE("R50C",'Mapa final'!$R$152),"")</f>
        <v/>
      </c>
      <c r="X255" s="98" t="str">
        <f>IF(AND('Mapa final'!$AB$153="Muy Baja",'Mapa final'!$AD$153="Catastrófico"),CONCATENATE("R50C",'Mapa final'!$R$153),"")</f>
        <v/>
      </c>
      <c r="Y255" s="55"/>
      <c r="Z255" s="55"/>
      <c r="AA255" s="55"/>
      <c r="AB255" s="55"/>
      <c r="AC255" s="55"/>
      <c r="AD255" s="55"/>
      <c r="AE255" s="55"/>
      <c r="AF255" s="55"/>
      <c r="AG255" s="55"/>
      <c r="AH255" s="55"/>
      <c r="AI255" s="55"/>
      <c r="AJ255" s="55"/>
      <c r="AK255" s="55"/>
      <c r="AL255" s="55"/>
      <c r="AM255" s="55"/>
      <c r="AN255" s="55"/>
      <c r="AO255" s="55"/>
      <c r="AP255" s="55"/>
      <c r="AQ255" s="55"/>
      <c r="AR255" s="55"/>
      <c r="AS255" s="55"/>
      <c r="AT255" s="55"/>
      <c r="AU255" s="55"/>
      <c r="AV255" s="55"/>
      <c r="AW255" s="55"/>
      <c r="AX255" s="55"/>
      <c r="AY255" s="55"/>
      <c r="AZ255" s="55"/>
      <c r="BA255" s="55"/>
      <c r="BB255" s="55"/>
      <c r="BC255" s="55"/>
      <c r="BD255" s="55"/>
      <c r="BE255" s="55"/>
      <c r="BF255" s="55"/>
      <c r="BG255" s="55"/>
      <c r="BH255" s="55"/>
      <c r="BI255" s="55"/>
      <c r="BJ255" s="55"/>
      <c r="BK255" s="55"/>
      <c r="BL255" s="55"/>
      <c r="BM255" s="55"/>
    </row>
    <row r="256" spans="1:65" x14ac:dyDescent="0.25">
      <c r="A256" s="55"/>
      <c r="B256" s="55"/>
      <c r="C256" s="55"/>
      <c r="D256" s="55"/>
      <c r="E256" s="55"/>
      <c r="F256" s="55"/>
      <c r="G256" s="55"/>
      <c r="H256" s="55"/>
      <c r="I256" s="55"/>
      <c r="J256" s="273" t="s">
        <v>103</v>
      </c>
      <c r="K256" s="274"/>
      <c r="L256" s="274"/>
      <c r="M256" s="278" t="s">
        <v>102</v>
      </c>
      <c r="N256" s="274"/>
      <c r="O256" s="274"/>
      <c r="P256" s="278" t="s">
        <v>101</v>
      </c>
      <c r="Q256" s="274"/>
      <c r="R256" s="274"/>
      <c r="S256" s="278" t="s">
        <v>100</v>
      </c>
      <c r="T256" s="281"/>
      <c r="U256" s="274"/>
      <c r="V256" s="278" t="s">
        <v>99</v>
      </c>
      <c r="W256" s="274"/>
      <c r="X256" s="282"/>
      <c r="Y256" s="55"/>
      <c r="Z256" s="55"/>
      <c r="AA256" s="55"/>
      <c r="AB256" s="55"/>
      <c r="AC256" s="55"/>
      <c r="AD256" s="55"/>
      <c r="AE256" s="55"/>
      <c r="AF256" s="55"/>
      <c r="AG256" s="55"/>
      <c r="AH256" s="55"/>
      <c r="AI256" s="55"/>
      <c r="AJ256" s="55"/>
      <c r="AK256" s="55"/>
      <c r="AL256" s="55"/>
      <c r="AM256" s="55"/>
      <c r="AN256" s="55"/>
      <c r="AO256" s="55"/>
      <c r="AP256" s="55"/>
      <c r="AQ256" s="55"/>
      <c r="AR256" s="55"/>
      <c r="AS256" s="55"/>
      <c r="AT256" s="55"/>
      <c r="AU256" s="55"/>
      <c r="AV256" s="55"/>
      <c r="AW256" s="55"/>
      <c r="AX256" s="55"/>
      <c r="AY256" s="55"/>
      <c r="AZ256" s="55"/>
      <c r="BA256" s="55"/>
      <c r="BB256" s="55"/>
      <c r="BC256" s="55"/>
      <c r="BD256" s="55"/>
      <c r="BE256" s="55"/>
      <c r="BF256" s="55"/>
      <c r="BG256" s="55"/>
      <c r="BH256" s="55"/>
      <c r="BI256" s="55"/>
      <c r="BJ256" s="55"/>
      <c r="BK256" s="55"/>
      <c r="BL256" s="55"/>
      <c r="BM256" s="55"/>
    </row>
    <row r="257" spans="1:65" x14ac:dyDescent="0.25">
      <c r="A257" s="55"/>
      <c r="B257" s="55"/>
      <c r="C257" s="55"/>
      <c r="D257" s="55"/>
      <c r="E257" s="55"/>
      <c r="F257" s="55"/>
      <c r="G257" s="55"/>
      <c r="H257" s="55"/>
      <c r="I257" s="55"/>
      <c r="J257" s="275"/>
      <c r="K257" s="274"/>
      <c r="L257" s="274"/>
      <c r="M257" s="279"/>
      <c r="N257" s="274"/>
      <c r="O257" s="274"/>
      <c r="P257" s="279"/>
      <c r="Q257" s="274"/>
      <c r="R257" s="274"/>
      <c r="S257" s="279"/>
      <c r="T257" s="274"/>
      <c r="U257" s="274"/>
      <c r="V257" s="279"/>
      <c r="W257" s="274"/>
      <c r="X257" s="282"/>
      <c r="Y257" s="55"/>
      <c r="Z257" s="55"/>
      <c r="AA257" s="55"/>
      <c r="AB257" s="55"/>
      <c r="AC257" s="55"/>
      <c r="AD257" s="55"/>
      <c r="AE257" s="55"/>
      <c r="AF257" s="55"/>
      <c r="AG257" s="55"/>
      <c r="AH257" s="55"/>
      <c r="AI257" s="55"/>
      <c r="AJ257" s="55"/>
      <c r="AK257" s="55"/>
      <c r="AL257" s="55"/>
      <c r="AM257" s="55"/>
      <c r="AN257" s="55"/>
      <c r="AO257" s="55"/>
      <c r="AP257" s="55"/>
      <c r="AQ257" s="55"/>
      <c r="AR257" s="55"/>
      <c r="AS257" s="55"/>
      <c r="AT257" s="55"/>
      <c r="AU257" s="55"/>
      <c r="AV257" s="55"/>
      <c r="AW257" s="55"/>
      <c r="AX257" s="55"/>
      <c r="AY257" s="55"/>
      <c r="AZ257" s="55"/>
      <c r="BA257" s="55"/>
      <c r="BB257" s="55"/>
      <c r="BC257" s="55"/>
      <c r="BD257" s="55"/>
      <c r="BE257" s="55"/>
      <c r="BF257" s="55"/>
      <c r="BG257" s="55"/>
      <c r="BH257" s="55"/>
      <c r="BI257" s="55"/>
      <c r="BJ257" s="55"/>
      <c r="BK257" s="55"/>
      <c r="BL257" s="55"/>
      <c r="BM257" s="55"/>
    </row>
    <row r="258" spans="1:65" x14ac:dyDescent="0.25">
      <c r="A258" s="55"/>
      <c r="B258" s="55"/>
      <c r="C258" s="55"/>
      <c r="D258" s="55"/>
      <c r="E258" s="55"/>
      <c r="F258" s="55"/>
      <c r="G258" s="55"/>
      <c r="H258" s="55"/>
      <c r="I258" s="55"/>
      <c r="J258" s="275"/>
      <c r="K258" s="274"/>
      <c r="L258" s="274"/>
      <c r="M258" s="279"/>
      <c r="N258" s="274"/>
      <c r="O258" s="274"/>
      <c r="P258" s="279"/>
      <c r="Q258" s="274"/>
      <c r="R258" s="274"/>
      <c r="S258" s="279"/>
      <c r="T258" s="274"/>
      <c r="U258" s="274"/>
      <c r="V258" s="279"/>
      <c r="W258" s="274"/>
      <c r="X258" s="282"/>
      <c r="Y258" s="55"/>
      <c r="Z258" s="55"/>
      <c r="AA258" s="55"/>
      <c r="AB258" s="55"/>
      <c r="AC258" s="55"/>
      <c r="AD258" s="55"/>
      <c r="AE258" s="55"/>
      <c r="AF258" s="55"/>
      <c r="AG258" s="55"/>
      <c r="AH258" s="55"/>
      <c r="AI258" s="55"/>
      <c r="AJ258" s="55"/>
      <c r="AK258" s="55"/>
      <c r="AL258" s="55"/>
      <c r="AM258" s="55"/>
      <c r="AN258" s="55"/>
      <c r="AO258" s="55"/>
      <c r="AP258" s="55"/>
      <c r="AQ258" s="55"/>
      <c r="AR258" s="55"/>
      <c r="AS258" s="55"/>
      <c r="AT258" s="55"/>
      <c r="AU258" s="55"/>
      <c r="AV258" s="55"/>
      <c r="AW258" s="55"/>
      <c r="AX258" s="55"/>
      <c r="AY258" s="55"/>
      <c r="AZ258" s="55"/>
      <c r="BA258" s="55"/>
      <c r="BB258" s="55"/>
      <c r="BC258" s="55"/>
      <c r="BD258" s="55"/>
      <c r="BE258" s="55"/>
      <c r="BF258" s="55"/>
      <c r="BG258" s="55"/>
      <c r="BH258" s="55"/>
      <c r="BI258" s="55"/>
      <c r="BJ258" s="55"/>
      <c r="BK258" s="55"/>
      <c r="BL258" s="55"/>
      <c r="BM258" s="55"/>
    </row>
    <row r="259" spans="1:65" x14ac:dyDescent="0.25">
      <c r="A259" s="55"/>
      <c r="B259" s="55"/>
      <c r="C259" s="55"/>
      <c r="D259" s="55"/>
      <c r="E259" s="55"/>
      <c r="F259" s="55"/>
      <c r="G259" s="55"/>
      <c r="H259" s="55"/>
      <c r="I259" s="55"/>
      <c r="J259" s="275"/>
      <c r="K259" s="274"/>
      <c r="L259" s="274"/>
      <c r="M259" s="279"/>
      <c r="N259" s="274"/>
      <c r="O259" s="274"/>
      <c r="P259" s="279"/>
      <c r="Q259" s="274"/>
      <c r="R259" s="274"/>
      <c r="S259" s="279"/>
      <c r="T259" s="274"/>
      <c r="U259" s="274"/>
      <c r="V259" s="279"/>
      <c r="W259" s="274"/>
      <c r="X259" s="282"/>
      <c r="Y259" s="55"/>
      <c r="Z259" s="55"/>
      <c r="AA259" s="55"/>
      <c r="AB259" s="55"/>
      <c r="AC259" s="55"/>
      <c r="AD259" s="55"/>
      <c r="AE259" s="55"/>
      <c r="AF259" s="55"/>
      <c r="AG259" s="55"/>
      <c r="AH259" s="55"/>
      <c r="AI259" s="55"/>
      <c r="AJ259" s="55"/>
      <c r="AK259" s="55"/>
      <c r="AL259" s="55"/>
      <c r="AM259" s="55"/>
      <c r="AN259" s="55"/>
      <c r="AO259" s="55"/>
      <c r="AP259" s="55"/>
      <c r="AQ259" s="55"/>
      <c r="AR259" s="55"/>
      <c r="AS259" s="55"/>
      <c r="AT259" s="55"/>
      <c r="AU259" s="55"/>
      <c r="AV259" s="55"/>
      <c r="AW259" s="55"/>
      <c r="AX259" s="55"/>
      <c r="AY259" s="55"/>
      <c r="AZ259" s="55"/>
      <c r="BA259" s="55"/>
      <c r="BB259" s="55"/>
      <c r="BC259" s="55"/>
      <c r="BD259" s="55"/>
      <c r="BE259" s="55"/>
      <c r="BF259" s="55"/>
      <c r="BG259" s="55"/>
      <c r="BH259" s="55"/>
      <c r="BI259" s="55"/>
      <c r="BJ259" s="55"/>
      <c r="BK259" s="55"/>
      <c r="BL259" s="55"/>
      <c r="BM259" s="55"/>
    </row>
    <row r="260" spans="1:65" x14ac:dyDescent="0.25">
      <c r="A260" s="55"/>
      <c r="B260" s="55"/>
      <c r="C260" s="55"/>
      <c r="D260" s="55"/>
      <c r="E260" s="55"/>
      <c r="F260" s="55"/>
      <c r="G260" s="55"/>
      <c r="H260" s="55"/>
      <c r="I260" s="55"/>
      <c r="J260" s="275"/>
      <c r="K260" s="274"/>
      <c r="L260" s="274"/>
      <c r="M260" s="279"/>
      <c r="N260" s="274"/>
      <c r="O260" s="274"/>
      <c r="P260" s="279"/>
      <c r="Q260" s="274"/>
      <c r="R260" s="274"/>
      <c r="S260" s="279"/>
      <c r="T260" s="274"/>
      <c r="U260" s="274"/>
      <c r="V260" s="279"/>
      <c r="W260" s="274"/>
      <c r="X260" s="282"/>
      <c r="Y260" s="55"/>
      <c r="Z260" s="55"/>
      <c r="AA260" s="55"/>
      <c r="AB260" s="55"/>
      <c r="AC260" s="55"/>
      <c r="AD260" s="55"/>
      <c r="AE260" s="55"/>
      <c r="AF260" s="55"/>
      <c r="AG260" s="55"/>
      <c r="AH260" s="55"/>
      <c r="AI260" s="55"/>
      <c r="AJ260" s="55"/>
      <c r="AK260" s="55"/>
      <c r="AL260" s="55"/>
      <c r="AM260" s="55"/>
      <c r="AN260" s="55"/>
      <c r="AO260" s="55"/>
      <c r="AP260" s="55"/>
      <c r="AQ260" s="55"/>
      <c r="AR260" s="55"/>
      <c r="AS260" s="55"/>
      <c r="AT260" s="55"/>
      <c r="AU260" s="55"/>
      <c r="AV260" s="55"/>
      <c r="AW260" s="55"/>
      <c r="AX260" s="55"/>
      <c r="AY260" s="55"/>
      <c r="AZ260" s="55"/>
      <c r="BA260" s="55"/>
      <c r="BB260" s="55"/>
      <c r="BC260" s="55"/>
      <c r="BD260" s="55"/>
      <c r="BE260" s="55"/>
      <c r="BF260" s="55"/>
      <c r="BG260" s="55"/>
      <c r="BH260" s="55"/>
      <c r="BI260" s="55"/>
      <c r="BJ260" s="55"/>
      <c r="BK260" s="55"/>
      <c r="BL260" s="55"/>
      <c r="BM260" s="55"/>
    </row>
    <row r="261" spans="1:65" ht="15.75" thickBot="1" x14ac:dyDescent="0.3">
      <c r="A261" s="55"/>
      <c r="B261" s="55"/>
      <c r="C261" s="55"/>
      <c r="D261" s="55"/>
      <c r="E261" s="55"/>
      <c r="F261" s="55"/>
      <c r="G261" s="55"/>
      <c r="H261" s="55"/>
      <c r="I261" s="55"/>
      <c r="J261" s="276"/>
      <c r="K261" s="277"/>
      <c r="L261" s="277"/>
      <c r="M261" s="280"/>
      <c r="N261" s="277"/>
      <c r="O261" s="277"/>
      <c r="P261" s="280"/>
      <c r="Q261" s="277"/>
      <c r="R261" s="277"/>
      <c r="S261" s="280"/>
      <c r="T261" s="277"/>
      <c r="U261" s="277"/>
      <c r="V261" s="280"/>
      <c r="W261" s="277"/>
      <c r="X261" s="283"/>
      <c r="Y261" s="55"/>
      <c r="Z261" s="55"/>
      <c r="AA261" s="55"/>
      <c r="AB261" s="55"/>
      <c r="AC261" s="55"/>
      <c r="AD261" s="55"/>
      <c r="AE261" s="55"/>
      <c r="AF261" s="55"/>
      <c r="AG261" s="55"/>
      <c r="AH261" s="55"/>
      <c r="AI261" s="55"/>
      <c r="AJ261" s="55"/>
      <c r="AK261" s="55"/>
      <c r="AL261" s="55"/>
      <c r="AM261" s="55"/>
      <c r="AN261" s="55"/>
      <c r="AO261" s="55"/>
      <c r="AP261" s="55"/>
      <c r="AQ261" s="55"/>
      <c r="AR261" s="55"/>
      <c r="AS261" s="55"/>
      <c r="AT261" s="55"/>
      <c r="AU261" s="55"/>
      <c r="AV261" s="55"/>
      <c r="AW261" s="55"/>
      <c r="AX261" s="55"/>
      <c r="AY261" s="55"/>
      <c r="AZ261" s="55"/>
      <c r="BA261" s="55"/>
      <c r="BB261" s="55"/>
      <c r="BC261" s="55"/>
      <c r="BD261" s="55"/>
      <c r="BE261" s="55"/>
      <c r="BF261" s="55"/>
      <c r="BG261" s="55"/>
      <c r="BH261" s="55"/>
      <c r="BI261" s="55"/>
      <c r="BJ261" s="55"/>
      <c r="BK261" s="55"/>
      <c r="BL261" s="55"/>
      <c r="BM261" s="55"/>
    </row>
    <row r="262" spans="1:65" x14ac:dyDescent="0.25">
      <c r="A262" s="55"/>
      <c r="B262" s="55"/>
      <c r="C262" s="55"/>
      <c r="D262" s="55"/>
      <c r="E262" s="55"/>
      <c r="F262" s="55"/>
      <c r="G262" s="55"/>
      <c r="H262" s="55"/>
      <c r="I262" s="55"/>
      <c r="J262" s="55"/>
      <c r="K262" s="55"/>
      <c r="L262" s="55"/>
      <c r="M262" s="55"/>
      <c r="N262" s="55"/>
      <c r="O262" s="55"/>
      <c r="P262" s="55"/>
      <c r="Q262" s="55"/>
      <c r="R262" s="55"/>
      <c r="S262" s="55"/>
      <c r="T262" s="55"/>
      <c r="U262" s="55"/>
      <c r="V262" s="55"/>
      <c r="W262" s="55"/>
      <c r="X262" s="55"/>
      <c r="Y262" s="55"/>
      <c r="Z262" s="55"/>
      <c r="AA262" s="55"/>
      <c r="AB262" s="55"/>
      <c r="AC262" s="55"/>
      <c r="AD262" s="55"/>
      <c r="AE262" s="55"/>
      <c r="AF262" s="55"/>
      <c r="AG262" s="55"/>
      <c r="AH262" s="55"/>
      <c r="AI262" s="55"/>
      <c r="AJ262" s="55"/>
      <c r="AK262" s="55"/>
      <c r="AL262" s="55"/>
      <c r="AM262" s="55"/>
      <c r="AN262" s="55"/>
      <c r="AO262" s="55"/>
      <c r="AP262" s="55"/>
      <c r="AQ262" s="55"/>
      <c r="AR262" s="55"/>
      <c r="AS262" s="55"/>
    </row>
    <row r="263" spans="1:65" ht="15" customHeight="1" x14ac:dyDescent="0.25">
      <c r="A263" s="55"/>
      <c r="B263" s="59"/>
      <c r="C263" s="59"/>
      <c r="D263" s="59"/>
      <c r="E263" s="59"/>
      <c r="F263" s="59"/>
      <c r="G263" s="59"/>
      <c r="H263" s="59"/>
      <c r="I263" s="59"/>
      <c r="J263" s="59"/>
      <c r="K263" s="59"/>
      <c r="L263" s="59"/>
      <c r="M263" s="59"/>
      <c r="N263" s="59"/>
      <c r="O263" s="59"/>
      <c r="P263" s="59"/>
      <c r="Q263" s="59"/>
      <c r="R263" s="59"/>
      <c r="S263" s="59"/>
      <c r="T263" s="59"/>
      <c r="U263" s="59"/>
      <c r="V263" s="59"/>
      <c r="W263" s="59"/>
      <c r="X263" s="59"/>
      <c r="Y263" s="59"/>
      <c r="Z263" s="59"/>
      <c r="AA263" s="59"/>
      <c r="AB263" s="59"/>
      <c r="AC263" s="59"/>
      <c r="AD263" s="59"/>
      <c r="AE263" s="59"/>
      <c r="AF263" s="55"/>
      <c r="AG263" s="55"/>
      <c r="AH263" s="55"/>
      <c r="AI263" s="55"/>
      <c r="AJ263" s="55"/>
      <c r="AK263" s="55"/>
      <c r="AL263" s="55"/>
      <c r="AM263" s="55"/>
      <c r="AN263" s="55"/>
      <c r="AO263" s="55"/>
      <c r="AP263" s="55"/>
      <c r="AQ263" s="55"/>
      <c r="AR263" s="55"/>
      <c r="AS263" s="55"/>
    </row>
    <row r="264" spans="1:65" ht="15" customHeight="1" x14ac:dyDescent="0.25">
      <c r="A264" s="55"/>
      <c r="B264" s="59"/>
      <c r="C264" s="59"/>
      <c r="D264" s="59"/>
      <c r="E264" s="59"/>
      <c r="F264" s="59"/>
      <c r="G264" s="59"/>
      <c r="H264" s="59"/>
      <c r="I264" s="59"/>
      <c r="J264" s="59"/>
      <c r="K264" s="59"/>
      <c r="L264" s="59"/>
      <c r="M264" s="59"/>
      <c r="N264" s="59"/>
      <c r="O264" s="59"/>
      <c r="P264" s="59"/>
      <c r="Q264" s="59"/>
      <c r="R264" s="59"/>
      <c r="S264" s="59"/>
      <c r="T264" s="59"/>
      <c r="U264" s="59"/>
      <c r="V264" s="59"/>
      <c r="W264" s="59"/>
      <c r="X264" s="59"/>
      <c r="Y264" s="59"/>
      <c r="Z264" s="59"/>
      <c r="AA264" s="59"/>
      <c r="AB264" s="59"/>
      <c r="AC264" s="59"/>
      <c r="AD264" s="59"/>
      <c r="AE264" s="59"/>
      <c r="AF264" s="55"/>
      <c r="AG264" s="55"/>
      <c r="AH264" s="55"/>
      <c r="AI264" s="55"/>
      <c r="AJ264" s="55"/>
      <c r="AK264" s="55"/>
      <c r="AL264" s="55"/>
      <c r="AM264" s="55"/>
      <c r="AN264" s="55"/>
      <c r="AO264" s="55"/>
      <c r="AP264" s="55"/>
      <c r="AQ264" s="55"/>
      <c r="AR264" s="55"/>
      <c r="AS264" s="55"/>
    </row>
    <row r="265" spans="1:65" x14ac:dyDescent="0.25">
      <c r="A265" s="55"/>
      <c r="B265" s="55"/>
      <c r="C265" s="55"/>
      <c r="D265" s="55"/>
      <c r="E265" s="55"/>
      <c r="F265" s="55"/>
      <c r="G265" s="55"/>
      <c r="H265" s="55"/>
      <c r="I265" s="55"/>
      <c r="J265" s="55"/>
      <c r="K265" s="55"/>
      <c r="L265" s="55"/>
      <c r="M265" s="55"/>
      <c r="N265" s="55"/>
      <c r="O265" s="55"/>
      <c r="P265" s="55"/>
      <c r="Q265" s="55"/>
      <c r="R265" s="55"/>
      <c r="S265" s="55"/>
      <c r="T265" s="55"/>
      <c r="U265" s="55"/>
      <c r="V265" s="55"/>
      <c r="W265" s="55"/>
      <c r="X265" s="55"/>
      <c r="Y265" s="55"/>
      <c r="Z265" s="55"/>
      <c r="AA265" s="55"/>
      <c r="AB265" s="55"/>
      <c r="AC265" s="55"/>
      <c r="AD265" s="55"/>
      <c r="AE265" s="55"/>
      <c r="AF265" s="55"/>
      <c r="AG265" s="55"/>
      <c r="AH265" s="55"/>
      <c r="AI265" s="55"/>
      <c r="AJ265" s="55"/>
      <c r="AK265" s="55"/>
      <c r="AL265" s="55"/>
      <c r="AM265" s="55"/>
      <c r="AN265" s="55"/>
      <c r="AO265" s="55"/>
      <c r="AP265" s="55"/>
      <c r="AQ265" s="55"/>
      <c r="AR265" s="55"/>
      <c r="AS265" s="55"/>
    </row>
    <row r="266" spans="1:65" x14ac:dyDescent="0.25">
      <c r="A266" s="55"/>
      <c r="B266" s="55"/>
      <c r="C266" s="55"/>
      <c r="D266" s="55"/>
      <c r="E266" s="55"/>
      <c r="F266" s="55"/>
      <c r="G266" s="55"/>
      <c r="H266" s="55"/>
      <c r="I266" s="55"/>
      <c r="J266" s="55"/>
      <c r="K266" s="55"/>
      <c r="L266" s="55"/>
      <c r="M266" s="55"/>
      <c r="N266" s="55"/>
      <c r="O266" s="55"/>
      <c r="P266" s="55"/>
      <c r="Q266" s="55"/>
      <c r="R266" s="55"/>
      <c r="S266" s="55"/>
      <c r="T266" s="55"/>
      <c r="U266" s="55"/>
      <c r="V266" s="55"/>
      <c r="W266" s="55"/>
      <c r="X266" s="55"/>
      <c r="Y266" s="55"/>
      <c r="Z266" s="55"/>
      <c r="AA266" s="55"/>
      <c r="AB266" s="55"/>
      <c r="AC266" s="55"/>
      <c r="AD266" s="55"/>
      <c r="AE266" s="55"/>
      <c r="AF266" s="55"/>
      <c r="AG266" s="55"/>
      <c r="AH266" s="55"/>
      <c r="AI266" s="55"/>
      <c r="AJ266" s="55"/>
      <c r="AK266" s="55"/>
      <c r="AL266" s="55"/>
      <c r="AM266" s="55"/>
      <c r="AN266" s="55"/>
      <c r="AO266" s="55"/>
      <c r="AP266" s="55"/>
      <c r="AQ266" s="55"/>
      <c r="AR266" s="55"/>
      <c r="AS266" s="55"/>
    </row>
    <row r="267" spans="1:65" x14ac:dyDescent="0.25">
      <c r="A267" s="55"/>
      <c r="B267" s="55"/>
      <c r="C267" s="55"/>
      <c r="D267" s="55"/>
      <c r="E267" s="55"/>
      <c r="F267" s="55"/>
      <c r="G267" s="55"/>
      <c r="H267" s="55"/>
      <c r="I267" s="55"/>
      <c r="J267" s="55"/>
      <c r="K267" s="55"/>
      <c r="L267" s="55"/>
      <c r="M267" s="55"/>
      <c r="N267" s="55"/>
      <c r="O267" s="55"/>
      <c r="P267" s="55"/>
      <c r="Q267" s="55"/>
      <c r="R267" s="55"/>
      <c r="S267" s="55"/>
      <c r="T267" s="55"/>
      <c r="U267" s="55"/>
      <c r="V267" s="55"/>
      <c r="W267" s="55"/>
      <c r="X267" s="55"/>
      <c r="Y267" s="55"/>
      <c r="Z267" s="55"/>
      <c r="AA267" s="55"/>
      <c r="AB267" s="55"/>
      <c r="AC267" s="55"/>
      <c r="AD267" s="55"/>
      <c r="AE267" s="55"/>
      <c r="AF267" s="55"/>
      <c r="AG267" s="55"/>
      <c r="AH267" s="55"/>
      <c r="AI267" s="55"/>
      <c r="AJ267" s="55"/>
      <c r="AK267" s="55"/>
      <c r="AL267" s="55"/>
      <c r="AM267" s="55"/>
      <c r="AN267" s="55"/>
      <c r="AO267" s="55"/>
      <c r="AP267" s="55"/>
      <c r="AQ267" s="55"/>
      <c r="AR267" s="55"/>
      <c r="AS267" s="55"/>
    </row>
    <row r="268" spans="1:65" x14ac:dyDescent="0.25">
      <c r="A268" s="55"/>
      <c r="B268" s="55"/>
      <c r="C268" s="55"/>
      <c r="D268" s="55"/>
      <c r="E268" s="55"/>
      <c r="F268" s="55"/>
      <c r="G268" s="55"/>
      <c r="H268" s="55"/>
      <c r="I268" s="55"/>
      <c r="J268" s="55"/>
      <c r="K268" s="55"/>
      <c r="L268" s="55"/>
      <c r="M268" s="55"/>
      <c r="N268" s="55"/>
      <c r="O268" s="55"/>
      <c r="P268" s="55"/>
      <c r="Q268" s="55"/>
      <c r="R268" s="55"/>
      <c r="S268" s="55"/>
      <c r="T268" s="55"/>
      <c r="U268" s="55"/>
      <c r="V268" s="55"/>
      <c r="W268" s="55"/>
      <c r="X268" s="55"/>
      <c r="Y268" s="55"/>
      <c r="Z268" s="55"/>
      <c r="AA268" s="55"/>
      <c r="AB268" s="55"/>
      <c r="AC268" s="55"/>
      <c r="AD268" s="55"/>
      <c r="AE268" s="55"/>
      <c r="AF268" s="55"/>
      <c r="AG268" s="55"/>
      <c r="AH268" s="55"/>
      <c r="AI268" s="55"/>
      <c r="AJ268" s="55"/>
      <c r="AK268" s="55"/>
      <c r="AL268" s="55"/>
      <c r="AM268" s="55"/>
      <c r="AN268" s="55"/>
      <c r="AO268" s="55"/>
      <c r="AP268" s="55"/>
      <c r="AQ268" s="55"/>
      <c r="AR268" s="55"/>
      <c r="AS268" s="55"/>
    </row>
    <row r="269" spans="1:65" x14ac:dyDescent="0.25">
      <c r="A269" s="55"/>
      <c r="B269" s="55"/>
      <c r="C269" s="55"/>
      <c r="D269" s="55"/>
      <c r="E269" s="55"/>
      <c r="F269" s="55"/>
      <c r="G269" s="55"/>
      <c r="H269" s="55"/>
      <c r="I269" s="55"/>
      <c r="J269" s="55"/>
      <c r="K269" s="55"/>
      <c r="L269" s="55"/>
      <c r="M269" s="55"/>
      <c r="N269" s="55"/>
      <c r="O269" s="55"/>
      <c r="P269" s="55"/>
      <c r="Q269" s="55"/>
      <c r="R269" s="55"/>
      <c r="S269" s="55"/>
      <c r="T269" s="55"/>
      <c r="U269" s="55"/>
      <c r="V269" s="55"/>
      <c r="W269" s="55"/>
      <c r="X269" s="55"/>
      <c r="Y269" s="55"/>
      <c r="Z269" s="55"/>
      <c r="AA269" s="55"/>
      <c r="AB269" s="55"/>
      <c r="AC269" s="55"/>
      <c r="AD269" s="55"/>
      <c r="AE269" s="55"/>
      <c r="AF269" s="55"/>
      <c r="AG269" s="55"/>
      <c r="AH269" s="55"/>
      <c r="AI269" s="55"/>
      <c r="AJ269" s="55"/>
      <c r="AK269" s="55"/>
      <c r="AL269" s="55"/>
      <c r="AM269" s="55"/>
      <c r="AN269" s="55"/>
      <c r="AO269" s="55"/>
      <c r="AP269" s="55"/>
      <c r="AQ269" s="55"/>
      <c r="AR269" s="55"/>
      <c r="AS269" s="55"/>
    </row>
    <row r="270" spans="1:65" x14ac:dyDescent="0.25">
      <c r="A270" s="55"/>
      <c r="B270" s="55"/>
      <c r="C270" s="55"/>
      <c r="D270" s="55"/>
      <c r="E270" s="55"/>
      <c r="F270" s="55"/>
      <c r="G270" s="55"/>
      <c r="H270" s="55"/>
      <c r="I270" s="55"/>
      <c r="J270" s="55"/>
      <c r="K270" s="55"/>
      <c r="L270" s="55"/>
      <c r="M270" s="55"/>
      <c r="N270" s="55"/>
      <c r="O270" s="55"/>
      <c r="P270" s="55"/>
      <c r="Q270" s="55"/>
      <c r="R270" s="55"/>
      <c r="S270" s="55"/>
      <c r="T270" s="55"/>
      <c r="U270" s="55"/>
      <c r="V270" s="55"/>
      <c r="W270" s="55"/>
      <c r="X270" s="55"/>
      <c r="Y270" s="55"/>
      <c r="Z270" s="55"/>
      <c r="AA270" s="55"/>
      <c r="AB270" s="55"/>
      <c r="AC270" s="55"/>
      <c r="AD270" s="55"/>
      <c r="AE270" s="55"/>
      <c r="AF270" s="55"/>
      <c r="AG270" s="55"/>
      <c r="AH270" s="55"/>
      <c r="AI270" s="55"/>
      <c r="AJ270" s="55"/>
      <c r="AK270" s="55"/>
      <c r="AL270" s="55"/>
      <c r="AM270" s="55"/>
      <c r="AN270" s="55"/>
      <c r="AO270" s="55"/>
      <c r="AP270" s="55"/>
      <c r="AQ270" s="55"/>
      <c r="AR270" s="55"/>
      <c r="AS270" s="55"/>
    </row>
    <row r="271" spans="1:65" x14ac:dyDescent="0.25">
      <c r="A271" s="55"/>
      <c r="B271" s="55"/>
      <c r="C271" s="55"/>
      <c r="D271" s="55"/>
      <c r="E271" s="55"/>
      <c r="F271" s="55"/>
      <c r="G271" s="55"/>
      <c r="H271" s="55"/>
      <c r="I271" s="55"/>
      <c r="J271" s="55"/>
      <c r="K271" s="55"/>
      <c r="L271" s="55"/>
      <c r="M271" s="55"/>
      <c r="N271" s="55"/>
      <c r="O271" s="55"/>
      <c r="P271" s="55"/>
      <c r="Q271" s="55"/>
      <c r="R271" s="55"/>
      <c r="S271" s="55"/>
      <c r="T271" s="55"/>
      <c r="U271" s="55"/>
      <c r="V271" s="55"/>
      <c r="W271" s="55"/>
      <c r="X271" s="55"/>
      <c r="Y271" s="55"/>
      <c r="Z271" s="55"/>
      <c r="AA271" s="55"/>
      <c r="AB271" s="55"/>
      <c r="AC271" s="55"/>
      <c r="AD271" s="55"/>
      <c r="AE271" s="55"/>
      <c r="AF271" s="55"/>
      <c r="AG271" s="55"/>
      <c r="AH271" s="55"/>
      <c r="AI271" s="55"/>
      <c r="AJ271" s="55"/>
      <c r="AK271" s="55"/>
      <c r="AL271" s="55"/>
      <c r="AM271" s="55"/>
      <c r="AN271" s="55"/>
      <c r="AO271" s="55"/>
      <c r="AP271" s="55"/>
      <c r="AQ271" s="55"/>
      <c r="AR271" s="55"/>
      <c r="AS271" s="55"/>
    </row>
    <row r="272" spans="1:65" x14ac:dyDescent="0.25">
      <c r="A272" s="55"/>
      <c r="B272" s="55"/>
      <c r="C272" s="55"/>
      <c r="D272" s="55"/>
      <c r="E272" s="55"/>
      <c r="F272" s="55"/>
      <c r="G272" s="55"/>
      <c r="H272" s="55"/>
      <c r="I272" s="55"/>
      <c r="J272" s="55"/>
      <c r="K272" s="55"/>
      <c r="L272" s="55"/>
      <c r="M272" s="55"/>
      <c r="N272" s="55"/>
      <c r="O272" s="55"/>
      <c r="P272" s="55"/>
      <c r="Q272" s="55"/>
      <c r="R272" s="55"/>
      <c r="S272" s="55"/>
      <c r="T272" s="55"/>
      <c r="U272" s="55"/>
      <c r="V272" s="55"/>
      <c r="W272" s="55"/>
      <c r="X272" s="55"/>
      <c r="Y272" s="55"/>
      <c r="Z272" s="55"/>
      <c r="AA272" s="55"/>
      <c r="AB272" s="55"/>
      <c r="AC272" s="55"/>
      <c r="AD272" s="55"/>
      <c r="AE272" s="55"/>
      <c r="AF272" s="55"/>
      <c r="AG272" s="55"/>
      <c r="AH272" s="55"/>
      <c r="AI272" s="55"/>
      <c r="AJ272" s="55"/>
      <c r="AK272" s="55"/>
      <c r="AL272" s="55"/>
      <c r="AM272" s="55"/>
      <c r="AN272" s="55"/>
      <c r="AO272" s="55"/>
      <c r="AP272" s="55"/>
      <c r="AQ272" s="55"/>
      <c r="AR272" s="55"/>
      <c r="AS272" s="55"/>
    </row>
    <row r="273" spans="1:45" x14ac:dyDescent="0.25">
      <c r="A273" s="55"/>
      <c r="B273" s="55"/>
      <c r="C273" s="55"/>
      <c r="D273" s="55"/>
      <c r="E273" s="55"/>
      <c r="F273" s="55"/>
      <c r="G273" s="55"/>
      <c r="H273" s="55"/>
      <c r="I273" s="55"/>
      <c r="J273" s="55"/>
      <c r="K273" s="55"/>
      <c r="L273" s="55"/>
      <c r="M273" s="55"/>
      <c r="N273" s="55"/>
      <c r="O273" s="55"/>
      <c r="P273" s="55"/>
      <c r="Q273" s="55"/>
      <c r="R273" s="55"/>
      <c r="S273" s="55"/>
      <c r="T273" s="55"/>
      <c r="U273" s="55"/>
      <c r="V273" s="55"/>
      <c r="W273" s="55"/>
      <c r="X273" s="55"/>
      <c r="Y273" s="55"/>
      <c r="Z273" s="55"/>
      <c r="AA273" s="55"/>
      <c r="AB273" s="55"/>
      <c r="AC273" s="55"/>
      <c r="AD273" s="55"/>
      <c r="AE273" s="55"/>
      <c r="AF273" s="55"/>
      <c r="AG273" s="55"/>
      <c r="AH273" s="55"/>
      <c r="AI273" s="55"/>
      <c r="AJ273" s="55"/>
      <c r="AK273" s="55"/>
      <c r="AL273" s="55"/>
      <c r="AM273" s="55"/>
      <c r="AN273" s="55"/>
      <c r="AO273" s="55"/>
      <c r="AP273" s="55"/>
      <c r="AQ273" s="55"/>
      <c r="AR273" s="55"/>
      <c r="AS273" s="55"/>
    </row>
    <row r="274" spans="1:45" x14ac:dyDescent="0.25">
      <c r="A274" s="55"/>
      <c r="B274" s="55"/>
      <c r="C274" s="55"/>
      <c r="D274" s="55"/>
      <c r="E274" s="55"/>
      <c r="F274" s="55"/>
      <c r="G274" s="55"/>
      <c r="H274" s="55"/>
      <c r="I274" s="55"/>
      <c r="J274" s="55"/>
      <c r="K274" s="55"/>
      <c r="L274" s="55"/>
      <c r="M274" s="55"/>
      <c r="N274" s="55"/>
      <c r="O274" s="55"/>
      <c r="P274" s="55"/>
      <c r="Q274" s="55"/>
      <c r="R274" s="55"/>
      <c r="S274" s="55"/>
      <c r="T274" s="55"/>
      <c r="U274" s="55"/>
      <c r="V274" s="55"/>
      <c r="W274" s="55"/>
      <c r="X274" s="55"/>
      <c r="Y274" s="55"/>
      <c r="Z274" s="55"/>
      <c r="AA274" s="55"/>
      <c r="AB274" s="55"/>
      <c r="AC274" s="55"/>
      <c r="AD274" s="55"/>
      <c r="AE274" s="55"/>
      <c r="AF274" s="55"/>
      <c r="AG274" s="55"/>
      <c r="AH274" s="55"/>
      <c r="AI274" s="55"/>
      <c r="AJ274" s="55"/>
      <c r="AK274" s="55"/>
      <c r="AL274" s="55"/>
      <c r="AM274" s="55"/>
      <c r="AN274" s="55"/>
      <c r="AO274" s="55"/>
      <c r="AP274" s="55"/>
      <c r="AQ274" s="55"/>
      <c r="AR274" s="55"/>
      <c r="AS274" s="55"/>
    </row>
    <row r="275" spans="1:45" x14ac:dyDescent="0.25">
      <c r="A275" s="55"/>
      <c r="B275" s="55"/>
      <c r="C275" s="55"/>
      <c r="D275" s="55"/>
      <c r="E275" s="55"/>
      <c r="F275" s="55"/>
      <c r="G275" s="55"/>
      <c r="H275" s="55"/>
      <c r="I275" s="55"/>
      <c r="J275" s="55"/>
      <c r="K275" s="55"/>
      <c r="L275" s="55"/>
      <c r="M275" s="55"/>
      <c r="N275" s="55"/>
      <c r="O275" s="55"/>
      <c r="P275" s="55"/>
      <c r="Q275" s="55"/>
      <c r="R275" s="55"/>
      <c r="S275" s="55"/>
      <c r="T275" s="55"/>
      <c r="U275" s="55"/>
      <c r="V275" s="55"/>
      <c r="W275" s="55"/>
      <c r="X275" s="55"/>
      <c r="Y275" s="55"/>
      <c r="Z275" s="55"/>
      <c r="AA275" s="55"/>
      <c r="AB275" s="55"/>
      <c r="AC275" s="55"/>
      <c r="AD275" s="55"/>
      <c r="AE275" s="55"/>
      <c r="AF275" s="55"/>
      <c r="AG275" s="55"/>
      <c r="AH275" s="55"/>
      <c r="AI275" s="55"/>
      <c r="AJ275" s="55"/>
      <c r="AK275" s="55"/>
      <c r="AL275" s="55"/>
      <c r="AM275" s="55"/>
      <c r="AN275" s="55"/>
      <c r="AO275" s="55"/>
      <c r="AP275" s="55"/>
      <c r="AQ275" s="55"/>
      <c r="AR275" s="55"/>
      <c r="AS275" s="55"/>
    </row>
    <row r="276" spans="1:45" x14ac:dyDescent="0.25">
      <c r="A276" s="55"/>
      <c r="B276" s="55"/>
      <c r="C276" s="55"/>
      <c r="D276" s="55"/>
      <c r="E276" s="55"/>
      <c r="F276" s="55"/>
      <c r="G276" s="55"/>
      <c r="H276" s="55"/>
      <c r="I276" s="55"/>
      <c r="J276" s="55"/>
      <c r="K276" s="55"/>
      <c r="L276" s="55"/>
      <c r="M276" s="55"/>
      <c r="N276" s="55"/>
      <c r="O276" s="55"/>
      <c r="P276" s="55"/>
      <c r="Q276" s="55"/>
      <c r="R276" s="55"/>
      <c r="S276" s="55"/>
      <c r="T276" s="55"/>
      <c r="U276" s="55"/>
      <c r="V276" s="55"/>
      <c r="W276" s="55"/>
      <c r="X276" s="55"/>
      <c r="Y276" s="55"/>
      <c r="Z276" s="55"/>
      <c r="AA276" s="55"/>
      <c r="AB276" s="55"/>
      <c r="AC276" s="55"/>
      <c r="AD276" s="55"/>
      <c r="AE276" s="55"/>
      <c r="AF276" s="55"/>
      <c r="AG276" s="55"/>
      <c r="AH276" s="55"/>
      <c r="AI276" s="55"/>
      <c r="AJ276" s="55"/>
      <c r="AK276" s="55"/>
      <c r="AL276" s="55"/>
      <c r="AM276" s="55"/>
      <c r="AN276" s="55"/>
      <c r="AO276" s="55"/>
      <c r="AP276" s="55"/>
      <c r="AQ276" s="55"/>
      <c r="AR276" s="55"/>
      <c r="AS276" s="55"/>
    </row>
    <row r="277" spans="1:45" x14ac:dyDescent="0.25">
      <c r="A277" s="55"/>
      <c r="B277" s="55"/>
      <c r="C277" s="55"/>
      <c r="D277" s="55"/>
      <c r="E277" s="55"/>
      <c r="F277" s="55"/>
      <c r="G277" s="55"/>
      <c r="H277" s="55"/>
      <c r="I277" s="55"/>
      <c r="J277" s="55"/>
      <c r="K277" s="55"/>
      <c r="L277" s="55"/>
      <c r="M277" s="55"/>
      <c r="N277" s="55"/>
      <c r="O277" s="55"/>
      <c r="P277" s="55"/>
      <c r="Q277" s="55"/>
      <c r="R277" s="55"/>
      <c r="S277" s="55"/>
      <c r="T277" s="55"/>
      <c r="U277" s="55"/>
      <c r="V277" s="55"/>
      <c r="W277" s="55"/>
      <c r="X277" s="55"/>
      <c r="Y277" s="55"/>
      <c r="Z277" s="55"/>
      <c r="AA277" s="55"/>
      <c r="AB277" s="55"/>
      <c r="AC277" s="55"/>
      <c r="AD277" s="55"/>
      <c r="AE277" s="55"/>
      <c r="AF277" s="55"/>
      <c r="AG277" s="55"/>
      <c r="AH277" s="55"/>
      <c r="AI277" s="55"/>
      <c r="AJ277" s="55"/>
      <c r="AK277" s="55"/>
      <c r="AL277" s="55"/>
      <c r="AM277" s="55"/>
      <c r="AN277" s="55"/>
      <c r="AO277" s="55"/>
      <c r="AP277" s="55"/>
      <c r="AQ277" s="55"/>
      <c r="AR277" s="55"/>
      <c r="AS277" s="55"/>
    </row>
    <row r="278" spans="1:45" x14ac:dyDescent="0.25">
      <c r="A278" s="55"/>
      <c r="B278" s="55"/>
      <c r="C278" s="55"/>
      <c r="D278" s="55"/>
      <c r="E278" s="55"/>
      <c r="F278" s="55"/>
      <c r="G278" s="55"/>
      <c r="H278" s="55"/>
      <c r="I278" s="55"/>
      <c r="J278" s="55"/>
      <c r="K278" s="55"/>
      <c r="L278" s="55"/>
      <c r="M278" s="55"/>
      <c r="N278" s="55"/>
      <c r="O278" s="55"/>
      <c r="P278" s="55"/>
      <c r="Q278" s="55"/>
      <c r="R278" s="55"/>
      <c r="S278" s="55"/>
      <c r="T278" s="55"/>
      <c r="U278" s="55"/>
      <c r="V278" s="55"/>
      <c r="W278" s="55"/>
      <c r="X278" s="55"/>
      <c r="Y278" s="55"/>
      <c r="Z278" s="55"/>
      <c r="AA278" s="55"/>
      <c r="AB278" s="55"/>
      <c r="AC278" s="55"/>
      <c r="AD278" s="55"/>
      <c r="AE278" s="55"/>
      <c r="AF278" s="55"/>
      <c r="AG278" s="55"/>
      <c r="AH278" s="55"/>
      <c r="AI278" s="55"/>
      <c r="AJ278" s="55"/>
      <c r="AK278" s="55"/>
      <c r="AL278" s="55"/>
      <c r="AM278" s="55"/>
      <c r="AN278" s="55"/>
      <c r="AO278" s="55"/>
      <c r="AP278" s="55"/>
      <c r="AQ278" s="55"/>
      <c r="AR278" s="55"/>
      <c r="AS278" s="55"/>
    </row>
    <row r="279" spans="1:45" x14ac:dyDescent="0.25">
      <c r="A279" s="55"/>
      <c r="B279" s="55"/>
      <c r="C279" s="55"/>
      <c r="D279" s="55"/>
      <c r="E279" s="55"/>
      <c r="F279" s="55"/>
      <c r="G279" s="55"/>
      <c r="H279" s="55"/>
      <c r="I279" s="55"/>
      <c r="J279" s="55"/>
      <c r="K279" s="55"/>
      <c r="L279" s="55"/>
      <c r="M279" s="55"/>
      <c r="N279" s="55"/>
      <c r="O279" s="55"/>
      <c r="P279" s="55"/>
      <c r="Q279" s="55"/>
      <c r="R279" s="55"/>
      <c r="S279" s="55"/>
      <c r="T279" s="55"/>
      <c r="U279" s="55"/>
      <c r="V279" s="55"/>
      <c r="W279" s="55"/>
      <c r="X279" s="55"/>
      <c r="Y279" s="55"/>
      <c r="Z279" s="55"/>
      <c r="AA279" s="55"/>
      <c r="AB279" s="55"/>
      <c r="AC279" s="55"/>
      <c r="AD279" s="55"/>
      <c r="AE279" s="55"/>
      <c r="AF279" s="55"/>
      <c r="AG279" s="55"/>
      <c r="AH279" s="55"/>
      <c r="AI279" s="55"/>
      <c r="AJ279" s="55"/>
      <c r="AK279" s="55"/>
      <c r="AL279" s="55"/>
      <c r="AM279" s="55"/>
      <c r="AN279" s="55"/>
      <c r="AO279" s="55"/>
      <c r="AP279" s="55"/>
      <c r="AQ279" s="55"/>
      <c r="AR279" s="55"/>
      <c r="AS279" s="55"/>
    </row>
    <row r="280" spans="1:45" x14ac:dyDescent="0.25">
      <c r="A280" s="55"/>
      <c r="B280" s="55"/>
      <c r="C280" s="55"/>
      <c r="D280" s="55"/>
      <c r="E280" s="55"/>
      <c r="F280" s="55"/>
      <c r="G280" s="55"/>
      <c r="H280" s="55"/>
      <c r="I280" s="55"/>
      <c r="J280" s="55"/>
      <c r="K280" s="55"/>
      <c r="L280" s="55"/>
      <c r="M280" s="55"/>
      <c r="N280" s="55"/>
      <c r="O280" s="55"/>
      <c r="P280" s="55"/>
      <c r="Q280" s="55"/>
      <c r="R280" s="55"/>
      <c r="S280" s="55"/>
      <c r="T280" s="55"/>
      <c r="U280" s="55"/>
      <c r="V280" s="55"/>
      <c r="W280" s="55"/>
      <c r="X280" s="55"/>
      <c r="Y280" s="55"/>
      <c r="Z280" s="55"/>
      <c r="AA280" s="55"/>
      <c r="AB280" s="55"/>
      <c r="AC280" s="55"/>
      <c r="AD280" s="55"/>
      <c r="AE280" s="55"/>
      <c r="AF280" s="55"/>
      <c r="AG280" s="55"/>
      <c r="AH280" s="55"/>
      <c r="AI280" s="55"/>
      <c r="AJ280" s="55"/>
      <c r="AK280" s="55"/>
      <c r="AL280" s="55"/>
      <c r="AM280" s="55"/>
      <c r="AN280" s="55"/>
      <c r="AO280" s="55"/>
      <c r="AP280" s="55"/>
      <c r="AQ280" s="55"/>
      <c r="AR280" s="55"/>
      <c r="AS280" s="55"/>
    </row>
    <row r="281" spans="1:45" x14ac:dyDescent="0.25">
      <c r="A281" s="55"/>
      <c r="B281" s="55"/>
      <c r="C281" s="55"/>
      <c r="D281" s="55"/>
      <c r="E281" s="55"/>
      <c r="F281" s="55"/>
      <c r="G281" s="55"/>
      <c r="H281" s="55"/>
      <c r="I281" s="55"/>
      <c r="J281" s="55"/>
      <c r="K281" s="55"/>
      <c r="L281" s="55"/>
      <c r="M281" s="55"/>
      <c r="N281" s="55"/>
      <c r="O281" s="55"/>
      <c r="P281" s="55"/>
      <c r="Q281" s="55"/>
      <c r="R281" s="55"/>
      <c r="S281" s="55"/>
      <c r="T281" s="55"/>
      <c r="U281" s="55"/>
      <c r="V281" s="55"/>
      <c r="W281" s="55"/>
      <c r="X281" s="55"/>
      <c r="Y281" s="55"/>
      <c r="Z281" s="55"/>
      <c r="AA281" s="55"/>
      <c r="AB281" s="55"/>
      <c r="AC281" s="55"/>
      <c r="AD281" s="55"/>
      <c r="AE281" s="55"/>
      <c r="AF281" s="55"/>
      <c r="AG281" s="55"/>
      <c r="AH281" s="55"/>
      <c r="AI281" s="55"/>
      <c r="AJ281" s="55"/>
      <c r="AK281" s="55"/>
      <c r="AL281" s="55"/>
      <c r="AM281" s="55"/>
      <c r="AN281" s="55"/>
      <c r="AO281" s="55"/>
      <c r="AP281" s="55"/>
      <c r="AQ281" s="55"/>
      <c r="AR281" s="55"/>
      <c r="AS281" s="55"/>
    </row>
    <row r="282" spans="1:45" x14ac:dyDescent="0.25">
      <c r="A282" s="55"/>
      <c r="B282" s="55"/>
      <c r="C282" s="55"/>
      <c r="D282" s="55"/>
      <c r="E282" s="55"/>
      <c r="F282" s="55"/>
      <c r="G282" s="55"/>
      <c r="H282" s="55"/>
      <c r="I282" s="55"/>
      <c r="J282" s="55"/>
      <c r="K282" s="55"/>
      <c r="L282" s="55"/>
      <c r="M282" s="55"/>
      <c r="N282" s="55"/>
      <c r="O282" s="55"/>
      <c r="P282" s="55"/>
      <c r="Q282" s="55"/>
      <c r="R282" s="55"/>
      <c r="S282" s="55"/>
      <c r="T282" s="55"/>
      <c r="U282" s="55"/>
      <c r="V282" s="55"/>
      <c r="W282" s="55"/>
      <c r="X282" s="55"/>
      <c r="Y282" s="55"/>
      <c r="Z282" s="55"/>
      <c r="AA282" s="55"/>
      <c r="AB282" s="55"/>
      <c r="AC282" s="55"/>
      <c r="AD282" s="55"/>
      <c r="AE282" s="55"/>
      <c r="AF282" s="55"/>
      <c r="AG282" s="55"/>
      <c r="AH282" s="55"/>
      <c r="AI282" s="55"/>
      <c r="AJ282" s="55"/>
      <c r="AK282" s="55"/>
      <c r="AL282" s="55"/>
      <c r="AM282" s="55"/>
      <c r="AN282" s="55"/>
      <c r="AO282" s="55"/>
      <c r="AP282" s="55"/>
      <c r="AQ282" s="55"/>
      <c r="AR282" s="55"/>
      <c r="AS282" s="55"/>
    </row>
    <row r="283" spans="1:45" x14ac:dyDescent="0.25">
      <c r="A283" s="55"/>
      <c r="B283" s="55"/>
      <c r="C283" s="55"/>
      <c r="D283" s="55"/>
      <c r="E283" s="55"/>
      <c r="F283" s="55"/>
      <c r="G283" s="55"/>
      <c r="H283" s="55"/>
      <c r="I283" s="55"/>
      <c r="J283" s="55"/>
      <c r="K283" s="55"/>
      <c r="L283" s="55"/>
      <c r="M283" s="55"/>
      <c r="N283" s="55"/>
      <c r="O283" s="55"/>
      <c r="P283" s="55"/>
      <c r="Q283" s="55"/>
      <c r="R283" s="55"/>
      <c r="S283" s="55"/>
      <c r="T283" s="55"/>
      <c r="U283" s="55"/>
      <c r="V283" s="55"/>
      <c r="W283" s="55"/>
      <c r="X283" s="55"/>
      <c r="Y283" s="55"/>
      <c r="Z283" s="55"/>
      <c r="AA283" s="55"/>
      <c r="AB283" s="55"/>
      <c r="AC283" s="55"/>
      <c r="AD283" s="55"/>
      <c r="AE283" s="55"/>
      <c r="AF283" s="55"/>
      <c r="AG283" s="55"/>
      <c r="AH283" s="55"/>
      <c r="AI283" s="55"/>
      <c r="AJ283" s="55"/>
      <c r="AK283" s="55"/>
      <c r="AL283" s="55"/>
      <c r="AM283" s="55"/>
      <c r="AN283" s="55"/>
      <c r="AO283" s="55"/>
      <c r="AP283" s="55"/>
      <c r="AQ283" s="55"/>
      <c r="AR283" s="55"/>
      <c r="AS283" s="55"/>
    </row>
    <row r="284" spans="1:45" x14ac:dyDescent="0.25">
      <c r="A284" s="55"/>
      <c r="B284" s="55"/>
      <c r="C284" s="55"/>
      <c r="D284" s="55"/>
      <c r="E284" s="55"/>
      <c r="F284" s="55"/>
      <c r="G284" s="55"/>
      <c r="H284" s="55"/>
      <c r="I284" s="55"/>
      <c r="J284" s="55"/>
      <c r="K284" s="55"/>
      <c r="L284" s="55"/>
      <c r="M284" s="55"/>
      <c r="N284" s="55"/>
      <c r="O284" s="55"/>
      <c r="P284" s="55"/>
      <c r="Q284" s="55"/>
      <c r="R284" s="55"/>
      <c r="S284" s="55"/>
      <c r="T284" s="55"/>
      <c r="U284" s="55"/>
      <c r="V284" s="55"/>
      <c r="W284" s="55"/>
      <c r="X284" s="55"/>
      <c r="Y284" s="55"/>
      <c r="Z284" s="55"/>
      <c r="AA284" s="55"/>
      <c r="AB284" s="55"/>
      <c r="AC284" s="55"/>
      <c r="AD284" s="55"/>
      <c r="AE284" s="55"/>
      <c r="AF284" s="55"/>
      <c r="AG284" s="55"/>
      <c r="AH284" s="55"/>
      <c r="AI284" s="55"/>
      <c r="AJ284" s="55"/>
      <c r="AK284" s="55"/>
      <c r="AL284" s="55"/>
      <c r="AM284" s="55"/>
      <c r="AN284" s="55"/>
      <c r="AO284" s="55"/>
      <c r="AP284" s="55"/>
      <c r="AQ284" s="55"/>
      <c r="AR284" s="55"/>
      <c r="AS284" s="55"/>
    </row>
    <row r="285" spans="1:45" x14ac:dyDescent="0.25">
      <c r="A285" s="55"/>
      <c r="B285" s="55"/>
      <c r="C285" s="55"/>
      <c r="D285" s="55"/>
      <c r="E285" s="55"/>
      <c r="F285" s="55"/>
      <c r="G285" s="55"/>
      <c r="H285" s="55"/>
      <c r="I285" s="55"/>
      <c r="J285" s="55"/>
      <c r="K285" s="55"/>
      <c r="L285" s="55"/>
      <c r="M285" s="55"/>
      <c r="N285" s="55"/>
      <c r="O285" s="55"/>
      <c r="P285" s="55"/>
      <c r="Q285" s="55"/>
      <c r="R285" s="55"/>
      <c r="S285" s="55"/>
      <c r="T285" s="55"/>
      <c r="U285" s="55"/>
      <c r="V285" s="55"/>
      <c r="W285" s="55"/>
      <c r="X285" s="55"/>
      <c r="Y285" s="55"/>
      <c r="Z285" s="55"/>
      <c r="AA285" s="55"/>
      <c r="AB285" s="55"/>
      <c r="AC285" s="55"/>
      <c r="AD285" s="55"/>
      <c r="AE285" s="55"/>
      <c r="AF285" s="55"/>
      <c r="AG285" s="55"/>
      <c r="AH285" s="55"/>
      <c r="AI285" s="55"/>
      <c r="AJ285" s="55"/>
      <c r="AK285" s="55"/>
      <c r="AL285" s="55"/>
      <c r="AM285" s="55"/>
      <c r="AN285" s="55"/>
      <c r="AO285" s="55"/>
      <c r="AP285" s="55"/>
      <c r="AQ285" s="55"/>
      <c r="AR285" s="55"/>
      <c r="AS285" s="55"/>
    </row>
    <row r="286" spans="1:45" x14ac:dyDescent="0.25">
      <c r="A286" s="55"/>
      <c r="B286" s="55"/>
      <c r="C286" s="55"/>
      <c r="D286" s="55"/>
      <c r="E286" s="55"/>
      <c r="F286" s="55"/>
      <c r="G286" s="55"/>
      <c r="H286" s="55"/>
      <c r="I286" s="55"/>
      <c r="J286" s="55"/>
      <c r="K286" s="55"/>
      <c r="L286" s="55"/>
      <c r="M286" s="55"/>
      <c r="N286" s="55"/>
      <c r="O286" s="55"/>
      <c r="P286" s="55"/>
      <c r="Q286" s="55"/>
      <c r="R286" s="55"/>
      <c r="S286" s="55"/>
      <c r="T286" s="55"/>
      <c r="U286" s="55"/>
      <c r="V286" s="55"/>
      <c r="W286" s="55"/>
      <c r="X286" s="55"/>
      <c r="Y286" s="55"/>
      <c r="Z286" s="55"/>
      <c r="AA286" s="55"/>
      <c r="AB286" s="55"/>
      <c r="AC286" s="55"/>
      <c r="AD286" s="55"/>
      <c r="AE286" s="55"/>
      <c r="AF286" s="55"/>
      <c r="AG286" s="55"/>
      <c r="AH286" s="55"/>
      <c r="AI286" s="55"/>
      <c r="AJ286" s="55"/>
      <c r="AK286" s="55"/>
      <c r="AL286" s="55"/>
      <c r="AM286" s="55"/>
      <c r="AN286" s="55"/>
      <c r="AO286" s="55"/>
      <c r="AP286" s="55"/>
      <c r="AQ286" s="55"/>
      <c r="AR286" s="55"/>
      <c r="AS286" s="55"/>
    </row>
    <row r="287" spans="1:45" x14ac:dyDescent="0.25">
      <c r="A287" s="55"/>
      <c r="B287" s="55"/>
      <c r="C287" s="55"/>
      <c r="D287" s="55"/>
      <c r="E287" s="55"/>
      <c r="F287" s="55"/>
      <c r="G287" s="55"/>
      <c r="H287" s="55"/>
      <c r="I287" s="55"/>
      <c r="J287" s="55"/>
      <c r="K287" s="55"/>
      <c r="L287" s="55"/>
      <c r="M287" s="55"/>
      <c r="N287" s="55"/>
      <c r="O287" s="55"/>
      <c r="P287" s="55"/>
      <c r="Q287" s="55"/>
      <c r="R287" s="55"/>
      <c r="S287" s="55"/>
      <c r="T287" s="55"/>
      <c r="U287" s="55"/>
      <c r="V287" s="55"/>
      <c r="W287" s="55"/>
      <c r="X287" s="55"/>
      <c r="Y287" s="55"/>
      <c r="Z287" s="55"/>
      <c r="AA287" s="55"/>
      <c r="AB287" s="55"/>
      <c r="AC287" s="55"/>
      <c r="AD287" s="55"/>
      <c r="AE287" s="55"/>
      <c r="AF287" s="55"/>
      <c r="AG287" s="55"/>
      <c r="AH287" s="55"/>
      <c r="AI287" s="55"/>
      <c r="AJ287" s="55"/>
      <c r="AK287" s="55"/>
      <c r="AL287" s="55"/>
      <c r="AM287" s="55"/>
      <c r="AN287" s="55"/>
      <c r="AO287" s="55"/>
      <c r="AP287" s="55"/>
      <c r="AQ287" s="55"/>
      <c r="AR287" s="55"/>
      <c r="AS287" s="55"/>
    </row>
    <row r="288" spans="1:45" x14ac:dyDescent="0.25">
      <c r="A288" s="55"/>
      <c r="B288" s="55"/>
      <c r="C288" s="55"/>
      <c r="D288" s="55"/>
      <c r="E288" s="55"/>
      <c r="F288" s="55"/>
      <c r="G288" s="55"/>
      <c r="H288" s="55"/>
      <c r="I288" s="55"/>
      <c r="J288" s="55"/>
      <c r="K288" s="55"/>
      <c r="L288" s="55"/>
      <c r="M288" s="55"/>
      <c r="N288" s="55"/>
      <c r="O288" s="55"/>
      <c r="P288" s="55"/>
      <c r="Q288" s="55"/>
      <c r="R288" s="55"/>
      <c r="S288" s="55"/>
      <c r="T288" s="55"/>
      <c r="U288" s="55"/>
      <c r="V288" s="55"/>
      <c r="W288" s="55"/>
      <c r="X288" s="55"/>
      <c r="Y288" s="55"/>
      <c r="Z288" s="55"/>
      <c r="AA288" s="55"/>
      <c r="AB288" s="55"/>
      <c r="AC288" s="55"/>
      <c r="AD288" s="55"/>
      <c r="AE288" s="55"/>
      <c r="AF288" s="55"/>
      <c r="AG288" s="55"/>
      <c r="AH288" s="55"/>
      <c r="AI288" s="55"/>
      <c r="AJ288" s="55"/>
      <c r="AK288" s="55"/>
      <c r="AL288" s="55"/>
      <c r="AM288" s="55"/>
      <c r="AN288" s="55"/>
      <c r="AO288" s="55"/>
      <c r="AP288" s="55"/>
      <c r="AQ288" s="55"/>
      <c r="AR288" s="55"/>
      <c r="AS288" s="55"/>
    </row>
    <row r="289" spans="1:45" x14ac:dyDescent="0.25">
      <c r="A289" s="55"/>
      <c r="B289" s="55"/>
      <c r="C289" s="55"/>
      <c r="D289" s="55"/>
      <c r="E289" s="55"/>
      <c r="F289" s="55"/>
      <c r="G289" s="55"/>
      <c r="H289" s="55"/>
      <c r="I289" s="55"/>
      <c r="J289" s="55"/>
      <c r="K289" s="55"/>
      <c r="L289" s="55"/>
      <c r="M289" s="55"/>
      <c r="N289" s="55"/>
      <c r="O289" s="55"/>
      <c r="P289" s="55"/>
      <c r="Q289" s="55"/>
      <c r="R289" s="55"/>
      <c r="S289" s="55"/>
      <c r="T289" s="55"/>
      <c r="U289" s="55"/>
      <c r="V289" s="55"/>
      <c r="W289" s="55"/>
      <c r="X289" s="55"/>
      <c r="Y289" s="55"/>
      <c r="Z289" s="55"/>
      <c r="AA289" s="55"/>
      <c r="AB289" s="55"/>
      <c r="AC289" s="55"/>
      <c r="AD289" s="55"/>
      <c r="AE289" s="55"/>
      <c r="AF289" s="55"/>
      <c r="AG289" s="55"/>
      <c r="AH289" s="55"/>
      <c r="AI289" s="55"/>
      <c r="AJ289" s="55"/>
      <c r="AK289" s="55"/>
      <c r="AL289" s="55"/>
      <c r="AM289" s="55"/>
      <c r="AN289" s="55"/>
      <c r="AO289" s="55"/>
      <c r="AP289" s="55"/>
      <c r="AQ289" s="55"/>
      <c r="AR289" s="55"/>
      <c r="AS289" s="55"/>
    </row>
    <row r="290" spans="1:45" x14ac:dyDescent="0.25">
      <c r="A290" s="55"/>
      <c r="B290" s="55"/>
      <c r="C290" s="55"/>
      <c r="D290" s="55"/>
      <c r="E290" s="55"/>
      <c r="F290" s="55"/>
      <c r="G290" s="55"/>
      <c r="H290" s="55"/>
      <c r="I290" s="55"/>
      <c r="J290" s="55"/>
      <c r="K290" s="55"/>
      <c r="L290" s="55"/>
      <c r="M290" s="55"/>
      <c r="N290" s="55"/>
      <c r="O290" s="55"/>
      <c r="P290" s="55"/>
      <c r="Q290" s="55"/>
      <c r="R290" s="55"/>
      <c r="S290" s="55"/>
      <c r="T290" s="55"/>
      <c r="U290" s="55"/>
      <c r="V290" s="55"/>
      <c r="W290" s="55"/>
      <c r="X290" s="55"/>
      <c r="Y290" s="55"/>
      <c r="Z290" s="55"/>
      <c r="AA290" s="55"/>
      <c r="AB290" s="55"/>
      <c r="AC290" s="55"/>
      <c r="AD290" s="55"/>
      <c r="AE290" s="55"/>
      <c r="AF290" s="55"/>
      <c r="AG290" s="55"/>
      <c r="AH290" s="55"/>
      <c r="AI290" s="55"/>
      <c r="AJ290" s="55"/>
      <c r="AK290" s="55"/>
      <c r="AL290" s="55"/>
      <c r="AM290" s="55"/>
      <c r="AN290" s="55"/>
      <c r="AO290" s="55"/>
      <c r="AP290" s="55"/>
      <c r="AQ290" s="55"/>
      <c r="AR290" s="55"/>
      <c r="AS290" s="55"/>
    </row>
    <row r="291" spans="1:45" x14ac:dyDescent="0.25">
      <c r="A291" s="55"/>
      <c r="B291" s="55"/>
      <c r="C291" s="55"/>
      <c r="D291" s="55"/>
      <c r="E291" s="55"/>
      <c r="F291" s="55"/>
      <c r="G291" s="55"/>
      <c r="H291" s="55"/>
      <c r="I291" s="55"/>
      <c r="J291" s="55"/>
      <c r="K291" s="55"/>
      <c r="L291" s="55"/>
      <c r="M291" s="55"/>
      <c r="N291" s="55"/>
      <c r="O291" s="55"/>
      <c r="P291" s="55"/>
      <c r="Q291" s="55"/>
      <c r="R291" s="55"/>
      <c r="S291" s="55"/>
      <c r="T291" s="55"/>
      <c r="U291" s="55"/>
      <c r="V291" s="55"/>
      <c r="W291" s="55"/>
      <c r="X291" s="55"/>
      <c r="Y291" s="55"/>
      <c r="Z291" s="55"/>
      <c r="AA291" s="55"/>
      <c r="AB291" s="55"/>
      <c r="AC291" s="55"/>
      <c r="AD291" s="55"/>
      <c r="AE291" s="55"/>
      <c r="AF291" s="55"/>
      <c r="AG291" s="55"/>
      <c r="AH291" s="55"/>
      <c r="AI291" s="55"/>
      <c r="AJ291" s="55"/>
      <c r="AK291" s="55"/>
      <c r="AL291" s="55"/>
      <c r="AM291" s="55"/>
      <c r="AN291" s="55"/>
      <c r="AO291" s="55"/>
      <c r="AP291" s="55"/>
      <c r="AQ291" s="55"/>
      <c r="AR291" s="55"/>
      <c r="AS291" s="55"/>
    </row>
    <row r="292" spans="1:45" x14ac:dyDescent="0.25">
      <c r="A292" s="55"/>
      <c r="B292" s="55"/>
      <c r="C292" s="55"/>
      <c r="D292" s="55"/>
      <c r="E292" s="55"/>
      <c r="F292" s="55"/>
      <c r="G292" s="55"/>
      <c r="H292" s="55"/>
      <c r="I292" s="55"/>
      <c r="J292" s="55"/>
      <c r="K292" s="55"/>
      <c r="L292" s="55"/>
      <c r="M292" s="55"/>
      <c r="N292" s="55"/>
      <c r="O292" s="55"/>
      <c r="P292" s="55"/>
      <c r="Q292" s="55"/>
      <c r="R292" s="55"/>
      <c r="S292" s="55"/>
      <c r="T292" s="55"/>
      <c r="U292" s="55"/>
      <c r="V292" s="55"/>
      <c r="W292" s="55"/>
      <c r="X292" s="55"/>
      <c r="Y292" s="55"/>
      <c r="Z292" s="55"/>
      <c r="AA292" s="55"/>
      <c r="AB292" s="55"/>
      <c r="AC292" s="55"/>
      <c r="AD292" s="55"/>
      <c r="AE292" s="55"/>
      <c r="AF292" s="55"/>
      <c r="AG292" s="55"/>
      <c r="AH292" s="55"/>
      <c r="AI292" s="55"/>
      <c r="AJ292" s="55"/>
      <c r="AK292" s="55"/>
      <c r="AL292" s="55"/>
      <c r="AM292" s="55"/>
      <c r="AN292" s="55"/>
      <c r="AO292" s="55"/>
      <c r="AP292" s="55"/>
      <c r="AQ292" s="55"/>
      <c r="AR292" s="55"/>
      <c r="AS292" s="55"/>
    </row>
    <row r="293" spans="1:45" x14ac:dyDescent="0.25">
      <c r="A293" s="55"/>
      <c r="B293" s="55"/>
      <c r="C293" s="55"/>
      <c r="D293" s="55"/>
      <c r="E293" s="55"/>
      <c r="F293" s="55"/>
      <c r="G293" s="55"/>
      <c r="H293" s="55"/>
      <c r="I293" s="55"/>
      <c r="J293" s="55"/>
      <c r="K293" s="55"/>
      <c r="L293" s="55"/>
      <c r="M293" s="55"/>
      <c r="N293" s="55"/>
      <c r="O293" s="55"/>
      <c r="P293" s="55"/>
      <c r="Q293" s="55"/>
      <c r="R293" s="55"/>
      <c r="S293" s="55"/>
      <c r="T293" s="55"/>
      <c r="U293" s="55"/>
      <c r="V293" s="55"/>
      <c r="W293" s="55"/>
      <c r="X293" s="55"/>
      <c r="Y293" s="55"/>
      <c r="Z293" s="55"/>
      <c r="AA293" s="55"/>
      <c r="AB293" s="55"/>
      <c r="AC293" s="55"/>
      <c r="AD293" s="55"/>
      <c r="AE293" s="55"/>
      <c r="AF293" s="55"/>
      <c r="AG293" s="55"/>
      <c r="AH293" s="55"/>
      <c r="AI293" s="55"/>
      <c r="AJ293" s="55"/>
      <c r="AK293" s="55"/>
      <c r="AL293" s="55"/>
      <c r="AM293" s="55"/>
      <c r="AN293" s="55"/>
      <c r="AO293" s="55"/>
      <c r="AP293" s="55"/>
      <c r="AQ293" s="55"/>
      <c r="AR293" s="55"/>
      <c r="AS293" s="55"/>
    </row>
    <row r="294" spans="1:45" x14ac:dyDescent="0.25">
      <c r="A294" s="55"/>
      <c r="B294" s="55"/>
      <c r="C294" s="55"/>
      <c r="D294" s="55"/>
      <c r="E294" s="55"/>
      <c r="F294" s="55"/>
      <c r="G294" s="55"/>
      <c r="H294" s="55"/>
      <c r="I294" s="55"/>
      <c r="J294" s="55"/>
      <c r="K294" s="55"/>
      <c r="L294" s="55"/>
      <c r="M294" s="55"/>
      <c r="N294" s="55"/>
      <c r="O294" s="55"/>
      <c r="P294" s="55"/>
      <c r="Q294" s="55"/>
      <c r="R294" s="55"/>
      <c r="S294" s="55"/>
      <c r="T294" s="55"/>
      <c r="U294" s="55"/>
      <c r="V294" s="55"/>
      <c r="W294" s="55"/>
      <c r="X294" s="55"/>
      <c r="Y294" s="55"/>
      <c r="Z294" s="55"/>
      <c r="AA294" s="55"/>
      <c r="AB294" s="55"/>
      <c r="AC294" s="55"/>
      <c r="AD294" s="55"/>
      <c r="AE294" s="55"/>
      <c r="AF294" s="55"/>
      <c r="AG294" s="55"/>
      <c r="AH294" s="55"/>
      <c r="AI294" s="55"/>
      <c r="AJ294" s="55"/>
      <c r="AK294" s="55"/>
      <c r="AL294" s="55"/>
      <c r="AM294" s="55"/>
      <c r="AN294" s="55"/>
      <c r="AO294" s="55"/>
      <c r="AP294" s="55"/>
      <c r="AQ294" s="55"/>
      <c r="AR294" s="55"/>
      <c r="AS294" s="55"/>
    </row>
    <row r="295" spans="1:45" x14ac:dyDescent="0.25">
      <c r="A295" s="55"/>
      <c r="B295" s="55"/>
      <c r="C295" s="55"/>
      <c r="D295" s="55"/>
      <c r="E295" s="55"/>
      <c r="F295" s="55"/>
      <c r="G295" s="55"/>
      <c r="H295" s="55"/>
      <c r="I295" s="55"/>
      <c r="J295" s="55"/>
      <c r="K295" s="55"/>
      <c r="L295" s="55"/>
      <c r="M295" s="55"/>
      <c r="N295" s="55"/>
      <c r="O295" s="55"/>
      <c r="P295" s="55"/>
      <c r="Q295" s="55"/>
      <c r="R295" s="55"/>
      <c r="S295" s="55"/>
      <c r="T295" s="55"/>
      <c r="U295" s="55"/>
      <c r="V295" s="55"/>
      <c r="W295" s="55"/>
      <c r="X295" s="55"/>
      <c r="Y295" s="55"/>
      <c r="Z295" s="55"/>
      <c r="AA295" s="55"/>
      <c r="AB295" s="55"/>
      <c r="AC295" s="55"/>
      <c r="AD295" s="55"/>
      <c r="AE295" s="55"/>
      <c r="AF295" s="55"/>
      <c r="AG295" s="55"/>
      <c r="AH295" s="55"/>
      <c r="AI295" s="55"/>
      <c r="AJ295" s="55"/>
      <c r="AK295" s="55"/>
      <c r="AL295" s="55"/>
      <c r="AM295" s="55"/>
      <c r="AN295" s="55"/>
      <c r="AO295" s="55"/>
      <c r="AP295" s="55"/>
      <c r="AQ295" s="55"/>
      <c r="AR295" s="55"/>
      <c r="AS295" s="55"/>
    </row>
    <row r="296" spans="1:45" x14ac:dyDescent="0.25">
      <c r="A296" s="55"/>
      <c r="B296" s="55"/>
      <c r="C296" s="55"/>
      <c r="D296" s="55"/>
      <c r="E296" s="55"/>
      <c r="F296" s="55"/>
      <c r="G296" s="55"/>
      <c r="H296" s="55"/>
      <c r="I296" s="55"/>
      <c r="J296" s="55"/>
      <c r="K296" s="55"/>
      <c r="L296" s="55"/>
      <c r="M296" s="55"/>
      <c r="N296" s="55"/>
      <c r="O296" s="55"/>
      <c r="P296" s="55"/>
      <c r="Q296" s="55"/>
      <c r="R296" s="55"/>
      <c r="S296" s="55"/>
      <c r="T296" s="55"/>
      <c r="U296" s="55"/>
      <c r="V296" s="55"/>
      <c r="W296" s="55"/>
      <c r="X296" s="55"/>
      <c r="Y296" s="55"/>
      <c r="Z296" s="55"/>
      <c r="AA296" s="55"/>
      <c r="AB296" s="55"/>
      <c r="AC296" s="55"/>
      <c r="AD296" s="55"/>
      <c r="AE296" s="55"/>
      <c r="AF296" s="55"/>
      <c r="AG296" s="55"/>
      <c r="AH296" s="55"/>
      <c r="AI296" s="55"/>
      <c r="AJ296" s="55"/>
      <c r="AK296" s="55"/>
      <c r="AL296" s="55"/>
      <c r="AM296" s="55"/>
      <c r="AN296" s="55"/>
      <c r="AO296" s="55"/>
      <c r="AP296" s="55"/>
      <c r="AQ296" s="55"/>
      <c r="AR296" s="55"/>
      <c r="AS296" s="55"/>
    </row>
    <row r="297" spans="1:45" x14ac:dyDescent="0.25">
      <c r="A297" s="55"/>
      <c r="B297" s="55"/>
      <c r="C297" s="55"/>
      <c r="D297" s="55"/>
      <c r="E297" s="55"/>
      <c r="F297" s="55"/>
      <c r="G297" s="55"/>
      <c r="H297" s="55"/>
      <c r="I297" s="55"/>
      <c r="J297" s="55"/>
      <c r="K297" s="55"/>
      <c r="L297" s="55"/>
      <c r="M297" s="55"/>
      <c r="N297" s="55"/>
      <c r="O297" s="55"/>
      <c r="P297" s="55"/>
      <c r="Q297" s="55"/>
      <c r="R297" s="55"/>
      <c r="S297" s="55"/>
      <c r="T297" s="55"/>
      <c r="U297" s="55"/>
      <c r="V297" s="55"/>
      <c r="W297" s="55"/>
      <c r="X297" s="55"/>
      <c r="Y297" s="55"/>
      <c r="Z297" s="55"/>
      <c r="AA297" s="55"/>
      <c r="AB297" s="55"/>
      <c r="AC297" s="55"/>
      <c r="AD297" s="55"/>
      <c r="AE297" s="55"/>
      <c r="AF297" s="55"/>
      <c r="AG297" s="55"/>
      <c r="AH297" s="55"/>
      <c r="AI297" s="55"/>
      <c r="AJ297" s="55"/>
      <c r="AK297" s="55"/>
      <c r="AL297" s="55"/>
      <c r="AM297" s="55"/>
      <c r="AN297" s="55"/>
      <c r="AO297" s="55"/>
      <c r="AP297" s="55"/>
      <c r="AQ297" s="55"/>
      <c r="AR297" s="55"/>
      <c r="AS297" s="55"/>
    </row>
    <row r="298" spans="1:45" x14ac:dyDescent="0.25">
      <c r="A298" s="55"/>
      <c r="B298" s="55"/>
      <c r="C298" s="55"/>
      <c r="D298" s="55"/>
      <c r="E298" s="55"/>
      <c r="F298" s="55"/>
      <c r="G298" s="55"/>
      <c r="H298" s="55"/>
      <c r="I298" s="55"/>
      <c r="J298" s="55"/>
      <c r="K298" s="55"/>
      <c r="L298" s="55"/>
      <c r="M298" s="55"/>
      <c r="N298" s="55"/>
      <c r="O298" s="55"/>
      <c r="P298" s="55"/>
      <c r="Q298" s="55"/>
      <c r="R298" s="55"/>
      <c r="S298" s="55"/>
      <c r="T298" s="55"/>
      <c r="U298" s="55"/>
      <c r="V298" s="55"/>
      <c r="W298" s="55"/>
      <c r="X298" s="55"/>
      <c r="Y298" s="55"/>
      <c r="Z298" s="55"/>
      <c r="AA298" s="55"/>
      <c r="AB298" s="55"/>
      <c r="AC298" s="55"/>
      <c r="AD298" s="55"/>
      <c r="AE298" s="55"/>
      <c r="AF298" s="55"/>
      <c r="AG298" s="55"/>
      <c r="AH298" s="55"/>
      <c r="AI298" s="55"/>
      <c r="AJ298" s="55"/>
      <c r="AK298" s="55"/>
      <c r="AL298" s="55"/>
      <c r="AM298" s="55"/>
      <c r="AN298" s="55"/>
      <c r="AO298" s="55"/>
      <c r="AP298" s="55"/>
      <c r="AQ298" s="55"/>
      <c r="AR298" s="55"/>
      <c r="AS298" s="55"/>
    </row>
    <row r="299" spans="1:45" x14ac:dyDescent="0.25">
      <c r="A299" s="55"/>
      <c r="B299" s="55"/>
      <c r="C299" s="55"/>
      <c r="D299" s="55"/>
      <c r="E299" s="55"/>
      <c r="F299" s="55"/>
      <c r="G299" s="55"/>
      <c r="H299" s="55"/>
      <c r="I299" s="55"/>
      <c r="J299" s="55"/>
      <c r="K299" s="55"/>
      <c r="L299" s="55"/>
      <c r="M299" s="55"/>
      <c r="N299" s="55"/>
      <c r="O299" s="55"/>
      <c r="P299" s="55"/>
      <c r="Q299" s="55"/>
      <c r="R299" s="55"/>
      <c r="S299" s="55"/>
      <c r="T299" s="55"/>
      <c r="U299" s="55"/>
      <c r="V299" s="55"/>
      <c r="W299" s="55"/>
      <c r="X299" s="55"/>
      <c r="Y299" s="55"/>
      <c r="Z299" s="55"/>
      <c r="AA299" s="55"/>
      <c r="AB299" s="55"/>
      <c r="AC299" s="55"/>
      <c r="AD299" s="55"/>
      <c r="AE299" s="55"/>
      <c r="AF299" s="55"/>
      <c r="AG299" s="55"/>
      <c r="AH299" s="55"/>
      <c r="AI299" s="55"/>
      <c r="AJ299" s="55"/>
      <c r="AK299" s="55"/>
      <c r="AL299" s="55"/>
      <c r="AM299" s="55"/>
      <c r="AN299" s="55"/>
      <c r="AO299" s="55"/>
      <c r="AP299" s="55"/>
      <c r="AQ299" s="55"/>
      <c r="AR299" s="55"/>
      <c r="AS299" s="55"/>
    </row>
    <row r="300" spans="1:45" x14ac:dyDescent="0.25">
      <c r="A300" s="55"/>
      <c r="B300" s="55"/>
      <c r="C300" s="55"/>
      <c r="D300" s="55"/>
      <c r="E300" s="55"/>
      <c r="F300" s="55"/>
      <c r="G300" s="55"/>
      <c r="H300" s="55"/>
      <c r="I300" s="55"/>
      <c r="J300" s="55"/>
      <c r="K300" s="55"/>
      <c r="L300" s="55"/>
      <c r="M300" s="55"/>
      <c r="N300" s="55"/>
      <c r="O300" s="55"/>
      <c r="P300" s="55"/>
      <c r="Q300" s="55"/>
      <c r="R300" s="55"/>
      <c r="S300" s="55"/>
      <c r="T300" s="55"/>
      <c r="U300" s="55"/>
      <c r="V300" s="55"/>
      <c r="W300" s="55"/>
      <c r="X300" s="55"/>
      <c r="Y300" s="55"/>
      <c r="Z300" s="55"/>
      <c r="AA300" s="55"/>
      <c r="AB300" s="55"/>
      <c r="AC300" s="55"/>
      <c r="AD300" s="55"/>
      <c r="AE300" s="55"/>
      <c r="AF300" s="55"/>
      <c r="AG300" s="55"/>
      <c r="AH300" s="55"/>
      <c r="AI300" s="55"/>
      <c r="AJ300" s="55"/>
      <c r="AK300" s="55"/>
      <c r="AL300" s="55"/>
      <c r="AM300" s="55"/>
      <c r="AN300" s="55"/>
      <c r="AO300" s="55"/>
      <c r="AP300" s="55"/>
      <c r="AQ300" s="55"/>
      <c r="AR300" s="55"/>
      <c r="AS300" s="55"/>
    </row>
    <row r="301" spans="1:45" x14ac:dyDescent="0.25">
      <c r="A301" s="55"/>
      <c r="B301" s="55"/>
      <c r="C301" s="55"/>
      <c r="D301" s="55"/>
      <c r="E301" s="55"/>
      <c r="F301" s="55"/>
      <c r="G301" s="55"/>
      <c r="H301" s="55"/>
      <c r="I301" s="55"/>
      <c r="J301" s="55"/>
      <c r="K301" s="55"/>
      <c r="L301" s="55"/>
      <c r="M301" s="55"/>
      <c r="N301" s="55"/>
      <c r="O301" s="55"/>
      <c r="P301" s="55"/>
      <c r="Q301" s="55"/>
      <c r="R301" s="55"/>
      <c r="S301" s="55"/>
      <c r="T301" s="55"/>
      <c r="U301" s="55"/>
      <c r="V301" s="55"/>
      <c r="W301" s="55"/>
      <c r="X301" s="55"/>
      <c r="Y301" s="55"/>
      <c r="Z301" s="55"/>
      <c r="AA301" s="55"/>
      <c r="AB301" s="55"/>
      <c r="AC301" s="55"/>
      <c r="AD301" s="55"/>
      <c r="AE301" s="55"/>
      <c r="AF301" s="55"/>
      <c r="AG301" s="55"/>
      <c r="AH301" s="55"/>
      <c r="AI301" s="55"/>
      <c r="AJ301" s="55"/>
      <c r="AK301" s="55"/>
      <c r="AL301" s="55"/>
      <c r="AM301" s="55"/>
      <c r="AN301" s="55"/>
      <c r="AO301" s="55"/>
      <c r="AP301" s="55"/>
      <c r="AQ301" s="55"/>
      <c r="AR301" s="55"/>
      <c r="AS301" s="55"/>
    </row>
    <row r="302" spans="1:45" x14ac:dyDescent="0.25">
      <c r="A302" s="55"/>
      <c r="B302" s="55"/>
      <c r="C302" s="55"/>
      <c r="D302" s="55"/>
      <c r="E302" s="55"/>
      <c r="F302" s="55"/>
      <c r="G302" s="55"/>
      <c r="H302" s="55"/>
      <c r="I302" s="55"/>
      <c r="J302" s="55"/>
      <c r="K302" s="55"/>
      <c r="L302" s="55"/>
      <c r="M302" s="55"/>
      <c r="N302" s="55"/>
      <c r="O302" s="55"/>
      <c r="P302" s="55"/>
      <c r="Q302" s="55"/>
      <c r="R302" s="55"/>
      <c r="S302" s="55"/>
      <c r="T302" s="55"/>
      <c r="U302" s="55"/>
      <c r="V302" s="55"/>
      <c r="W302" s="55"/>
      <c r="X302" s="55"/>
      <c r="Y302" s="55"/>
      <c r="Z302" s="55"/>
      <c r="AA302" s="55"/>
      <c r="AB302" s="55"/>
      <c r="AC302" s="55"/>
      <c r="AD302" s="55"/>
      <c r="AE302" s="55"/>
      <c r="AF302" s="55"/>
      <c r="AG302" s="55"/>
      <c r="AH302" s="55"/>
      <c r="AI302" s="55"/>
      <c r="AJ302" s="55"/>
      <c r="AK302" s="55"/>
      <c r="AL302" s="55"/>
      <c r="AM302" s="55"/>
      <c r="AN302" s="55"/>
      <c r="AO302" s="55"/>
      <c r="AP302" s="55"/>
      <c r="AQ302" s="55"/>
      <c r="AR302" s="55"/>
      <c r="AS302" s="55"/>
    </row>
    <row r="303" spans="1:45" x14ac:dyDescent="0.25">
      <c r="A303" s="55"/>
      <c r="B303" s="55"/>
      <c r="C303" s="55"/>
      <c r="D303" s="55"/>
      <c r="E303" s="55"/>
      <c r="F303" s="55"/>
      <c r="G303" s="55"/>
      <c r="H303" s="55"/>
      <c r="I303" s="55"/>
      <c r="J303" s="55"/>
      <c r="K303" s="55"/>
      <c r="L303" s="55"/>
      <c r="M303" s="55"/>
      <c r="N303" s="55"/>
      <c r="O303" s="55"/>
      <c r="P303" s="55"/>
      <c r="Q303" s="55"/>
      <c r="R303" s="55"/>
      <c r="S303" s="55"/>
      <c r="T303" s="55"/>
      <c r="U303" s="55"/>
      <c r="V303" s="55"/>
      <c r="W303" s="55"/>
      <c r="X303" s="55"/>
      <c r="Y303" s="55"/>
      <c r="Z303" s="55"/>
      <c r="AA303" s="55"/>
      <c r="AB303" s="55"/>
      <c r="AC303" s="55"/>
      <c r="AD303" s="55"/>
      <c r="AE303" s="55"/>
      <c r="AF303" s="55"/>
      <c r="AG303" s="55"/>
      <c r="AH303" s="55"/>
      <c r="AI303" s="55"/>
      <c r="AJ303" s="55"/>
      <c r="AK303" s="55"/>
      <c r="AL303" s="55"/>
      <c r="AM303" s="55"/>
      <c r="AN303" s="55"/>
      <c r="AO303" s="55"/>
      <c r="AP303" s="55"/>
      <c r="AQ303" s="55"/>
      <c r="AR303" s="55"/>
      <c r="AS303" s="55"/>
    </row>
    <row r="304" spans="1:45" x14ac:dyDescent="0.25">
      <c r="A304" s="55"/>
      <c r="B304" s="55"/>
      <c r="C304" s="55"/>
      <c r="D304" s="55"/>
      <c r="E304" s="55"/>
      <c r="F304" s="55"/>
      <c r="G304" s="55"/>
      <c r="H304" s="55"/>
      <c r="I304" s="55"/>
      <c r="J304" s="55"/>
      <c r="K304" s="55"/>
      <c r="L304" s="55"/>
      <c r="M304" s="55"/>
      <c r="N304" s="55"/>
      <c r="O304" s="55"/>
      <c r="P304" s="55"/>
      <c r="Q304" s="55"/>
      <c r="R304" s="55"/>
      <c r="S304" s="55"/>
      <c r="T304" s="55"/>
      <c r="U304" s="55"/>
      <c r="V304" s="55"/>
      <c r="W304" s="55"/>
      <c r="X304" s="55"/>
      <c r="Y304" s="55"/>
      <c r="Z304" s="55"/>
      <c r="AA304" s="55"/>
      <c r="AB304" s="55"/>
      <c r="AC304" s="55"/>
      <c r="AD304" s="55"/>
      <c r="AE304" s="55"/>
      <c r="AF304" s="55"/>
      <c r="AG304" s="55"/>
      <c r="AH304" s="55"/>
      <c r="AI304" s="55"/>
      <c r="AJ304" s="55"/>
      <c r="AK304" s="55"/>
      <c r="AL304" s="55"/>
      <c r="AM304" s="55"/>
      <c r="AN304" s="55"/>
      <c r="AO304" s="55"/>
      <c r="AP304" s="55"/>
      <c r="AQ304" s="55"/>
      <c r="AR304" s="55"/>
      <c r="AS304" s="55"/>
    </row>
    <row r="305" spans="1:45" x14ac:dyDescent="0.25">
      <c r="A305" s="55"/>
      <c r="B305" s="55"/>
      <c r="C305" s="55"/>
      <c r="D305" s="55"/>
      <c r="E305" s="55"/>
      <c r="F305" s="55"/>
      <c r="G305" s="55"/>
      <c r="H305" s="55"/>
      <c r="I305" s="55"/>
      <c r="J305" s="55"/>
      <c r="K305" s="55"/>
      <c r="L305" s="55"/>
      <c r="M305" s="55"/>
      <c r="N305" s="55"/>
      <c r="O305" s="55"/>
      <c r="P305" s="55"/>
      <c r="Q305" s="55"/>
      <c r="R305" s="55"/>
      <c r="S305" s="55"/>
      <c r="T305" s="55"/>
      <c r="U305" s="55"/>
      <c r="V305" s="55"/>
      <c r="W305" s="55"/>
      <c r="X305" s="55"/>
      <c r="Y305" s="55"/>
      <c r="Z305" s="55"/>
      <c r="AA305" s="55"/>
      <c r="AB305" s="55"/>
      <c r="AC305" s="55"/>
      <c r="AD305" s="55"/>
      <c r="AE305" s="55"/>
      <c r="AF305" s="55"/>
      <c r="AG305" s="55"/>
      <c r="AH305" s="55"/>
      <c r="AI305" s="55"/>
      <c r="AJ305" s="55"/>
      <c r="AK305" s="55"/>
      <c r="AL305" s="55"/>
      <c r="AM305" s="55"/>
      <c r="AN305" s="55"/>
      <c r="AO305" s="55"/>
      <c r="AP305" s="55"/>
      <c r="AQ305" s="55"/>
      <c r="AR305" s="55"/>
      <c r="AS305" s="55"/>
    </row>
    <row r="306" spans="1:45" x14ac:dyDescent="0.25">
      <c r="A306" s="55"/>
      <c r="B306" s="55"/>
      <c r="C306" s="55"/>
      <c r="D306" s="55"/>
      <c r="E306" s="55"/>
      <c r="F306" s="55"/>
      <c r="G306" s="55"/>
      <c r="H306" s="55"/>
      <c r="I306" s="55"/>
      <c r="J306" s="55"/>
      <c r="K306" s="55"/>
      <c r="L306" s="55"/>
      <c r="M306" s="55"/>
      <c r="N306" s="55"/>
      <c r="O306" s="55"/>
      <c r="P306" s="55"/>
      <c r="Q306" s="55"/>
      <c r="R306" s="55"/>
      <c r="S306" s="55"/>
      <c r="T306" s="55"/>
      <c r="U306" s="55"/>
      <c r="V306" s="55"/>
      <c r="W306" s="55"/>
      <c r="X306" s="55"/>
      <c r="Y306" s="55"/>
      <c r="Z306" s="55"/>
      <c r="AA306" s="55"/>
      <c r="AB306" s="55"/>
      <c r="AC306" s="55"/>
      <c r="AD306" s="55"/>
      <c r="AE306" s="55"/>
      <c r="AF306" s="55"/>
      <c r="AG306" s="55"/>
      <c r="AH306" s="55"/>
      <c r="AI306" s="55"/>
      <c r="AJ306" s="55"/>
      <c r="AK306" s="55"/>
      <c r="AL306" s="55"/>
      <c r="AM306" s="55"/>
      <c r="AN306" s="55"/>
      <c r="AO306" s="55"/>
      <c r="AP306" s="55"/>
      <c r="AQ306" s="55"/>
      <c r="AR306" s="55"/>
      <c r="AS306" s="55"/>
    </row>
    <row r="307" spans="1:45" x14ac:dyDescent="0.25">
      <c r="A307" s="55"/>
      <c r="B307" s="55"/>
      <c r="C307" s="55"/>
      <c r="D307" s="55"/>
      <c r="E307" s="55"/>
      <c r="F307" s="55"/>
      <c r="G307" s="55"/>
      <c r="H307" s="55"/>
      <c r="I307" s="55"/>
      <c r="J307" s="55"/>
      <c r="K307" s="55"/>
      <c r="L307" s="55"/>
      <c r="M307" s="55"/>
      <c r="N307" s="55"/>
      <c r="O307" s="55"/>
      <c r="P307" s="55"/>
      <c r="Q307" s="55"/>
      <c r="R307" s="55"/>
      <c r="S307" s="55"/>
      <c r="T307" s="55"/>
      <c r="U307" s="55"/>
      <c r="V307" s="55"/>
      <c r="W307" s="55"/>
      <c r="X307" s="55"/>
      <c r="Y307" s="55"/>
      <c r="Z307" s="55"/>
      <c r="AA307" s="55"/>
      <c r="AB307" s="55"/>
      <c r="AC307" s="55"/>
      <c r="AD307" s="55"/>
      <c r="AE307" s="55"/>
      <c r="AF307" s="55"/>
      <c r="AG307" s="55"/>
      <c r="AH307" s="55"/>
      <c r="AI307" s="55"/>
      <c r="AJ307" s="55"/>
      <c r="AK307" s="55"/>
      <c r="AL307" s="55"/>
      <c r="AM307" s="55"/>
      <c r="AN307" s="55"/>
      <c r="AO307" s="55"/>
      <c r="AP307" s="55"/>
      <c r="AQ307" s="55"/>
      <c r="AR307" s="55"/>
      <c r="AS307" s="55"/>
    </row>
    <row r="308" spans="1:45" x14ac:dyDescent="0.25">
      <c r="A308" s="55"/>
      <c r="B308" s="55"/>
      <c r="C308" s="55"/>
      <c r="D308" s="55"/>
      <c r="E308" s="55"/>
      <c r="F308" s="55"/>
      <c r="G308" s="55"/>
      <c r="H308" s="55"/>
      <c r="I308" s="55"/>
      <c r="J308" s="55"/>
      <c r="K308" s="55"/>
      <c r="L308" s="55"/>
      <c r="M308" s="55"/>
      <c r="N308" s="55"/>
      <c r="O308" s="55"/>
      <c r="P308" s="55"/>
      <c r="Q308" s="55"/>
      <c r="R308" s="55"/>
      <c r="S308" s="55"/>
      <c r="T308" s="55"/>
      <c r="U308" s="55"/>
      <c r="V308" s="55"/>
      <c r="W308" s="55"/>
      <c r="X308" s="55"/>
      <c r="Y308" s="55"/>
      <c r="Z308" s="55"/>
      <c r="AA308" s="55"/>
      <c r="AB308" s="55"/>
      <c r="AC308" s="55"/>
      <c r="AD308" s="55"/>
      <c r="AE308" s="55"/>
      <c r="AF308" s="55"/>
      <c r="AG308" s="55"/>
      <c r="AH308" s="55"/>
      <c r="AI308" s="55"/>
      <c r="AJ308" s="55"/>
      <c r="AK308" s="55"/>
      <c r="AL308" s="55"/>
      <c r="AM308" s="55"/>
      <c r="AN308" s="55"/>
      <c r="AO308" s="55"/>
      <c r="AP308" s="55"/>
      <c r="AQ308" s="55"/>
      <c r="AR308" s="55"/>
      <c r="AS308" s="55"/>
    </row>
    <row r="309" spans="1:45" x14ac:dyDescent="0.25">
      <c r="A309" s="55"/>
      <c r="B309" s="55"/>
      <c r="C309" s="55"/>
      <c r="D309" s="55"/>
      <c r="E309" s="55"/>
      <c r="F309" s="55"/>
      <c r="G309" s="55"/>
      <c r="H309" s="55"/>
      <c r="I309" s="55"/>
      <c r="J309" s="55"/>
      <c r="K309" s="55"/>
      <c r="L309" s="55"/>
      <c r="M309" s="55"/>
      <c r="N309" s="55"/>
      <c r="O309" s="55"/>
      <c r="P309" s="55"/>
      <c r="Q309" s="55"/>
      <c r="R309" s="55"/>
      <c r="S309" s="55"/>
      <c r="T309" s="55"/>
      <c r="U309" s="55"/>
      <c r="V309" s="55"/>
      <c r="W309" s="55"/>
      <c r="X309" s="55"/>
      <c r="Y309" s="55"/>
      <c r="Z309" s="55"/>
      <c r="AA309" s="55"/>
      <c r="AB309" s="55"/>
      <c r="AC309" s="55"/>
      <c r="AD309" s="55"/>
      <c r="AE309" s="55"/>
      <c r="AF309" s="55"/>
      <c r="AG309" s="55"/>
      <c r="AH309" s="55"/>
      <c r="AI309" s="55"/>
      <c r="AJ309" s="55"/>
      <c r="AK309" s="55"/>
      <c r="AL309" s="55"/>
      <c r="AM309" s="55"/>
      <c r="AN309" s="55"/>
      <c r="AO309" s="55"/>
      <c r="AP309" s="55"/>
      <c r="AQ309" s="55"/>
      <c r="AR309" s="55"/>
      <c r="AS309" s="55"/>
    </row>
    <row r="310" spans="1:45" x14ac:dyDescent="0.25">
      <c r="A310" s="55"/>
      <c r="B310" s="55"/>
      <c r="C310" s="55"/>
      <c r="D310" s="55"/>
      <c r="E310" s="55"/>
      <c r="F310" s="55"/>
      <c r="G310" s="55"/>
      <c r="H310" s="55"/>
      <c r="I310" s="55"/>
      <c r="J310" s="55"/>
      <c r="K310" s="55"/>
      <c r="L310" s="55"/>
      <c r="M310" s="55"/>
      <c r="N310" s="55"/>
      <c r="O310" s="55"/>
      <c r="P310" s="55"/>
      <c r="Q310" s="55"/>
      <c r="R310" s="55"/>
      <c r="S310" s="55"/>
      <c r="T310" s="55"/>
      <c r="U310" s="55"/>
      <c r="V310" s="55"/>
      <c r="W310" s="55"/>
      <c r="X310" s="55"/>
      <c r="Y310" s="55"/>
      <c r="Z310" s="55"/>
      <c r="AA310" s="55"/>
      <c r="AB310" s="55"/>
      <c r="AC310" s="55"/>
      <c r="AD310" s="55"/>
      <c r="AE310" s="55"/>
      <c r="AF310" s="55"/>
      <c r="AG310" s="55"/>
      <c r="AH310" s="55"/>
      <c r="AI310" s="55"/>
      <c r="AJ310" s="55"/>
      <c r="AK310" s="55"/>
      <c r="AL310" s="55"/>
      <c r="AM310" s="55"/>
      <c r="AN310" s="55"/>
      <c r="AO310" s="55"/>
      <c r="AP310" s="55"/>
      <c r="AQ310" s="55"/>
      <c r="AR310" s="55"/>
      <c r="AS310" s="55"/>
    </row>
    <row r="311" spans="1:45" x14ac:dyDescent="0.25">
      <c r="A311" s="55"/>
      <c r="B311" s="55"/>
      <c r="C311" s="55"/>
      <c r="D311" s="55"/>
      <c r="E311" s="55"/>
      <c r="F311" s="55"/>
      <c r="G311" s="55"/>
      <c r="H311" s="55"/>
      <c r="I311" s="55"/>
      <c r="J311" s="55"/>
      <c r="K311" s="55"/>
      <c r="L311" s="55"/>
      <c r="M311" s="55"/>
      <c r="N311" s="55"/>
      <c r="O311" s="55"/>
      <c r="P311" s="55"/>
      <c r="Q311" s="55"/>
      <c r="R311" s="55"/>
      <c r="S311" s="55"/>
      <c r="T311" s="55"/>
      <c r="U311" s="55"/>
      <c r="V311" s="55"/>
      <c r="W311" s="55"/>
      <c r="X311" s="55"/>
      <c r="Y311" s="55"/>
      <c r="Z311" s="55"/>
      <c r="AA311" s="55"/>
      <c r="AB311" s="55"/>
      <c r="AC311" s="55"/>
      <c r="AD311" s="55"/>
      <c r="AE311" s="55"/>
      <c r="AF311" s="55"/>
      <c r="AG311" s="55"/>
      <c r="AH311" s="55"/>
      <c r="AI311" s="55"/>
      <c r="AJ311" s="55"/>
      <c r="AK311" s="55"/>
      <c r="AL311" s="55"/>
      <c r="AM311" s="55"/>
      <c r="AN311" s="55"/>
      <c r="AO311" s="55"/>
      <c r="AP311" s="55"/>
      <c r="AQ311" s="55"/>
      <c r="AR311" s="55"/>
      <c r="AS311" s="55"/>
    </row>
    <row r="312" spans="1:45" x14ac:dyDescent="0.25">
      <c r="A312" s="55"/>
      <c r="B312" s="55"/>
      <c r="C312" s="55"/>
      <c r="D312" s="55"/>
      <c r="E312" s="55"/>
      <c r="F312" s="55"/>
      <c r="G312" s="55"/>
      <c r="H312" s="55"/>
      <c r="I312" s="55"/>
      <c r="J312" s="55"/>
      <c r="K312" s="55"/>
      <c r="L312" s="55"/>
      <c r="M312" s="55"/>
      <c r="N312" s="55"/>
      <c r="O312" s="55"/>
      <c r="P312" s="55"/>
      <c r="Q312" s="55"/>
      <c r="R312" s="55"/>
      <c r="S312" s="55"/>
      <c r="T312" s="55"/>
      <c r="U312" s="55"/>
      <c r="V312" s="55"/>
      <c r="W312" s="55"/>
      <c r="X312" s="55"/>
      <c r="Y312" s="55"/>
      <c r="Z312" s="55"/>
      <c r="AA312" s="55"/>
      <c r="AB312" s="55"/>
      <c r="AC312" s="55"/>
      <c r="AD312" s="55"/>
      <c r="AE312" s="55"/>
      <c r="AF312" s="55"/>
      <c r="AG312" s="55"/>
      <c r="AH312" s="55"/>
      <c r="AI312" s="55"/>
      <c r="AJ312" s="55"/>
      <c r="AK312" s="55"/>
      <c r="AL312" s="55"/>
      <c r="AM312" s="55"/>
      <c r="AN312" s="55"/>
      <c r="AO312" s="55"/>
      <c r="AP312" s="55"/>
      <c r="AQ312" s="55"/>
      <c r="AR312" s="55"/>
      <c r="AS312" s="55"/>
    </row>
    <row r="313" spans="1:45" x14ac:dyDescent="0.25">
      <c r="A313" s="55"/>
      <c r="B313" s="55"/>
      <c r="C313" s="55"/>
      <c r="D313" s="55"/>
      <c r="E313" s="55"/>
      <c r="F313" s="55"/>
      <c r="G313" s="55"/>
      <c r="H313" s="55"/>
      <c r="I313" s="55"/>
      <c r="J313" s="55"/>
      <c r="K313" s="55"/>
      <c r="L313" s="55"/>
      <c r="M313" s="55"/>
      <c r="N313" s="55"/>
      <c r="O313" s="55"/>
      <c r="P313" s="55"/>
      <c r="Q313" s="55"/>
      <c r="R313" s="55"/>
      <c r="S313" s="55"/>
      <c r="T313" s="55"/>
      <c r="U313" s="55"/>
      <c r="V313" s="55"/>
      <c r="W313" s="55"/>
      <c r="X313" s="55"/>
      <c r="Y313" s="55"/>
      <c r="Z313" s="55"/>
      <c r="AA313" s="55"/>
      <c r="AB313" s="55"/>
      <c r="AC313" s="55"/>
      <c r="AD313" s="55"/>
      <c r="AE313" s="55"/>
      <c r="AF313" s="55"/>
      <c r="AG313" s="55"/>
      <c r="AH313" s="55"/>
      <c r="AI313" s="55"/>
      <c r="AJ313" s="55"/>
      <c r="AK313" s="55"/>
      <c r="AL313" s="55"/>
      <c r="AM313" s="55"/>
      <c r="AN313" s="55"/>
      <c r="AO313" s="55"/>
      <c r="AP313" s="55"/>
      <c r="AQ313" s="55"/>
      <c r="AR313" s="55"/>
      <c r="AS313" s="55"/>
    </row>
    <row r="314" spans="1:45" x14ac:dyDescent="0.25">
      <c r="A314" s="55"/>
      <c r="B314" s="55"/>
      <c r="C314" s="55"/>
      <c r="D314" s="55"/>
      <c r="E314" s="55"/>
      <c r="F314" s="55"/>
      <c r="G314" s="55"/>
      <c r="H314" s="55"/>
      <c r="I314" s="55"/>
      <c r="J314" s="55"/>
      <c r="K314" s="55"/>
      <c r="L314" s="55"/>
      <c r="M314" s="55"/>
      <c r="N314" s="55"/>
      <c r="O314" s="55"/>
      <c r="P314" s="55"/>
      <c r="Q314" s="55"/>
      <c r="R314" s="55"/>
      <c r="S314" s="55"/>
      <c r="T314" s="55"/>
      <c r="U314" s="55"/>
      <c r="V314" s="55"/>
      <c r="W314" s="55"/>
      <c r="X314" s="55"/>
      <c r="Y314" s="55"/>
      <c r="Z314" s="55"/>
      <c r="AA314" s="55"/>
      <c r="AB314" s="55"/>
      <c r="AC314" s="55"/>
      <c r="AD314" s="55"/>
      <c r="AE314" s="55"/>
      <c r="AF314" s="55"/>
      <c r="AG314" s="55"/>
      <c r="AH314" s="55"/>
      <c r="AI314" s="55"/>
      <c r="AJ314" s="55"/>
      <c r="AK314" s="55"/>
      <c r="AL314" s="55"/>
      <c r="AM314" s="55"/>
      <c r="AN314" s="55"/>
      <c r="AO314" s="55"/>
      <c r="AP314" s="55"/>
      <c r="AQ314" s="55"/>
      <c r="AR314" s="55"/>
      <c r="AS314" s="55"/>
    </row>
    <row r="315" spans="1:45" x14ac:dyDescent="0.25">
      <c r="A315" s="55"/>
      <c r="B315" s="55"/>
      <c r="C315" s="55"/>
      <c r="D315" s="55"/>
      <c r="E315" s="55"/>
      <c r="F315" s="55"/>
      <c r="G315" s="55"/>
      <c r="H315" s="55"/>
      <c r="I315" s="55"/>
      <c r="J315" s="55"/>
      <c r="K315" s="55"/>
      <c r="L315" s="55"/>
      <c r="M315" s="55"/>
      <c r="N315" s="55"/>
      <c r="O315" s="55"/>
      <c r="P315" s="55"/>
      <c r="Q315" s="55"/>
      <c r="R315" s="55"/>
      <c r="S315" s="55"/>
      <c r="T315" s="55"/>
      <c r="U315" s="55"/>
      <c r="V315" s="55"/>
      <c r="W315" s="55"/>
      <c r="X315" s="55"/>
      <c r="Y315" s="55"/>
      <c r="Z315" s="55"/>
      <c r="AA315" s="55"/>
      <c r="AB315" s="55"/>
      <c r="AC315" s="55"/>
      <c r="AD315" s="55"/>
      <c r="AE315" s="55"/>
      <c r="AF315" s="55"/>
      <c r="AG315" s="55"/>
      <c r="AH315" s="55"/>
      <c r="AI315" s="55"/>
      <c r="AJ315" s="55"/>
      <c r="AK315" s="55"/>
      <c r="AL315" s="55"/>
      <c r="AM315" s="55"/>
      <c r="AN315" s="55"/>
      <c r="AO315" s="55"/>
      <c r="AP315" s="55"/>
      <c r="AQ315" s="55"/>
      <c r="AR315" s="55"/>
      <c r="AS315" s="55"/>
    </row>
    <row r="316" spans="1:45" x14ac:dyDescent="0.25">
      <c r="A316" s="55"/>
      <c r="B316" s="55"/>
      <c r="C316" s="55"/>
      <c r="D316" s="55"/>
      <c r="E316" s="55"/>
      <c r="F316" s="55"/>
      <c r="G316" s="55"/>
      <c r="H316" s="55"/>
      <c r="I316" s="55"/>
      <c r="J316" s="55"/>
      <c r="K316" s="55"/>
      <c r="L316" s="55"/>
      <c r="M316" s="55"/>
      <c r="N316" s="55"/>
      <c r="O316" s="55"/>
      <c r="P316" s="55"/>
      <c r="Q316" s="55"/>
      <c r="R316" s="55"/>
      <c r="S316" s="55"/>
      <c r="T316" s="55"/>
      <c r="U316" s="55"/>
      <c r="V316" s="55"/>
      <c r="W316" s="55"/>
      <c r="X316" s="55"/>
      <c r="Y316" s="55"/>
      <c r="Z316" s="55"/>
      <c r="AA316" s="55"/>
      <c r="AB316" s="55"/>
      <c r="AC316" s="55"/>
      <c r="AD316" s="55"/>
      <c r="AE316" s="55"/>
      <c r="AF316" s="55"/>
      <c r="AG316" s="55"/>
      <c r="AH316" s="55"/>
      <c r="AI316" s="55"/>
      <c r="AJ316" s="55"/>
      <c r="AK316" s="55"/>
      <c r="AL316" s="55"/>
      <c r="AM316" s="55"/>
      <c r="AN316" s="55"/>
      <c r="AO316" s="55"/>
      <c r="AP316" s="55"/>
      <c r="AQ316" s="55"/>
      <c r="AR316" s="55"/>
      <c r="AS316" s="55"/>
    </row>
    <row r="317" spans="1:45" x14ac:dyDescent="0.25">
      <c r="A317" s="55"/>
      <c r="B317" s="55"/>
      <c r="C317" s="55"/>
      <c r="D317" s="55"/>
      <c r="E317" s="55"/>
      <c r="F317" s="55"/>
      <c r="G317" s="55"/>
      <c r="H317" s="55"/>
      <c r="I317" s="55"/>
      <c r="J317" s="55"/>
      <c r="K317" s="55"/>
      <c r="L317" s="55"/>
      <c r="M317" s="55"/>
      <c r="N317" s="55"/>
      <c r="O317" s="55"/>
      <c r="P317" s="55"/>
      <c r="Q317" s="55"/>
      <c r="R317" s="55"/>
      <c r="S317" s="55"/>
      <c r="T317" s="55"/>
      <c r="U317" s="55"/>
      <c r="V317" s="55"/>
      <c r="W317" s="55"/>
      <c r="X317" s="55"/>
      <c r="Y317" s="55"/>
      <c r="Z317" s="55"/>
      <c r="AA317" s="55"/>
      <c r="AB317" s="55"/>
      <c r="AC317" s="55"/>
      <c r="AD317" s="55"/>
      <c r="AE317" s="55"/>
      <c r="AF317" s="55"/>
      <c r="AG317" s="55"/>
      <c r="AH317" s="55"/>
      <c r="AI317" s="55"/>
      <c r="AJ317" s="55"/>
      <c r="AK317" s="55"/>
      <c r="AL317" s="55"/>
      <c r="AM317" s="55"/>
      <c r="AN317" s="55"/>
      <c r="AO317" s="55"/>
      <c r="AP317" s="55"/>
      <c r="AQ317" s="55"/>
      <c r="AR317" s="55"/>
      <c r="AS317" s="55"/>
    </row>
    <row r="318" spans="1:45" x14ac:dyDescent="0.25">
      <c r="A318" s="55"/>
      <c r="B318" s="55"/>
      <c r="C318" s="55"/>
      <c r="D318" s="55"/>
      <c r="E318" s="55"/>
      <c r="F318" s="55"/>
      <c r="G318" s="55"/>
      <c r="H318" s="55"/>
      <c r="I318" s="55"/>
      <c r="J318" s="55"/>
      <c r="K318" s="55"/>
      <c r="L318" s="55"/>
      <c r="M318" s="55"/>
      <c r="N318" s="55"/>
      <c r="O318" s="55"/>
      <c r="P318" s="55"/>
      <c r="Q318" s="55"/>
      <c r="R318" s="55"/>
      <c r="S318" s="55"/>
      <c r="T318" s="55"/>
      <c r="U318" s="55"/>
      <c r="V318" s="55"/>
      <c r="W318" s="55"/>
      <c r="X318" s="55"/>
      <c r="Y318" s="55"/>
      <c r="Z318" s="55"/>
      <c r="AA318" s="55"/>
      <c r="AB318" s="55"/>
      <c r="AC318" s="55"/>
      <c r="AD318" s="55"/>
      <c r="AE318" s="55"/>
      <c r="AF318" s="55"/>
      <c r="AG318" s="55"/>
      <c r="AH318" s="55"/>
      <c r="AI318" s="55"/>
      <c r="AJ318" s="55"/>
      <c r="AK318" s="55"/>
      <c r="AL318" s="55"/>
      <c r="AM318" s="55"/>
      <c r="AN318" s="55"/>
      <c r="AO318" s="55"/>
      <c r="AP318" s="55"/>
      <c r="AQ318" s="55"/>
      <c r="AR318" s="55"/>
      <c r="AS318" s="55"/>
    </row>
    <row r="319" spans="1:45" x14ac:dyDescent="0.25">
      <c r="A319" s="55"/>
      <c r="B319" s="55"/>
      <c r="C319" s="55"/>
      <c r="D319" s="55"/>
      <c r="E319" s="55"/>
      <c r="F319" s="55"/>
      <c r="G319" s="55"/>
      <c r="H319" s="55"/>
      <c r="I319" s="55"/>
      <c r="J319" s="55"/>
      <c r="K319" s="55"/>
      <c r="L319" s="55"/>
      <c r="M319" s="55"/>
      <c r="N319" s="55"/>
      <c r="O319" s="55"/>
      <c r="P319" s="55"/>
      <c r="Q319" s="55"/>
      <c r="R319" s="55"/>
      <c r="S319" s="55"/>
      <c r="T319" s="55"/>
      <c r="U319" s="55"/>
      <c r="V319" s="55"/>
      <c r="W319" s="55"/>
      <c r="X319" s="55"/>
      <c r="Y319" s="55"/>
      <c r="Z319" s="55"/>
      <c r="AA319" s="55"/>
      <c r="AB319" s="55"/>
      <c r="AC319" s="55"/>
      <c r="AD319" s="55"/>
      <c r="AE319" s="55"/>
      <c r="AF319" s="55"/>
      <c r="AG319" s="55"/>
      <c r="AH319" s="55"/>
      <c r="AI319" s="55"/>
      <c r="AJ319" s="55"/>
      <c r="AK319" s="55"/>
      <c r="AL319" s="55"/>
      <c r="AM319" s="55"/>
      <c r="AN319" s="55"/>
      <c r="AO319" s="55"/>
      <c r="AP319" s="55"/>
      <c r="AQ319" s="55"/>
      <c r="AR319" s="55"/>
      <c r="AS319" s="55"/>
    </row>
    <row r="320" spans="1:45" x14ac:dyDescent="0.25">
      <c r="A320" s="55"/>
      <c r="B320" s="55"/>
      <c r="C320" s="55"/>
      <c r="D320" s="55"/>
      <c r="E320" s="55"/>
      <c r="F320" s="55"/>
      <c r="G320" s="55"/>
      <c r="H320" s="55"/>
      <c r="I320" s="55"/>
      <c r="J320" s="55"/>
      <c r="K320" s="55"/>
      <c r="L320" s="55"/>
      <c r="M320" s="55"/>
      <c r="N320" s="55"/>
      <c r="O320" s="55"/>
      <c r="P320" s="55"/>
      <c r="Q320" s="55"/>
      <c r="R320" s="55"/>
      <c r="S320" s="55"/>
      <c r="T320" s="55"/>
      <c r="U320" s="55"/>
      <c r="V320" s="55"/>
      <c r="W320" s="55"/>
      <c r="X320" s="55"/>
      <c r="Y320" s="55"/>
      <c r="Z320" s="55"/>
      <c r="AA320" s="55"/>
      <c r="AB320" s="55"/>
      <c r="AC320" s="55"/>
      <c r="AD320" s="55"/>
      <c r="AE320" s="55"/>
      <c r="AF320" s="55"/>
      <c r="AG320" s="55"/>
      <c r="AH320" s="55"/>
      <c r="AI320" s="55"/>
      <c r="AJ320" s="55"/>
      <c r="AK320" s="55"/>
      <c r="AL320" s="55"/>
      <c r="AM320" s="55"/>
      <c r="AN320" s="55"/>
      <c r="AO320" s="55"/>
      <c r="AP320" s="55"/>
      <c r="AQ320" s="55"/>
      <c r="AR320" s="55"/>
      <c r="AS320" s="55"/>
    </row>
    <row r="321" spans="1:45" x14ac:dyDescent="0.25">
      <c r="A321" s="55"/>
      <c r="B321" s="55"/>
      <c r="C321" s="55"/>
      <c r="D321" s="55"/>
      <c r="E321" s="55"/>
      <c r="F321" s="55"/>
      <c r="G321" s="55"/>
      <c r="H321" s="55"/>
      <c r="I321" s="55"/>
      <c r="J321" s="55"/>
      <c r="K321" s="55"/>
      <c r="L321" s="55"/>
      <c r="M321" s="55"/>
      <c r="N321" s="55"/>
      <c r="O321" s="55"/>
      <c r="P321" s="55"/>
      <c r="Q321" s="55"/>
      <c r="R321" s="55"/>
      <c r="S321" s="55"/>
      <c r="T321" s="55"/>
      <c r="U321" s="55"/>
      <c r="V321" s="55"/>
      <c r="W321" s="55"/>
      <c r="X321" s="55"/>
      <c r="Y321" s="55"/>
      <c r="Z321" s="55"/>
      <c r="AA321" s="55"/>
      <c r="AB321" s="55"/>
      <c r="AC321" s="55"/>
      <c r="AD321" s="55"/>
      <c r="AE321" s="55"/>
      <c r="AF321" s="55"/>
      <c r="AG321" s="55"/>
      <c r="AH321" s="55"/>
      <c r="AI321" s="55"/>
      <c r="AJ321" s="55"/>
      <c r="AK321" s="55"/>
      <c r="AL321" s="55"/>
      <c r="AM321" s="55"/>
      <c r="AN321" s="55"/>
      <c r="AO321" s="55"/>
      <c r="AP321" s="55"/>
      <c r="AQ321" s="55"/>
      <c r="AR321" s="55"/>
      <c r="AS321" s="55"/>
    </row>
    <row r="322" spans="1:45" x14ac:dyDescent="0.25">
      <c r="A322" s="55"/>
      <c r="B322" s="55"/>
      <c r="C322" s="55"/>
      <c r="D322" s="55"/>
      <c r="E322" s="55"/>
      <c r="F322" s="55"/>
      <c r="G322" s="55"/>
      <c r="H322" s="55"/>
      <c r="I322" s="55"/>
      <c r="J322" s="55"/>
      <c r="K322" s="55"/>
      <c r="L322" s="55"/>
      <c r="M322" s="55"/>
      <c r="N322" s="55"/>
      <c r="O322" s="55"/>
      <c r="P322" s="55"/>
      <c r="Q322" s="55"/>
      <c r="R322" s="55"/>
      <c r="S322" s="55"/>
      <c r="T322" s="55"/>
      <c r="U322" s="55"/>
      <c r="V322" s="55"/>
      <c r="W322" s="55"/>
      <c r="X322" s="55"/>
      <c r="Y322" s="55"/>
      <c r="Z322" s="55"/>
      <c r="AA322" s="55"/>
      <c r="AB322" s="55"/>
      <c r="AC322" s="55"/>
      <c r="AD322" s="55"/>
      <c r="AE322" s="55"/>
      <c r="AF322" s="55"/>
      <c r="AG322" s="55"/>
      <c r="AH322" s="55"/>
      <c r="AI322" s="55"/>
      <c r="AJ322" s="55"/>
      <c r="AK322" s="55"/>
      <c r="AL322" s="55"/>
      <c r="AM322" s="55"/>
      <c r="AN322" s="55"/>
      <c r="AO322" s="55"/>
      <c r="AP322" s="55"/>
      <c r="AQ322" s="55"/>
      <c r="AR322" s="55"/>
      <c r="AS322" s="55"/>
    </row>
    <row r="323" spans="1:45" x14ac:dyDescent="0.25">
      <c r="A323" s="55"/>
      <c r="B323" s="55"/>
      <c r="C323" s="55"/>
      <c r="D323" s="55"/>
      <c r="E323" s="55"/>
      <c r="F323" s="55"/>
      <c r="G323" s="55"/>
      <c r="H323" s="55"/>
      <c r="I323" s="55"/>
      <c r="J323" s="55"/>
      <c r="K323" s="55"/>
      <c r="L323" s="55"/>
      <c r="M323" s="55"/>
      <c r="N323" s="55"/>
      <c r="O323" s="55"/>
      <c r="P323" s="55"/>
      <c r="Q323" s="55"/>
      <c r="R323" s="55"/>
      <c r="S323" s="55"/>
      <c r="T323" s="55"/>
      <c r="U323" s="55"/>
      <c r="V323" s="55"/>
      <c r="W323" s="55"/>
      <c r="X323" s="55"/>
      <c r="Y323" s="55"/>
      <c r="Z323" s="55"/>
      <c r="AA323" s="55"/>
      <c r="AB323" s="55"/>
      <c r="AC323" s="55"/>
      <c r="AD323" s="55"/>
      <c r="AE323" s="55"/>
      <c r="AF323" s="55"/>
      <c r="AG323" s="55"/>
      <c r="AH323" s="55"/>
      <c r="AI323" s="55"/>
      <c r="AJ323" s="55"/>
      <c r="AK323" s="55"/>
      <c r="AL323" s="55"/>
      <c r="AM323" s="55"/>
      <c r="AN323" s="55"/>
      <c r="AO323" s="55"/>
      <c r="AP323" s="55"/>
      <c r="AQ323" s="55"/>
      <c r="AR323" s="55"/>
      <c r="AS323" s="55"/>
    </row>
    <row r="324" spans="1:45" x14ac:dyDescent="0.25">
      <c r="A324" s="55"/>
      <c r="B324" s="55"/>
      <c r="C324" s="55"/>
      <c r="D324" s="55"/>
      <c r="E324" s="55"/>
      <c r="F324" s="55"/>
      <c r="G324" s="55"/>
      <c r="H324" s="55"/>
      <c r="I324" s="55"/>
      <c r="J324" s="55"/>
      <c r="K324" s="55"/>
      <c r="L324" s="55"/>
      <c r="M324" s="55"/>
      <c r="N324" s="55"/>
      <c r="O324" s="55"/>
      <c r="P324" s="55"/>
      <c r="Q324" s="55"/>
      <c r="R324" s="55"/>
      <c r="S324" s="55"/>
      <c r="T324" s="55"/>
      <c r="U324" s="55"/>
      <c r="V324" s="55"/>
      <c r="W324" s="55"/>
      <c r="X324" s="55"/>
      <c r="Y324" s="55"/>
      <c r="Z324" s="55"/>
      <c r="AA324" s="55"/>
      <c r="AB324" s="55"/>
      <c r="AC324" s="55"/>
      <c r="AD324" s="55"/>
      <c r="AE324" s="55"/>
      <c r="AF324" s="55"/>
      <c r="AG324" s="55"/>
      <c r="AH324" s="55"/>
      <c r="AI324" s="55"/>
      <c r="AJ324" s="55"/>
      <c r="AK324" s="55"/>
      <c r="AL324" s="55"/>
      <c r="AM324" s="55"/>
      <c r="AN324" s="55"/>
      <c r="AO324" s="55"/>
      <c r="AP324" s="55"/>
      <c r="AQ324" s="55"/>
      <c r="AR324" s="55"/>
      <c r="AS324" s="55"/>
    </row>
    <row r="325" spans="1:45" x14ac:dyDescent="0.25">
      <c r="A325" s="55"/>
      <c r="B325" s="55"/>
      <c r="C325" s="55"/>
      <c r="D325" s="55"/>
      <c r="E325" s="55"/>
      <c r="F325" s="55"/>
      <c r="G325" s="55"/>
      <c r="H325" s="55"/>
      <c r="I325" s="55"/>
      <c r="J325" s="55"/>
      <c r="K325" s="55"/>
      <c r="L325" s="55"/>
      <c r="M325" s="55"/>
      <c r="N325" s="55"/>
      <c r="O325" s="55"/>
      <c r="P325" s="55"/>
      <c r="Q325" s="55"/>
      <c r="R325" s="55"/>
      <c r="S325" s="55"/>
      <c r="T325" s="55"/>
      <c r="U325" s="55"/>
      <c r="V325" s="55"/>
      <c r="W325" s="55"/>
      <c r="X325" s="55"/>
      <c r="Y325" s="55"/>
      <c r="Z325" s="55"/>
      <c r="AA325" s="55"/>
      <c r="AB325" s="55"/>
      <c r="AC325" s="55"/>
      <c r="AD325" s="55"/>
      <c r="AE325" s="55"/>
      <c r="AF325" s="55"/>
      <c r="AG325" s="55"/>
      <c r="AH325" s="55"/>
      <c r="AI325" s="55"/>
      <c r="AJ325" s="55"/>
      <c r="AK325" s="55"/>
      <c r="AL325" s="55"/>
      <c r="AM325" s="55"/>
      <c r="AN325" s="55"/>
      <c r="AO325" s="55"/>
      <c r="AP325" s="55"/>
      <c r="AQ325" s="55"/>
      <c r="AR325" s="55"/>
      <c r="AS325" s="55"/>
    </row>
    <row r="326" spans="1:45" x14ac:dyDescent="0.25">
      <c r="A326" s="55"/>
      <c r="B326" s="55"/>
      <c r="C326" s="55"/>
      <c r="D326" s="55"/>
      <c r="E326" s="55"/>
      <c r="F326" s="55"/>
      <c r="G326" s="55"/>
      <c r="H326" s="55"/>
      <c r="I326" s="55"/>
      <c r="J326" s="55"/>
      <c r="K326" s="55"/>
      <c r="L326" s="55"/>
      <c r="M326" s="55"/>
      <c r="N326" s="55"/>
      <c r="O326" s="55"/>
      <c r="P326" s="55"/>
      <c r="Q326" s="55"/>
      <c r="R326" s="55"/>
      <c r="S326" s="55"/>
      <c r="T326" s="55"/>
      <c r="U326" s="55"/>
      <c r="V326" s="55"/>
      <c r="W326" s="55"/>
      <c r="X326" s="55"/>
      <c r="Y326" s="55"/>
      <c r="Z326" s="55"/>
      <c r="AA326" s="55"/>
      <c r="AB326" s="55"/>
      <c r="AC326" s="55"/>
      <c r="AD326" s="55"/>
      <c r="AE326" s="55"/>
      <c r="AF326" s="55"/>
      <c r="AG326" s="55"/>
      <c r="AH326" s="55"/>
      <c r="AI326" s="55"/>
      <c r="AJ326" s="55"/>
      <c r="AK326" s="55"/>
      <c r="AL326" s="55"/>
      <c r="AM326" s="55"/>
      <c r="AN326" s="55"/>
      <c r="AO326" s="55"/>
      <c r="AP326" s="55"/>
      <c r="AQ326" s="55"/>
      <c r="AR326" s="55"/>
      <c r="AS326" s="55"/>
    </row>
    <row r="327" spans="1:45" x14ac:dyDescent="0.25">
      <c r="A327" s="55"/>
      <c r="B327" s="55"/>
      <c r="C327" s="55"/>
      <c r="D327" s="55"/>
      <c r="E327" s="55"/>
      <c r="F327" s="55"/>
      <c r="G327" s="55"/>
      <c r="H327" s="55"/>
      <c r="I327" s="55"/>
      <c r="J327" s="55"/>
      <c r="K327" s="55"/>
      <c r="L327" s="55"/>
      <c r="M327" s="55"/>
      <c r="N327" s="55"/>
      <c r="O327" s="55"/>
      <c r="P327" s="55"/>
      <c r="Q327" s="55"/>
      <c r="R327" s="55"/>
      <c r="S327" s="55"/>
      <c r="T327" s="55"/>
      <c r="U327" s="55"/>
      <c r="V327" s="55"/>
      <c r="W327" s="55"/>
      <c r="X327" s="55"/>
      <c r="Y327" s="55"/>
      <c r="Z327" s="55"/>
      <c r="AA327" s="55"/>
      <c r="AB327" s="55"/>
      <c r="AC327" s="55"/>
      <c r="AD327" s="55"/>
      <c r="AE327" s="55"/>
      <c r="AF327" s="55"/>
      <c r="AG327" s="55"/>
      <c r="AH327" s="55"/>
      <c r="AI327" s="55"/>
      <c r="AJ327" s="55"/>
      <c r="AK327" s="55"/>
      <c r="AL327" s="55"/>
      <c r="AM327" s="55"/>
      <c r="AN327" s="55"/>
      <c r="AO327" s="55"/>
      <c r="AP327" s="55"/>
      <c r="AQ327" s="55"/>
      <c r="AR327" s="55"/>
      <c r="AS327" s="55"/>
    </row>
    <row r="328" spans="1:45" x14ac:dyDescent="0.25">
      <c r="A328" s="55"/>
      <c r="B328" s="55"/>
      <c r="C328" s="55"/>
      <c r="D328" s="55"/>
      <c r="E328" s="55"/>
      <c r="F328" s="55"/>
      <c r="G328" s="55"/>
      <c r="H328" s="55"/>
      <c r="I328" s="55"/>
      <c r="J328" s="55"/>
      <c r="K328" s="55"/>
      <c r="L328" s="55"/>
      <c r="M328" s="55"/>
      <c r="N328" s="55"/>
      <c r="O328" s="55"/>
      <c r="P328" s="55"/>
      <c r="Q328" s="55"/>
      <c r="R328" s="55"/>
      <c r="S328" s="55"/>
      <c r="T328" s="55"/>
      <c r="U328" s="55"/>
      <c r="V328" s="55"/>
      <c r="W328" s="55"/>
      <c r="X328" s="55"/>
      <c r="Y328" s="55"/>
      <c r="Z328" s="55"/>
      <c r="AA328" s="55"/>
      <c r="AB328" s="55"/>
      <c r="AC328" s="55"/>
      <c r="AD328" s="55"/>
      <c r="AE328" s="55"/>
      <c r="AF328" s="55"/>
      <c r="AG328" s="55"/>
      <c r="AH328" s="55"/>
      <c r="AI328" s="55"/>
      <c r="AJ328" s="55"/>
      <c r="AK328" s="55"/>
      <c r="AL328" s="55"/>
      <c r="AM328" s="55"/>
      <c r="AN328" s="55"/>
      <c r="AO328" s="55"/>
      <c r="AP328" s="55"/>
      <c r="AQ328" s="55"/>
      <c r="AR328" s="55"/>
      <c r="AS328" s="55"/>
    </row>
    <row r="329" spans="1:45" x14ac:dyDescent="0.25">
      <c r="A329" s="55"/>
      <c r="B329" s="55"/>
      <c r="C329" s="55"/>
      <c r="D329" s="55"/>
      <c r="E329" s="55"/>
      <c r="F329" s="55"/>
      <c r="G329" s="55"/>
      <c r="H329" s="55"/>
      <c r="I329" s="55"/>
      <c r="J329" s="55"/>
      <c r="K329" s="55"/>
      <c r="L329" s="55"/>
      <c r="M329" s="55"/>
      <c r="N329" s="55"/>
      <c r="O329" s="55"/>
      <c r="P329" s="55"/>
      <c r="Q329" s="55"/>
      <c r="R329" s="55"/>
      <c r="S329" s="55"/>
      <c r="T329" s="55"/>
      <c r="U329" s="55"/>
      <c r="V329" s="55"/>
      <c r="W329" s="55"/>
      <c r="X329" s="55"/>
      <c r="Y329" s="55"/>
      <c r="Z329" s="55"/>
      <c r="AA329" s="55"/>
      <c r="AB329" s="55"/>
      <c r="AC329" s="55"/>
      <c r="AD329" s="55"/>
      <c r="AE329" s="55"/>
      <c r="AF329" s="55"/>
      <c r="AG329" s="55"/>
      <c r="AH329" s="55"/>
      <c r="AI329" s="55"/>
      <c r="AJ329" s="55"/>
      <c r="AK329" s="55"/>
      <c r="AL329" s="55"/>
      <c r="AM329" s="55"/>
      <c r="AN329" s="55"/>
      <c r="AO329" s="55"/>
      <c r="AP329" s="55"/>
      <c r="AQ329" s="55"/>
      <c r="AR329" s="55"/>
      <c r="AS329" s="55"/>
    </row>
    <row r="330" spans="1:45" x14ac:dyDescent="0.25">
      <c r="A330" s="55"/>
      <c r="B330" s="55"/>
      <c r="C330" s="55"/>
      <c r="D330" s="55"/>
      <c r="E330" s="55"/>
      <c r="F330" s="55"/>
      <c r="G330" s="55"/>
      <c r="H330" s="55"/>
      <c r="I330" s="55"/>
      <c r="J330" s="55"/>
      <c r="K330" s="55"/>
      <c r="L330" s="55"/>
      <c r="M330" s="55"/>
      <c r="N330" s="55"/>
      <c r="O330" s="55"/>
      <c r="P330" s="55"/>
      <c r="Q330" s="55"/>
      <c r="R330" s="55"/>
      <c r="S330" s="55"/>
      <c r="T330" s="55"/>
      <c r="U330" s="55"/>
      <c r="V330" s="55"/>
      <c r="W330" s="55"/>
      <c r="X330" s="55"/>
      <c r="Y330" s="55"/>
      <c r="Z330" s="55"/>
      <c r="AA330" s="55"/>
      <c r="AB330" s="55"/>
      <c r="AC330" s="55"/>
      <c r="AD330" s="55"/>
      <c r="AE330" s="55"/>
      <c r="AF330" s="55"/>
      <c r="AG330" s="55"/>
      <c r="AH330" s="55"/>
      <c r="AI330" s="55"/>
      <c r="AJ330" s="55"/>
      <c r="AK330" s="55"/>
      <c r="AL330" s="55"/>
      <c r="AM330" s="55"/>
      <c r="AN330" s="55"/>
      <c r="AO330" s="55"/>
      <c r="AP330" s="55"/>
      <c r="AQ330" s="55"/>
      <c r="AR330" s="55"/>
      <c r="AS330" s="55"/>
    </row>
    <row r="331" spans="1:45" x14ac:dyDescent="0.25">
      <c r="A331" s="55"/>
      <c r="B331" s="55"/>
      <c r="C331" s="55"/>
      <c r="D331" s="55"/>
      <c r="E331" s="55"/>
      <c r="F331" s="55"/>
      <c r="G331" s="55"/>
      <c r="H331" s="55"/>
      <c r="I331" s="55"/>
      <c r="J331" s="55"/>
      <c r="K331" s="55"/>
      <c r="L331" s="55"/>
      <c r="M331" s="55"/>
      <c r="N331" s="55"/>
      <c r="O331" s="55"/>
      <c r="P331" s="55"/>
      <c r="Q331" s="55"/>
      <c r="R331" s="55"/>
      <c r="S331" s="55"/>
      <c r="T331" s="55"/>
      <c r="U331" s="55"/>
      <c r="V331" s="55"/>
      <c r="W331" s="55"/>
      <c r="X331" s="55"/>
      <c r="Y331" s="55"/>
      <c r="Z331" s="55"/>
      <c r="AA331" s="55"/>
      <c r="AB331" s="55"/>
      <c r="AC331" s="55"/>
      <c r="AD331" s="55"/>
      <c r="AE331" s="55"/>
      <c r="AF331" s="55"/>
      <c r="AG331" s="55"/>
      <c r="AH331" s="55"/>
      <c r="AI331" s="55"/>
      <c r="AJ331" s="55"/>
      <c r="AK331" s="55"/>
      <c r="AL331" s="55"/>
      <c r="AM331" s="55"/>
      <c r="AN331" s="55"/>
      <c r="AO331" s="55"/>
      <c r="AP331" s="55"/>
      <c r="AQ331" s="55"/>
      <c r="AR331" s="55"/>
      <c r="AS331" s="55"/>
    </row>
    <row r="332" spans="1:45" x14ac:dyDescent="0.25">
      <c r="A332" s="55"/>
      <c r="B332" s="55"/>
      <c r="C332" s="55"/>
      <c r="D332" s="55"/>
      <c r="E332" s="55"/>
      <c r="F332" s="55"/>
      <c r="G332" s="55"/>
      <c r="H332" s="55"/>
      <c r="I332" s="55"/>
      <c r="J332" s="55"/>
      <c r="K332" s="55"/>
      <c r="L332" s="55"/>
      <c r="M332" s="55"/>
      <c r="N332" s="55"/>
      <c r="O332" s="55"/>
      <c r="P332" s="55"/>
      <c r="Q332" s="55"/>
      <c r="R332" s="55"/>
      <c r="S332" s="55"/>
      <c r="T332" s="55"/>
      <c r="U332" s="55"/>
      <c r="V332" s="55"/>
      <c r="W332" s="55"/>
      <c r="X332" s="55"/>
      <c r="Y332" s="55"/>
      <c r="Z332" s="55"/>
      <c r="AA332" s="55"/>
      <c r="AB332" s="55"/>
      <c r="AC332" s="55"/>
      <c r="AD332" s="55"/>
      <c r="AE332" s="55"/>
      <c r="AF332" s="55"/>
      <c r="AG332" s="55"/>
      <c r="AH332" s="55"/>
      <c r="AI332" s="55"/>
      <c r="AJ332" s="55"/>
      <c r="AK332" s="55"/>
      <c r="AL332" s="55"/>
      <c r="AM332" s="55"/>
      <c r="AN332" s="55"/>
      <c r="AO332" s="55"/>
      <c r="AP332" s="55"/>
      <c r="AQ332" s="55"/>
      <c r="AR332" s="55"/>
      <c r="AS332" s="55"/>
    </row>
    <row r="333" spans="1:45" x14ac:dyDescent="0.25">
      <c r="A333" s="55"/>
      <c r="B333" s="55"/>
      <c r="C333" s="55"/>
      <c r="D333" s="55"/>
      <c r="E333" s="55"/>
      <c r="F333" s="55"/>
      <c r="G333" s="55"/>
      <c r="H333" s="55"/>
      <c r="I333" s="55"/>
      <c r="J333" s="55"/>
      <c r="K333" s="55"/>
      <c r="L333" s="55"/>
      <c r="M333" s="55"/>
      <c r="N333" s="55"/>
      <c r="O333" s="55"/>
      <c r="P333" s="55"/>
      <c r="Q333" s="55"/>
      <c r="R333" s="55"/>
      <c r="S333" s="55"/>
      <c r="T333" s="55"/>
      <c r="U333" s="55"/>
      <c r="V333" s="55"/>
      <c r="W333" s="55"/>
      <c r="X333" s="55"/>
      <c r="Y333" s="55"/>
      <c r="Z333" s="55"/>
      <c r="AA333" s="55"/>
      <c r="AB333" s="55"/>
      <c r="AC333" s="55"/>
      <c r="AD333" s="55"/>
      <c r="AE333" s="55"/>
      <c r="AF333" s="55"/>
      <c r="AG333" s="55"/>
      <c r="AH333" s="55"/>
      <c r="AI333" s="55"/>
      <c r="AJ333" s="55"/>
      <c r="AK333" s="55"/>
      <c r="AL333" s="55"/>
      <c r="AM333" s="55"/>
      <c r="AN333" s="55"/>
      <c r="AO333" s="55"/>
      <c r="AP333" s="55"/>
      <c r="AQ333" s="55"/>
      <c r="AR333" s="55"/>
      <c r="AS333" s="55"/>
    </row>
    <row r="334" spans="1:45" x14ac:dyDescent="0.25">
      <c r="A334" s="55"/>
      <c r="B334" s="55"/>
      <c r="C334" s="55"/>
      <c r="D334" s="55"/>
      <c r="E334" s="55"/>
      <c r="F334" s="55"/>
      <c r="G334" s="55"/>
      <c r="H334" s="55"/>
      <c r="I334" s="55"/>
      <c r="J334" s="55"/>
      <c r="K334" s="55"/>
      <c r="L334" s="55"/>
      <c r="M334" s="55"/>
      <c r="N334" s="55"/>
      <c r="O334" s="55"/>
      <c r="P334" s="55"/>
      <c r="Q334" s="55"/>
      <c r="R334" s="55"/>
      <c r="S334" s="55"/>
      <c r="T334" s="55"/>
      <c r="U334" s="55"/>
      <c r="V334" s="55"/>
      <c r="W334" s="55"/>
      <c r="X334" s="55"/>
      <c r="Y334" s="55"/>
      <c r="Z334" s="55"/>
      <c r="AA334" s="55"/>
      <c r="AB334" s="55"/>
      <c r="AC334" s="55"/>
      <c r="AD334" s="55"/>
      <c r="AE334" s="55"/>
      <c r="AF334" s="55"/>
      <c r="AG334" s="55"/>
      <c r="AH334" s="55"/>
      <c r="AI334" s="55"/>
      <c r="AJ334" s="55"/>
      <c r="AK334" s="55"/>
      <c r="AL334" s="55"/>
      <c r="AM334" s="55"/>
      <c r="AN334" s="55"/>
      <c r="AO334" s="55"/>
      <c r="AP334" s="55"/>
      <c r="AQ334" s="55"/>
      <c r="AR334" s="55"/>
      <c r="AS334" s="55"/>
    </row>
    <row r="335" spans="1:45" x14ac:dyDescent="0.25">
      <c r="A335" s="55"/>
      <c r="B335" s="55"/>
      <c r="C335" s="55"/>
      <c r="D335" s="55"/>
      <c r="E335" s="55"/>
      <c r="F335" s="55"/>
      <c r="G335" s="55"/>
      <c r="H335" s="55"/>
      <c r="I335" s="55"/>
      <c r="J335" s="55"/>
      <c r="K335" s="55"/>
      <c r="L335" s="55"/>
      <c r="M335" s="55"/>
      <c r="N335" s="55"/>
      <c r="O335" s="55"/>
      <c r="P335" s="55"/>
      <c r="Q335" s="55"/>
      <c r="R335" s="55"/>
      <c r="S335" s="55"/>
      <c r="T335" s="55"/>
      <c r="U335" s="55"/>
      <c r="V335" s="55"/>
      <c r="W335" s="55"/>
      <c r="X335" s="55"/>
      <c r="Y335" s="55"/>
      <c r="Z335" s="55"/>
      <c r="AA335" s="55"/>
      <c r="AB335" s="55"/>
      <c r="AC335" s="55"/>
      <c r="AD335" s="55"/>
      <c r="AE335" s="55"/>
      <c r="AF335" s="55"/>
      <c r="AG335" s="55"/>
      <c r="AH335" s="55"/>
      <c r="AI335" s="55"/>
      <c r="AJ335" s="55"/>
      <c r="AK335" s="55"/>
      <c r="AL335" s="55"/>
      <c r="AM335" s="55"/>
      <c r="AN335" s="55"/>
      <c r="AO335" s="55"/>
      <c r="AP335" s="55"/>
      <c r="AQ335" s="55"/>
      <c r="AR335" s="55"/>
      <c r="AS335" s="55"/>
    </row>
    <row r="336" spans="1:45" x14ac:dyDescent="0.25">
      <c r="A336" s="55"/>
      <c r="B336" s="55"/>
      <c r="C336" s="55"/>
      <c r="D336" s="55"/>
      <c r="E336" s="55"/>
      <c r="F336" s="55"/>
      <c r="G336" s="55"/>
      <c r="H336" s="55"/>
      <c r="I336" s="55"/>
      <c r="J336" s="55"/>
      <c r="K336" s="55"/>
      <c r="L336" s="55"/>
      <c r="M336" s="55"/>
      <c r="N336" s="55"/>
      <c r="O336" s="55"/>
      <c r="P336" s="55"/>
      <c r="Q336" s="55"/>
      <c r="R336" s="55"/>
      <c r="S336" s="55"/>
      <c r="T336" s="55"/>
      <c r="U336" s="55"/>
      <c r="V336" s="55"/>
      <c r="W336" s="55"/>
      <c r="X336" s="55"/>
      <c r="Y336" s="55"/>
      <c r="Z336" s="55"/>
      <c r="AA336" s="55"/>
      <c r="AB336" s="55"/>
      <c r="AC336" s="55"/>
      <c r="AD336" s="55"/>
      <c r="AE336" s="55"/>
      <c r="AF336" s="55"/>
      <c r="AG336" s="55"/>
      <c r="AH336" s="55"/>
      <c r="AI336" s="55"/>
      <c r="AJ336" s="55"/>
      <c r="AK336" s="55"/>
      <c r="AL336" s="55"/>
      <c r="AM336" s="55"/>
      <c r="AN336" s="55"/>
      <c r="AO336" s="55"/>
      <c r="AP336" s="55"/>
      <c r="AQ336" s="55"/>
      <c r="AR336" s="55"/>
      <c r="AS336" s="55"/>
    </row>
    <row r="337" spans="1:45" x14ac:dyDescent="0.25">
      <c r="A337" s="55"/>
      <c r="B337" s="55"/>
      <c r="C337" s="55"/>
      <c r="D337" s="55"/>
      <c r="E337" s="55"/>
      <c r="F337" s="55"/>
      <c r="G337" s="55"/>
      <c r="H337" s="55"/>
      <c r="I337" s="55"/>
      <c r="J337" s="55"/>
      <c r="K337" s="55"/>
      <c r="L337" s="55"/>
      <c r="M337" s="55"/>
      <c r="N337" s="55"/>
      <c r="O337" s="55"/>
      <c r="P337" s="55"/>
      <c r="Q337" s="55"/>
      <c r="R337" s="55"/>
      <c r="S337" s="55"/>
      <c r="T337" s="55"/>
      <c r="U337" s="55"/>
      <c r="V337" s="55"/>
      <c r="W337" s="55"/>
      <c r="X337" s="55"/>
      <c r="Y337" s="55"/>
      <c r="Z337" s="55"/>
      <c r="AA337" s="55"/>
      <c r="AB337" s="55"/>
      <c r="AC337" s="55"/>
      <c r="AD337" s="55"/>
      <c r="AE337" s="55"/>
      <c r="AF337" s="55"/>
      <c r="AG337" s="55"/>
      <c r="AH337" s="55"/>
      <c r="AI337" s="55"/>
      <c r="AJ337" s="55"/>
      <c r="AK337" s="55"/>
      <c r="AL337" s="55"/>
      <c r="AM337" s="55"/>
      <c r="AN337" s="55"/>
      <c r="AO337" s="55"/>
      <c r="AP337" s="55"/>
      <c r="AQ337" s="55"/>
      <c r="AR337" s="55"/>
      <c r="AS337" s="55"/>
    </row>
    <row r="338" spans="1:45" x14ac:dyDescent="0.25">
      <c r="A338" s="55"/>
      <c r="B338" s="55"/>
      <c r="C338" s="55"/>
      <c r="D338" s="55"/>
      <c r="E338" s="55"/>
      <c r="F338" s="55"/>
      <c r="G338" s="55"/>
      <c r="H338" s="55"/>
      <c r="I338" s="55"/>
      <c r="J338" s="55"/>
      <c r="K338" s="55"/>
      <c r="L338" s="55"/>
      <c r="M338" s="55"/>
      <c r="N338" s="55"/>
      <c r="O338" s="55"/>
      <c r="P338" s="55"/>
      <c r="Q338" s="55"/>
      <c r="R338" s="55"/>
      <c r="S338" s="55"/>
      <c r="T338" s="55"/>
      <c r="U338" s="55"/>
      <c r="V338" s="55"/>
      <c r="W338" s="55"/>
      <c r="X338" s="55"/>
      <c r="Y338" s="55"/>
      <c r="Z338" s="55"/>
      <c r="AA338" s="55"/>
      <c r="AB338" s="55"/>
      <c r="AC338" s="55"/>
      <c r="AD338" s="55"/>
      <c r="AE338" s="55"/>
      <c r="AF338" s="55"/>
      <c r="AG338" s="55"/>
      <c r="AH338" s="55"/>
      <c r="AI338" s="55"/>
      <c r="AJ338" s="55"/>
      <c r="AK338" s="55"/>
      <c r="AL338" s="55"/>
      <c r="AM338" s="55"/>
      <c r="AN338" s="55"/>
      <c r="AO338" s="55"/>
      <c r="AP338" s="55"/>
      <c r="AQ338" s="55"/>
      <c r="AR338" s="55"/>
      <c r="AS338" s="55"/>
    </row>
    <row r="339" spans="1:45" x14ac:dyDescent="0.25">
      <c r="A339" s="55"/>
      <c r="B339" s="55"/>
      <c r="C339" s="55"/>
      <c r="D339" s="55"/>
      <c r="E339" s="55"/>
      <c r="F339" s="55"/>
      <c r="G339" s="55"/>
      <c r="H339" s="55"/>
      <c r="I339" s="55"/>
      <c r="J339" s="55"/>
      <c r="K339" s="55"/>
      <c r="L339" s="55"/>
      <c r="M339" s="55"/>
      <c r="N339" s="55"/>
      <c r="O339" s="55"/>
      <c r="P339" s="55"/>
      <c r="Q339" s="55"/>
      <c r="R339" s="55"/>
      <c r="S339" s="55"/>
      <c r="T339" s="55"/>
      <c r="U339" s="55"/>
      <c r="V339" s="55"/>
      <c r="W339" s="55"/>
      <c r="X339" s="55"/>
      <c r="Y339" s="55"/>
      <c r="Z339" s="55"/>
      <c r="AA339" s="55"/>
      <c r="AB339" s="55"/>
      <c r="AC339" s="55"/>
      <c r="AD339" s="55"/>
      <c r="AE339" s="55"/>
      <c r="AF339" s="55"/>
      <c r="AG339" s="55"/>
      <c r="AH339" s="55"/>
      <c r="AI339" s="55"/>
      <c r="AJ339" s="55"/>
      <c r="AK339" s="55"/>
      <c r="AL339" s="55"/>
      <c r="AM339" s="55"/>
      <c r="AN339" s="55"/>
      <c r="AO339" s="55"/>
      <c r="AP339" s="55"/>
      <c r="AQ339" s="55"/>
      <c r="AR339" s="55"/>
      <c r="AS339" s="55"/>
    </row>
    <row r="340" spans="1:45" x14ac:dyDescent="0.25">
      <c r="A340" s="55"/>
      <c r="B340" s="55"/>
      <c r="C340" s="55"/>
      <c r="D340" s="55"/>
      <c r="E340" s="55"/>
      <c r="F340" s="55"/>
      <c r="G340" s="55"/>
      <c r="H340" s="55"/>
      <c r="I340" s="55"/>
      <c r="J340" s="55"/>
      <c r="K340" s="55"/>
      <c r="L340" s="55"/>
      <c r="M340" s="55"/>
      <c r="N340" s="55"/>
      <c r="O340" s="55"/>
      <c r="P340" s="55"/>
      <c r="Q340" s="55"/>
      <c r="R340" s="55"/>
      <c r="S340" s="55"/>
      <c r="T340" s="55"/>
      <c r="U340" s="55"/>
      <c r="V340" s="55"/>
      <c r="W340" s="55"/>
      <c r="X340" s="55"/>
      <c r="Y340" s="55"/>
      <c r="Z340" s="55"/>
      <c r="AA340" s="55"/>
      <c r="AB340" s="55"/>
      <c r="AC340" s="55"/>
      <c r="AD340" s="55"/>
      <c r="AE340" s="55"/>
      <c r="AF340" s="55"/>
      <c r="AG340" s="55"/>
      <c r="AH340" s="55"/>
      <c r="AI340" s="55"/>
      <c r="AJ340" s="55"/>
      <c r="AK340" s="55"/>
      <c r="AL340" s="55"/>
      <c r="AM340" s="55"/>
      <c r="AN340" s="55"/>
      <c r="AO340" s="55"/>
      <c r="AP340" s="55"/>
      <c r="AQ340" s="55"/>
      <c r="AR340" s="55"/>
      <c r="AS340" s="55"/>
    </row>
    <row r="341" spans="1:45" x14ac:dyDescent="0.25">
      <c r="A341" s="55"/>
      <c r="B341" s="55"/>
      <c r="C341" s="55"/>
      <c r="D341" s="55"/>
      <c r="E341" s="55"/>
      <c r="F341" s="55"/>
      <c r="G341" s="55"/>
      <c r="H341" s="55"/>
      <c r="I341" s="55"/>
      <c r="J341" s="55"/>
      <c r="K341" s="55"/>
      <c r="L341" s="55"/>
      <c r="M341" s="55"/>
      <c r="N341" s="55"/>
      <c r="O341" s="55"/>
      <c r="P341" s="55"/>
      <c r="Q341" s="55"/>
      <c r="R341" s="55"/>
      <c r="S341" s="55"/>
      <c r="T341" s="55"/>
      <c r="U341" s="55"/>
      <c r="V341" s="55"/>
      <c r="W341" s="55"/>
      <c r="X341" s="55"/>
      <c r="Y341" s="55"/>
      <c r="Z341" s="55"/>
      <c r="AA341" s="55"/>
      <c r="AB341" s="55"/>
      <c r="AC341" s="55"/>
      <c r="AD341" s="55"/>
      <c r="AE341" s="55"/>
      <c r="AF341" s="55"/>
      <c r="AG341" s="55"/>
      <c r="AH341" s="55"/>
      <c r="AI341" s="55"/>
      <c r="AJ341" s="55"/>
      <c r="AK341" s="55"/>
      <c r="AL341" s="55"/>
      <c r="AM341" s="55"/>
      <c r="AN341" s="55"/>
      <c r="AO341" s="55"/>
      <c r="AP341" s="55"/>
      <c r="AQ341" s="55"/>
      <c r="AR341" s="55"/>
      <c r="AS341" s="55"/>
    </row>
    <row r="342" spans="1:45" x14ac:dyDescent="0.25">
      <c r="A342" s="55"/>
      <c r="B342" s="55"/>
      <c r="C342" s="55"/>
      <c r="D342" s="55"/>
      <c r="E342" s="55"/>
      <c r="F342" s="55"/>
      <c r="G342" s="55"/>
      <c r="H342" s="55"/>
      <c r="I342" s="55"/>
      <c r="J342" s="55"/>
      <c r="K342" s="55"/>
      <c r="L342" s="55"/>
      <c r="M342" s="55"/>
      <c r="N342" s="55"/>
      <c r="O342" s="55"/>
      <c r="P342" s="55"/>
      <c r="Q342" s="55"/>
      <c r="R342" s="55"/>
      <c r="S342" s="55"/>
      <c r="T342" s="55"/>
      <c r="U342" s="55"/>
      <c r="V342" s="55"/>
      <c r="W342" s="55"/>
      <c r="X342" s="55"/>
      <c r="Y342" s="55"/>
      <c r="Z342" s="55"/>
      <c r="AA342" s="55"/>
      <c r="AB342" s="55"/>
      <c r="AC342" s="55"/>
      <c r="AD342" s="55"/>
      <c r="AE342" s="55"/>
      <c r="AF342" s="55"/>
      <c r="AG342" s="55"/>
      <c r="AH342" s="55"/>
      <c r="AI342" s="55"/>
      <c r="AJ342" s="55"/>
      <c r="AK342" s="55"/>
      <c r="AL342" s="55"/>
      <c r="AM342" s="55"/>
      <c r="AN342" s="55"/>
      <c r="AO342" s="55"/>
      <c r="AP342" s="55"/>
      <c r="AQ342" s="55"/>
      <c r="AR342" s="55"/>
      <c r="AS342" s="55"/>
    </row>
    <row r="343" spans="1:45" x14ac:dyDescent="0.25">
      <c r="A343" s="55"/>
      <c r="B343" s="55"/>
      <c r="C343" s="55"/>
      <c r="D343" s="55"/>
      <c r="E343" s="55"/>
      <c r="F343" s="55"/>
      <c r="G343" s="55"/>
      <c r="H343" s="55"/>
      <c r="I343" s="55"/>
      <c r="J343" s="55"/>
      <c r="K343" s="55"/>
      <c r="L343" s="55"/>
      <c r="M343" s="55"/>
      <c r="N343" s="55"/>
      <c r="O343" s="55"/>
      <c r="P343" s="55"/>
      <c r="Q343" s="55"/>
      <c r="R343" s="55"/>
      <c r="S343" s="55"/>
      <c r="T343" s="55"/>
      <c r="U343" s="55"/>
      <c r="V343" s="55"/>
      <c r="W343" s="55"/>
      <c r="X343" s="55"/>
      <c r="Y343" s="55"/>
      <c r="Z343" s="55"/>
      <c r="AA343" s="55"/>
      <c r="AB343" s="55"/>
      <c r="AC343" s="55"/>
      <c r="AD343" s="55"/>
      <c r="AE343" s="55"/>
      <c r="AF343" s="55"/>
      <c r="AG343" s="55"/>
      <c r="AH343" s="55"/>
      <c r="AI343" s="55"/>
      <c r="AJ343" s="55"/>
      <c r="AK343" s="55"/>
      <c r="AL343" s="55"/>
      <c r="AM343" s="55"/>
      <c r="AN343" s="55"/>
      <c r="AO343" s="55"/>
      <c r="AP343" s="55"/>
      <c r="AQ343" s="55"/>
      <c r="AR343" s="55"/>
      <c r="AS343" s="55"/>
    </row>
    <row r="344" spans="1:45" x14ac:dyDescent="0.25">
      <c r="A344" s="55"/>
      <c r="B344" s="55"/>
      <c r="C344" s="55"/>
      <c r="D344" s="55"/>
      <c r="E344" s="55"/>
      <c r="F344" s="55"/>
      <c r="G344" s="55"/>
      <c r="H344" s="55"/>
      <c r="I344" s="55"/>
      <c r="J344" s="55"/>
      <c r="K344" s="55"/>
      <c r="L344" s="55"/>
      <c r="M344" s="55"/>
      <c r="N344" s="55"/>
      <c r="O344" s="55"/>
      <c r="P344" s="55"/>
      <c r="Q344" s="55"/>
      <c r="R344" s="55"/>
      <c r="S344" s="55"/>
      <c r="T344" s="55"/>
      <c r="U344" s="55"/>
      <c r="V344" s="55"/>
      <c r="W344" s="55"/>
      <c r="X344" s="55"/>
      <c r="Y344" s="55"/>
      <c r="Z344" s="55"/>
      <c r="AA344" s="55"/>
      <c r="AB344" s="55"/>
      <c r="AC344" s="55"/>
      <c r="AD344" s="55"/>
      <c r="AE344" s="55"/>
      <c r="AF344" s="55"/>
      <c r="AG344" s="55"/>
      <c r="AH344" s="55"/>
      <c r="AI344" s="55"/>
      <c r="AJ344" s="55"/>
      <c r="AK344" s="55"/>
      <c r="AL344" s="55"/>
      <c r="AM344" s="55"/>
      <c r="AN344" s="55"/>
      <c r="AO344" s="55"/>
      <c r="AP344" s="55"/>
      <c r="AQ344" s="55"/>
      <c r="AR344" s="55"/>
      <c r="AS344" s="55"/>
    </row>
    <row r="345" spans="1:45" x14ac:dyDescent="0.25">
      <c r="A345" s="55"/>
      <c r="B345" s="55"/>
      <c r="C345" s="55"/>
      <c r="D345" s="55"/>
      <c r="E345" s="55"/>
      <c r="F345" s="55"/>
      <c r="G345" s="55"/>
      <c r="H345" s="55"/>
      <c r="I345" s="55"/>
      <c r="J345" s="55"/>
      <c r="K345" s="55"/>
      <c r="L345" s="55"/>
      <c r="M345" s="55"/>
      <c r="N345" s="55"/>
      <c r="O345" s="55"/>
      <c r="P345" s="55"/>
      <c r="Q345" s="55"/>
      <c r="R345" s="55"/>
      <c r="S345" s="55"/>
      <c r="T345" s="55"/>
      <c r="U345" s="55"/>
      <c r="V345" s="55"/>
      <c r="W345" s="55"/>
      <c r="X345" s="55"/>
      <c r="Y345" s="55"/>
      <c r="Z345" s="55"/>
      <c r="AA345" s="55"/>
      <c r="AB345" s="55"/>
      <c r="AC345" s="55"/>
      <c r="AD345" s="55"/>
      <c r="AE345" s="55"/>
      <c r="AF345" s="55"/>
      <c r="AG345" s="55"/>
      <c r="AH345" s="55"/>
      <c r="AI345" s="55"/>
      <c r="AJ345" s="55"/>
      <c r="AK345" s="55"/>
      <c r="AL345" s="55"/>
      <c r="AM345" s="55"/>
      <c r="AN345" s="55"/>
      <c r="AO345" s="55"/>
      <c r="AP345" s="55"/>
      <c r="AQ345" s="55"/>
      <c r="AR345" s="55"/>
      <c r="AS345" s="55"/>
    </row>
    <row r="346" spans="1:45" x14ac:dyDescent="0.25">
      <c r="A346" s="55"/>
      <c r="B346" s="55"/>
      <c r="C346" s="55"/>
      <c r="D346" s="55"/>
      <c r="E346" s="55"/>
      <c r="F346" s="55"/>
      <c r="G346" s="55"/>
      <c r="H346" s="55"/>
      <c r="I346" s="55"/>
      <c r="J346" s="55"/>
      <c r="K346" s="55"/>
      <c r="L346" s="55"/>
      <c r="M346" s="55"/>
      <c r="N346" s="55"/>
      <c r="O346" s="55"/>
      <c r="P346" s="55"/>
      <c r="Q346" s="55"/>
      <c r="R346" s="55"/>
      <c r="S346" s="55"/>
      <c r="T346" s="55"/>
      <c r="U346" s="55"/>
      <c r="V346" s="55"/>
      <c r="W346" s="55"/>
      <c r="X346" s="55"/>
      <c r="Y346" s="55"/>
      <c r="Z346" s="55"/>
      <c r="AA346" s="55"/>
      <c r="AB346" s="55"/>
      <c r="AC346" s="55"/>
      <c r="AD346" s="55"/>
      <c r="AE346" s="55"/>
      <c r="AF346" s="55"/>
      <c r="AG346" s="55"/>
      <c r="AH346" s="55"/>
      <c r="AI346" s="55"/>
      <c r="AJ346" s="55"/>
      <c r="AK346" s="55"/>
      <c r="AL346" s="55"/>
      <c r="AM346" s="55"/>
      <c r="AN346" s="55"/>
      <c r="AO346" s="55"/>
      <c r="AP346" s="55"/>
      <c r="AQ346" s="55"/>
      <c r="AR346" s="55"/>
      <c r="AS346" s="55"/>
    </row>
    <row r="347" spans="1:45" x14ac:dyDescent="0.25">
      <c r="A347" s="55"/>
      <c r="B347" s="55"/>
      <c r="C347" s="55"/>
      <c r="D347" s="55"/>
      <c r="E347" s="55"/>
      <c r="F347" s="55"/>
      <c r="G347" s="55"/>
      <c r="H347" s="55"/>
      <c r="I347" s="55"/>
      <c r="J347" s="55"/>
      <c r="K347" s="55"/>
      <c r="L347" s="55"/>
      <c r="M347" s="55"/>
      <c r="N347" s="55"/>
      <c r="O347" s="55"/>
      <c r="P347" s="55"/>
      <c r="Q347" s="55"/>
      <c r="R347" s="55"/>
      <c r="S347" s="55"/>
      <c r="T347" s="55"/>
      <c r="U347" s="55"/>
      <c r="V347" s="55"/>
      <c r="W347" s="55"/>
      <c r="X347" s="55"/>
      <c r="Y347" s="55"/>
      <c r="Z347" s="55"/>
      <c r="AA347" s="55"/>
      <c r="AB347" s="55"/>
      <c r="AC347" s="55"/>
      <c r="AD347" s="55"/>
      <c r="AE347" s="55"/>
      <c r="AF347" s="55"/>
      <c r="AG347" s="55"/>
      <c r="AH347" s="55"/>
      <c r="AI347" s="55"/>
      <c r="AJ347" s="55"/>
      <c r="AK347" s="55"/>
      <c r="AL347" s="55"/>
      <c r="AM347" s="55"/>
      <c r="AN347" s="55"/>
      <c r="AO347" s="55"/>
      <c r="AP347" s="55"/>
      <c r="AQ347" s="55"/>
      <c r="AR347" s="55"/>
      <c r="AS347" s="55"/>
    </row>
    <row r="348" spans="1:45" x14ac:dyDescent="0.25">
      <c r="A348" s="55"/>
      <c r="B348" s="55"/>
      <c r="C348" s="55"/>
      <c r="D348" s="55"/>
      <c r="E348" s="55"/>
      <c r="F348" s="55"/>
      <c r="G348" s="55"/>
      <c r="H348" s="55"/>
      <c r="I348" s="55"/>
      <c r="J348" s="55"/>
      <c r="K348" s="55"/>
      <c r="L348" s="55"/>
      <c r="M348" s="55"/>
      <c r="N348" s="55"/>
      <c r="O348" s="55"/>
      <c r="P348" s="55"/>
      <c r="Q348" s="55"/>
      <c r="R348" s="55"/>
      <c r="S348" s="55"/>
      <c r="T348" s="55"/>
      <c r="U348" s="55"/>
      <c r="V348" s="55"/>
      <c r="W348" s="55"/>
      <c r="X348" s="55"/>
      <c r="Y348" s="55"/>
      <c r="Z348" s="55"/>
      <c r="AA348" s="55"/>
      <c r="AB348" s="55"/>
      <c r="AC348" s="55"/>
      <c r="AD348" s="55"/>
      <c r="AE348" s="55"/>
      <c r="AF348" s="55"/>
      <c r="AG348" s="55"/>
      <c r="AH348" s="55"/>
      <c r="AI348" s="55"/>
      <c r="AJ348" s="55"/>
      <c r="AK348" s="55"/>
      <c r="AL348" s="55"/>
      <c r="AM348" s="55"/>
      <c r="AN348" s="55"/>
      <c r="AO348" s="55"/>
      <c r="AP348" s="55"/>
      <c r="AQ348" s="55"/>
      <c r="AR348" s="55"/>
      <c r="AS348" s="55"/>
    </row>
    <row r="349" spans="1:45" x14ac:dyDescent="0.25">
      <c r="A349" s="55"/>
      <c r="B349" s="55"/>
      <c r="C349" s="55"/>
      <c r="D349" s="55"/>
      <c r="E349" s="55"/>
      <c r="F349" s="55"/>
      <c r="G349" s="55"/>
      <c r="H349" s="55"/>
      <c r="I349" s="55"/>
      <c r="J349" s="55"/>
      <c r="K349" s="55"/>
      <c r="L349" s="55"/>
      <c r="M349" s="55"/>
      <c r="N349" s="55"/>
      <c r="O349" s="55"/>
      <c r="P349" s="55"/>
      <c r="Q349" s="55"/>
      <c r="R349" s="55"/>
      <c r="S349" s="55"/>
      <c r="T349" s="55"/>
      <c r="U349" s="55"/>
      <c r="V349" s="55"/>
      <c r="W349" s="55"/>
      <c r="X349" s="55"/>
      <c r="Y349" s="55"/>
      <c r="Z349" s="55"/>
      <c r="AA349" s="55"/>
      <c r="AB349" s="55"/>
      <c r="AC349" s="55"/>
      <c r="AD349" s="55"/>
      <c r="AE349" s="55"/>
      <c r="AF349" s="55"/>
      <c r="AG349" s="55"/>
      <c r="AH349" s="55"/>
      <c r="AI349" s="55"/>
      <c r="AJ349" s="55"/>
      <c r="AK349" s="55"/>
      <c r="AL349" s="55"/>
      <c r="AM349" s="55"/>
      <c r="AN349" s="55"/>
      <c r="AO349" s="55"/>
      <c r="AP349" s="55"/>
      <c r="AQ349" s="55"/>
      <c r="AR349" s="55"/>
      <c r="AS349" s="55"/>
    </row>
    <row r="350" spans="1:45" x14ac:dyDescent="0.25">
      <c r="A350" s="55"/>
      <c r="B350" s="55"/>
      <c r="C350" s="55"/>
      <c r="D350" s="55"/>
      <c r="E350" s="55"/>
      <c r="F350" s="55"/>
      <c r="G350" s="55"/>
      <c r="H350" s="55"/>
      <c r="I350" s="55"/>
      <c r="J350" s="55"/>
      <c r="K350" s="55"/>
      <c r="L350" s="55"/>
      <c r="M350" s="55"/>
      <c r="N350" s="55"/>
      <c r="O350" s="55"/>
      <c r="P350" s="55"/>
      <c r="Q350" s="55"/>
      <c r="R350" s="55"/>
      <c r="S350" s="55"/>
      <c r="T350" s="55"/>
      <c r="U350" s="55"/>
      <c r="V350" s="55"/>
      <c r="W350" s="55"/>
      <c r="X350" s="55"/>
      <c r="Y350" s="55"/>
      <c r="Z350" s="55"/>
      <c r="AA350" s="55"/>
      <c r="AB350" s="55"/>
      <c r="AC350" s="55"/>
      <c r="AD350" s="55"/>
      <c r="AE350" s="55"/>
      <c r="AF350" s="55"/>
      <c r="AG350" s="55"/>
      <c r="AH350" s="55"/>
      <c r="AI350" s="55"/>
      <c r="AJ350" s="55"/>
      <c r="AK350" s="55"/>
      <c r="AL350" s="55"/>
      <c r="AM350" s="55"/>
      <c r="AN350" s="55"/>
      <c r="AO350" s="55"/>
      <c r="AP350" s="55"/>
      <c r="AQ350" s="55"/>
      <c r="AR350" s="55"/>
      <c r="AS350" s="55"/>
    </row>
    <row r="351" spans="1:45" x14ac:dyDescent="0.25">
      <c r="A351" s="55"/>
      <c r="B351" s="55"/>
      <c r="C351" s="55"/>
      <c r="D351" s="55"/>
      <c r="E351" s="55"/>
      <c r="F351" s="55"/>
      <c r="G351" s="55"/>
      <c r="H351" s="55"/>
      <c r="I351" s="55"/>
      <c r="J351" s="55"/>
      <c r="K351" s="55"/>
      <c r="L351" s="55"/>
      <c r="M351" s="55"/>
      <c r="N351" s="55"/>
      <c r="O351" s="55"/>
      <c r="P351" s="55"/>
      <c r="Q351" s="55"/>
      <c r="R351" s="55"/>
      <c r="S351" s="55"/>
      <c r="T351" s="55"/>
      <c r="U351" s="55"/>
      <c r="V351" s="55"/>
      <c r="W351" s="55"/>
      <c r="X351" s="55"/>
      <c r="Y351" s="55"/>
      <c r="Z351" s="55"/>
      <c r="AA351" s="55"/>
      <c r="AB351" s="55"/>
      <c r="AC351" s="55"/>
      <c r="AD351" s="55"/>
      <c r="AE351" s="55"/>
      <c r="AF351" s="55"/>
      <c r="AG351" s="55"/>
      <c r="AH351" s="55"/>
      <c r="AI351" s="55"/>
      <c r="AJ351" s="55"/>
      <c r="AK351" s="55"/>
      <c r="AL351" s="55"/>
      <c r="AM351" s="55"/>
      <c r="AN351" s="55"/>
      <c r="AO351" s="55"/>
      <c r="AP351" s="55"/>
      <c r="AQ351" s="55"/>
      <c r="AR351" s="55"/>
      <c r="AS351" s="55"/>
    </row>
    <row r="352" spans="1:45" x14ac:dyDescent="0.25">
      <c r="A352" s="55"/>
      <c r="B352" s="55"/>
      <c r="C352" s="55"/>
      <c r="D352" s="55"/>
      <c r="E352" s="55"/>
      <c r="F352" s="55"/>
      <c r="G352" s="55"/>
      <c r="H352" s="55"/>
      <c r="I352" s="55"/>
      <c r="J352" s="55"/>
      <c r="K352" s="55"/>
      <c r="L352" s="55"/>
      <c r="M352" s="55"/>
      <c r="N352" s="55"/>
      <c r="O352" s="55"/>
      <c r="P352" s="55"/>
      <c r="Q352" s="55"/>
      <c r="R352" s="55"/>
      <c r="S352" s="55"/>
      <c r="T352" s="55"/>
      <c r="U352" s="55"/>
      <c r="V352" s="55"/>
      <c r="W352" s="55"/>
      <c r="X352" s="55"/>
      <c r="Y352" s="55"/>
      <c r="Z352" s="55"/>
      <c r="AA352" s="55"/>
      <c r="AB352" s="55"/>
      <c r="AC352" s="55"/>
      <c r="AD352" s="55"/>
      <c r="AE352" s="55"/>
      <c r="AF352" s="55"/>
      <c r="AG352" s="55"/>
      <c r="AH352" s="55"/>
      <c r="AI352" s="55"/>
      <c r="AJ352" s="55"/>
      <c r="AK352" s="55"/>
      <c r="AL352" s="55"/>
      <c r="AM352" s="55"/>
      <c r="AN352" s="55"/>
      <c r="AO352" s="55"/>
      <c r="AP352" s="55"/>
      <c r="AQ352" s="55"/>
      <c r="AR352" s="55"/>
      <c r="AS352" s="55"/>
    </row>
    <row r="353" spans="1:45" x14ac:dyDescent="0.25">
      <c r="A353" s="55"/>
      <c r="B353" s="55"/>
      <c r="C353" s="55"/>
      <c r="D353" s="55"/>
      <c r="E353" s="55"/>
      <c r="F353" s="55"/>
      <c r="G353" s="55"/>
      <c r="H353" s="55"/>
      <c r="I353" s="55"/>
      <c r="J353" s="55"/>
      <c r="K353" s="55"/>
      <c r="L353" s="55"/>
      <c r="M353" s="55"/>
      <c r="N353" s="55"/>
      <c r="O353" s="55"/>
      <c r="P353" s="55"/>
      <c r="Q353" s="55"/>
      <c r="R353" s="55"/>
      <c r="S353" s="55"/>
      <c r="T353" s="55"/>
      <c r="U353" s="55"/>
      <c r="V353" s="55"/>
      <c r="W353" s="55"/>
      <c r="X353" s="55"/>
      <c r="Y353" s="55"/>
      <c r="Z353" s="55"/>
      <c r="AA353" s="55"/>
      <c r="AB353" s="55"/>
      <c r="AC353" s="55"/>
      <c r="AD353" s="55"/>
      <c r="AE353" s="55"/>
      <c r="AF353" s="55"/>
      <c r="AG353" s="55"/>
      <c r="AH353" s="55"/>
      <c r="AI353" s="55"/>
      <c r="AJ353" s="55"/>
      <c r="AK353" s="55"/>
      <c r="AL353" s="55"/>
      <c r="AM353" s="55"/>
      <c r="AN353" s="55"/>
      <c r="AO353" s="55"/>
      <c r="AP353" s="55"/>
      <c r="AQ353" s="55"/>
      <c r="AR353" s="55"/>
      <c r="AS353" s="55"/>
    </row>
    <row r="354" spans="1:45" x14ac:dyDescent="0.25">
      <c r="A354" s="55"/>
      <c r="B354" s="55"/>
      <c r="C354" s="55"/>
      <c r="D354" s="55"/>
      <c r="E354" s="55"/>
      <c r="F354" s="55"/>
      <c r="G354" s="55"/>
      <c r="H354" s="55"/>
      <c r="I354" s="55"/>
      <c r="J354" s="55"/>
      <c r="K354" s="55"/>
      <c r="L354" s="55"/>
      <c r="M354" s="55"/>
      <c r="N354" s="55"/>
      <c r="O354" s="55"/>
      <c r="P354" s="55"/>
      <c r="Q354" s="55"/>
      <c r="R354" s="55"/>
      <c r="S354" s="55"/>
      <c r="T354" s="55"/>
      <c r="U354" s="55"/>
      <c r="V354" s="55"/>
      <c r="W354" s="55"/>
      <c r="X354" s="55"/>
      <c r="Y354" s="55"/>
      <c r="Z354" s="55"/>
      <c r="AA354" s="55"/>
      <c r="AB354" s="55"/>
      <c r="AC354" s="55"/>
      <c r="AD354" s="55"/>
      <c r="AE354" s="55"/>
      <c r="AF354" s="55"/>
      <c r="AG354" s="55"/>
      <c r="AH354" s="55"/>
      <c r="AI354" s="55"/>
      <c r="AJ354" s="55"/>
      <c r="AK354" s="55"/>
      <c r="AL354" s="55"/>
      <c r="AM354" s="55"/>
      <c r="AN354" s="55"/>
      <c r="AO354" s="55"/>
      <c r="AP354" s="55"/>
      <c r="AQ354" s="55"/>
      <c r="AR354" s="55"/>
      <c r="AS354" s="55"/>
    </row>
    <row r="355" spans="1:45" x14ac:dyDescent="0.25">
      <c r="A355" s="55"/>
      <c r="B355" s="55"/>
      <c r="C355" s="55"/>
      <c r="D355" s="55"/>
      <c r="E355" s="55"/>
      <c r="F355" s="55"/>
      <c r="G355" s="55"/>
      <c r="H355" s="55"/>
      <c r="I355" s="55"/>
      <c r="J355" s="55"/>
      <c r="K355" s="55"/>
      <c r="L355" s="55"/>
      <c r="M355" s="55"/>
      <c r="N355" s="55"/>
      <c r="O355" s="55"/>
      <c r="P355" s="55"/>
      <c r="Q355" s="55"/>
      <c r="R355" s="55"/>
      <c r="S355" s="55"/>
      <c r="T355" s="55"/>
      <c r="U355" s="55"/>
      <c r="V355" s="55"/>
      <c r="W355" s="55"/>
      <c r="X355" s="55"/>
      <c r="Y355" s="55"/>
      <c r="Z355" s="55"/>
      <c r="AA355" s="55"/>
      <c r="AB355" s="55"/>
      <c r="AC355" s="55"/>
      <c r="AD355" s="55"/>
      <c r="AE355" s="55"/>
      <c r="AF355" s="55"/>
      <c r="AG355" s="55"/>
      <c r="AH355" s="55"/>
      <c r="AI355" s="55"/>
      <c r="AJ355" s="55"/>
      <c r="AK355" s="55"/>
      <c r="AL355" s="55"/>
      <c r="AM355" s="55"/>
      <c r="AN355" s="55"/>
      <c r="AO355" s="55"/>
      <c r="AP355" s="55"/>
      <c r="AQ355" s="55"/>
      <c r="AR355" s="55"/>
      <c r="AS355" s="55"/>
    </row>
    <row r="356" spans="1:45" x14ac:dyDescent="0.25">
      <c r="A356" s="55"/>
      <c r="B356" s="55"/>
      <c r="C356" s="55"/>
      <c r="D356" s="55"/>
      <c r="E356" s="55"/>
      <c r="F356" s="55"/>
      <c r="G356" s="55"/>
      <c r="H356" s="55"/>
      <c r="I356" s="55"/>
      <c r="J356" s="55"/>
      <c r="K356" s="55"/>
      <c r="L356" s="55"/>
      <c r="M356" s="55"/>
      <c r="N356" s="55"/>
      <c r="O356" s="55"/>
      <c r="P356" s="55"/>
      <c r="Q356" s="55"/>
      <c r="R356" s="55"/>
      <c r="S356" s="55"/>
      <c r="T356" s="55"/>
      <c r="U356" s="55"/>
      <c r="V356" s="55"/>
      <c r="W356" s="55"/>
      <c r="X356" s="55"/>
      <c r="Y356" s="55"/>
      <c r="Z356" s="55"/>
      <c r="AA356" s="55"/>
      <c r="AB356" s="55"/>
      <c r="AC356" s="55"/>
      <c r="AD356" s="55"/>
      <c r="AE356" s="55"/>
      <c r="AF356" s="55"/>
      <c r="AG356" s="55"/>
      <c r="AH356" s="55"/>
      <c r="AI356" s="55"/>
      <c r="AJ356" s="55"/>
      <c r="AK356" s="55"/>
      <c r="AL356" s="55"/>
      <c r="AM356" s="55"/>
      <c r="AN356" s="55"/>
      <c r="AO356" s="55"/>
      <c r="AP356" s="55"/>
      <c r="AQ356" s="55"/>
      <c r="AR356" s="55"/>
      <c r="AS356" s="55"/>
    </row>
    <row r="357" spans="1:45" x14ac:dyDescent="0.25">
      <c r="A357" s="55"/>
      <c r="B357" s="55"/>
      <c r="C357" s="55"/>
      <c r="D357" s="55"/>
      <c r="E357" s="55"/>
      <c r="F357" s="55"/>
      <c r="G357" s="55"/>
      <c r="H357" s="55"/>
      <c r="I357" s="55"/>
      <c r="J357" s="55"/>
      <c r="K357" s="55"/>
      <c r="L357" s="55"/>
      <c r="M357" s="55"/>
      <c r="N357" s="55"/>
      <c r="O357" s="55"/>
      <c r="P357" s="55"/>
      <c r="Q357" s="55"/>
      <c r="R357" s="55"/>
      <c r="S357" s="55"/>
      <c r="T357" s="55"/>
      <c r="U357" s="55"/>
      <c r="V357" s="55"/>
      <c r="W357" s="55"/>
      <c r="X357" s="55"/>
      <c r="Y357" s="55"/>
      <c r="Z357" s="55"/>
      <c r="AA357" s="55"/>
      <c r="AB357" s="55"/>
      <c r="AC357" s="55"/>
      <c r="AD357" s="55"/>
      <c r="AE357" s="55"/>
      <c r="AF357" s="55"/>
      <c r="AG357" s="55"/>
      <c r="AH357" s="55"/>
      <c r="AI357" s="55"/>
      <c r="AJ357" s="55"/>
      <c r="AK357" s="55"/>
      <c r="AL357" s="55"/>
      <c r="AM357" s="55"/>
      <c r="AN357" s="55"/>
      <c r="AO357" s="55"/>
      <c r="AP357" s="55"/>
      <c r="AQ357" s="55"/>
      <c r="AR357" s="55"/>
      <c r="AS357" s="55"/>
    </row>
    <row r="358" spans="1:45" x14ac:dyDescent="0.25">
      <c r="A358" s="55"/>
      <c r="B358" s="55"/>
      <c r="C358" s="55"/>
      <c r="D358" s="55"/>
      <c r="E358" s="55"/>
      <c r="F358" s="55"/>
      <c r="G358" s="55"/>
      <c r="H358" s="55"/>
      <c r="I358" s="55"/>
      <c r="J358" s="55"/>
      <c r="K358" s="55"/>
      <c r="L358" s="55"/>
      <c r="M358" s="55"/>
      <c r="N358" s="55"/>
      <c r="O358" s="55"/>
      <c r="P358" s="55"/>
      <c r="Q358" s="55"/>
      <c r="R358" s="55"/>
      <c r="S358" s="55"/>
      <c r="T358" s="55"/>
      <c r="U358" s="55"/>
      <c r="V358" s="55"/>
      <c r="W358" s="55"/>
      <c r="X358" s="55"/>
      <c r="Y358" s="55"/>
      <c r="Z358" s="55"/>
      <c r="AA358" s="55"/>
      <c r="AB358" s="55"/>
      <c r="AC358" s="55"/>
      <c r="AD358" s="55"/>
      <c r="AE358" s="55"/>
      <c r="AF358" s="55"/>
      <c r="AG358" s="55"/>
      <c r="AH358" s="55"/>
      <c r="AI358" s="55"/>
      <c r="AJ358" s="55"/>
      <c r="AK358" s="55"/>
      <c r="AL358" s="55"/>
      <c r="AM358" s="55"/>
      <c r="AN358" s="55"/>
      <c r="AO358" s="55"/>
      <c r="AP358" s="55"/>
      <c r="AQ358" s="55"/>
      <c r="AR358" s="55"/>
      <c r="AS358" s="55"/>
    </row>
    <row r="359" spans="1:45" x14ac:dyDescent="0.25">
      <c r="A359" s="55"/>
      <c r="B359" s="55"/>
      <c r="C359" s="55"/>
      <c r="D359" s="55"/>
      <c r="E359" s="55"/>
      <c r="F359" s="55"/>
      <c r="G359" s="55"/>
      <c r="H359" s="55"/>
      <c r="I359" s="55"/>
      <c r="J359" s="55"/>
      <c r="K359" s="55"/>
      <c r="L359" s="55"/>
      <c r="M359" s="55"/>
      <c r="N359" s="55"/>
      <c r="O359" s="55"/>
      <c r="P359" s="55"/>
      <c r="Q359" s="55"/>
      <c r="R359" s="55"/>
      <c r="S359" s="55"/>
      <c r="T359" s="55"/>
      <c r="U359" s="55"/>
      <c r="V359" s="55"/>
      <c r="W359" s="55"/>
      <c r="X359" s="55"/>
      <c r="Y359" s="55"/>
      <c r="Z359" s="55"/>
      <c r="AA359" s="55"/>
      <c r="AB359" s="55"/>
      <c r="AC359" s="55"/>
      <c r="AD359" s="55"/>
      <c r="AE359" s="55"/>
      <c r="AF359" s="55"/>
      <c r="AG359" s="55"/>
      <c r="AH359" s="55"/>
      <c r="AI359" s="55"/>
      <c r="AJ359" s="55"/>
      <c r="AK359" s="55"/>
      <c r="AL359" s="55"/>
      <c r="AM359" s="55"/>
      <c r="AN359" s="55"/>
      <c r="AO359" s="55"/>
      <c r="AP359" s="55"/>
      <c r="AQ359" s="55"/>
      <c r="AR359" s="55"/>
      <c r="AS359" s="55"/>
    </row>
    <row r="360" spans="1:45" x14ac:dyDescent="0.25">
      <c r="A360" s="55"/>
      <c r="B360" s="55"/>
      <c r="C360" s="55"/>
      <c r="D360" s="55"/>
      <c r="E360" s="55"/>
      <c r="F360" s="55"/>
      <c r="G360" s="55"/>
      <c r="H360" s="55"/>
      <c r="I360" s="55"/>
      <c r="J360" s="55"/>
      <c r="K360" s="55"/>
      <c r="L360" s="55"/>
      <c r="M360" s="55"/>
      <c r="N360" s="55"/>
      <c r="O360" s="55"/>
      <c r="P360" s="55"/>
      <c r="Q360" s="55"/>
      <c r="R360" s="55"/>
      <c r="S360" s="55"/>
      <c r="T360" s="55"/>
      <c r="U360" s="55"/>
      <c r="V360" s="55"/>
      <c r="W360" s="55"/>
      <c r="X360" s="55"/>
      <c r="Y360" s="55"/>
      <c r="Z360" s="55"/>
      <c r="AA360" s="55"/>
      <c r="AB360" s="55"/>
      <c r="AC360" s="55"/>
      <c r="AD360" s="55"/>
      <c r="AE360" s="55"/>
      <c r="AF360" s="55"/>
      <c r="AG360" s="55"/>
      <c r="AH360" s="55"/>
      <c r="AI360" s="55"/>
      <c r="AJ360" s="55"/>
      <c r="AK360" s="55"/>
      <c r="AL360" s="55"/>
      <c r="AM360" s="55"/>
      <c r="AN360" s="55"/>
      <c r="AO360" s="55"/>
      <c r="AP360" s="55"/>
      <c r="AQ360" s="55"/>
      <c r="AR360" s="55"/>
      <c r="AS360" s="55"/>
    </row>
    <row r="361" spans="1:45" x14ac:dyDescent="0.25">
      <c r="A361" s="55"/>
      <c r="B361" s="55"/>
      <c r="C361" s="55"/>
      <c r="D361" s="55"/>
      <c r="E361" s="55"/>
      <c r="F361" s="55"/>
      <c r="G361" s="55"/>
      <c r="H361" s="55"/>
      <c r="I361" s="55"/>
      <c r="J361" s="55"/>
      <c r="K361" s="55"/>
      <c r="L361" s="55"/>
      <c r="M361" s="55"/>
      <c r="N361" s="55"/>
      <c r="O361" s="55"/>
      <c r="P361" s="55"/>
      <c r="Q361" s="55"/>
      <c r="R361" s="55"/>
      <c r="S361" s="55"/>
      <c r="T361" s="55"/>
      <c r="U361" s="55"/>
      <c r="V361" s="55"/>
      <c r="W361" s="55"/>
      <c r="X361" s="55"/>
      <c r="Y361" s="55"/>
      <c r="Z361" s="55"/>
      <c r="AA361" s="55"/>
      <c r="AB361" s="55"/>
      <c r="AC361" s="55"/>
      <c r="AD361" s="55"/>
      <c r="AE361" s="55"/>
      <c r="AF361" s="55"/>
      <c r="AG361" s="55"/>
      <c r="AH361" s="55"/>
      <c r="AI361" s="55"/>
      <c r="AJ361" s="55"/>
      <c r="AK361" s="55"/>
      <c r="AL361" s="55"/>
      <c r="AM361" s="55"/>
      <c r="AN361" s="55"/>
      <c r="AO361" s="55"/>
      <c r="AP361" s="55"/>
      <c r="AQ361" s="55"/>
      <c r="AR361" s="55"/>
      <c r="AS361" s="55"/>
    </row>
    <row r="362" spans="1:45" x14ac:dyDescent="0.25">
      <c r="A362" s="55"/>
      <c r="B362" s="55"/>
      <c r="C362" s="55"/>
      <c r="D362" s="55"/>
      <c r="E362" s="55"/>
      <c r="F362" s="55"/>
      <c r="G362" s="55"/>
      <c r="H362" s="55"/>
      <c r="I362" s="55"/>
      <c r="J362" s="55"/>
      <c r="K362" s="55"/>
      <c r="L362" s="55"/>
      <c r="M362" s="55"/>
      <c r="N362" s="55"/>
      <c r="O362" s="55"/>
      <c r="P362" s="55"/>
      <c r="Q362" s="55"/>
      <c r="R362" s="55"/>
      <c r="S362" s="55"/>
      <c r="T362" s="55"/>
      <c r="U362" s="55"/>
      <c r="V362" s="55"/>
      <c r="W362" s="55"/>
      <c r="X362" s="55"/>
      <c r="Y362" s="55"/>
      <c r="Z362" s="55"/>
      <c r="AA362" s="55"/>
      <c r="AB362" s="55"/>
      <c r="AC362" s="55"/>
      <c r="AD362" s="55"/>
      <c r="AE362" s="55"/>
      <c r="AF362" s="55"/>
      <c r="AG362" s="55"/>
      <c r="AH362" s="55"/>
      <c r="AI362" s="55"/>
      <c r="AJ362" s="55"/>
      <c r="AK362" s="55"/>
      <c r="AL362" s="55"/>
      <c r="AM362" s="55"/>
      <c r="AN362" s="55"/>
      <c r="AO362" s="55"/>
      <c r="AP362" s="55"/>
      <c r="AQ362" s="55"/>
      <c r="AR362" s="55"/>
      <c r="AS362" s="55"/>
    </row>
    <row r="363" spans="1:45" x14ac:dyDescent="0.25">
      <c r="A363" s="55"/>
      <c r="B363" s="55"/>
      <c r="C363" s="55"/>
      <c r="D363" s="55"/>
      <c r="E363" s="55"/>
      <c r="F363" s="55"/>
      <c r="G363" s="55"/>
      <c r="H363" s="55"/>
      <c r="I363" s="55"/>
      <c r="J363" s="55"/>
      <c r="K363" s="55"/>
      <c r="L363" s="55"/>
      <c r="M363" s="55"/>
      <c r="N363" s="55"/>
      <c r="O363" s="55"/>
      <c r="P363" s="55"/>
      <c r="Q363" s="55"/>
      <c r="R363" s="55"/>
      <c r="S363" s="55"/>
      <c r="T363" s="55"/>
      <c r="U363" s="55"/>
      <c r="V363" s="55"/>
      <c r="W363" s="55"/>
      <c r="X363" s="55"/>
      <c r="Y363" s="55"/>
      <c r="Z363" s="55"/>
      <c r="AA363" s="55"/>
      <c r="AB363" s="55"/>
      <c r="AC363" s="55"/>
      <c r="AD363" s="55"/>
      <c r="AE363" s="55"/>
      <c r="AF363" s="55"/>
      <c r="AG363" s="55"/>
      <c r="AH363" s="55"/>
      <c r="AI363" s="55"/>
      <c r="AJ363" s="55"/>
      <c r="AK363" s="55"/>
      <c r="AL363" s="55"/>
      <c r="AM363" s="55"/>
      <c r="AN363" s="55"/>
      <c r="AO363" s="55"/>
      <c r="AP363" s="55"/>
      <c r="AQ363" s="55"/>
      <c r="AR363" s="55"/>
      <c r="AS363" s="55"/>
    </row>
    <row r="364" spans="1:45" x14ac:dyDescent="0.25">
      <c r="A364" s="55"/>
      <c r="B364" s="55"/>
      <c r="C364" s="55"/>
      <c r="D364" s="55"/>
      <c r="E364" s="55"/>
      <c r="F364" s="55"/>
      <c r="G364" s="55"/>
      <c r="H364" s="55"/>
      <c r="I364" s="55"/>
      <c r="J364" s="55"/>
      <c r="K364" s="55"/>
      <c r="L364" s="55"/>
      <c r="M364" s="55"/>
      <c r="N364" s="55"/>
      <c r="O364" s="55"/>
      <c r="P364" s="55"/>
      <c r="Q364" s="55"/>
      <c r="R364" s="55"/>
      <c r="S364" s="55"/>
      <c r="T364" s="55"/>
      <c r="U364" s="55"/>
      <c r="V364" s="55"/>
      <c r="W364" s="55"/>
      <c r="X364" s="55"/>
      <c r="Y364" s="55"/>
      <c r="Z364" s="55"/>
      <c r="AA364" s="55"/>
      <c r="AB364" s="55"/>
      <c r="AC364" s="55"/>
      <c r="AD364" s="55"/>
      <c r="AE364" s="55"/>
      <c r="AF364" s="55"/>
      <c r="AG364" s="55"/>
      <c r="AH364" s="55"/>
      <c r="AI364" s="55"/>
      <c r="AJ364" s="55"/>
      <c r="AK364" s="55"/>
      <c r="AL364" s="55"/>
      <c r="AM364" s="55"/>
      <c r="AN364" s="55"/>
      <c r="AO364" s="55"/>
      <c r="AP364" s="55"/>
      <c r="AQ364" s="55"/>
      <c r="AR364" s="55"/>
      <c r="AS364" s="55"/>
    </row>
    <row r="365" spans="1:45" x14ac:dyDescent="0.25">
      <c r="A365" s="55"/>
      <c r="B365" s="55"/>
      <c r="C365" s="55"/>
      <c r="D365" s="55"/>
      <c r="E365" s="55"/>
      <c r="F365" s="55"/>
      <c r="G365" s="55"/>
      <c r="H365" s="55"/>
      <c r="I365" s="55"/>
      <c r="J365" s="55"/>
      <c r="K365" s="55"/>
      <c r="L365" s="55"/>
      <c r="M365" s="55"/>
      <c r="N365" s="55"/>
      <c r="O365" s="55"/>
      <c r="P365" s="55"/>
      <c r="Q365" s="55"/>
      <c r="R365" s="55"/>
      <c r="S365" s="55"/>
      <c r="T365" s="55"/>
      <c r="U365" s="55"/>
      <c r="V365" s="55"/>
      <c r="W365" s="55"/>
      <c r="X365" s="55"/>
      <c r="Y365" s="55"/>
      <c r="Z365" s="55"/>
      <c r="AA365" s="55"/>
      <c r="AB365" s="55"/>
      <c r="AC365" s="55"/>
      <c r="AD365" s="55"/>
      <c r="AE365" s="55"/>
      <c r="AF365" s="55"/>
      <c r="AG365" s="55"/>
      <c r="AH365" s="55"/>
      <c r="AI365" s="55"/>
      <c r="AJ365" s="55"/>
      <c r="AK365" s="55"/>
      <c r="AL365" s="55"/>
      <c r="AM365" s="55"/>
      <c r="AN365" s="55"/>
      <c r="AO365" s="55"/>
      <c r="AP365" s="55"/>
      <c r="AQ365" s="55"/>
      <c r="AR365" s="55"/>
      <c r="AS365" s="55"/>
    </row>
    <row r="366" spans="1:45" x14ac:dyDescent="0.25">
      <c r="A366" s="55"/>
      <c r="B366" s="55"/>
      <c r="C366" s="55"/>
      <c r="D366" s="55"/>
      <c r="E366" s="55"/>
      <c r="F366" s="55"/>
      <c r="G366" s="55"/>
      <c r="H366" s="55"/>
      <c r="I366" s="55"/>
      <c r="J366" s="55"/>
      <c r="K366" s="55"/>
      <c r="L366" s="55"/>
      <c r="M366" s="55"/>
      <c r="N366" s="55"/>
      <c r="O366" s="55"/>
      <c r="P366" s="55"/>
      <c r="Q366" s="55"/>
      <c r="R366" s="55"/>
      <c r="S366" s="55"/>
      <c r="T366" s="55"/>
      <c r="U366" s="55"/>
      <c r="V366" s="55"/>
      <c r="W366" s="55"/>
      <c r="X366" s="55"/>
      <c r="Y366" s="55"/>
      <c r="Z366" s="55"/>
      <c r="AA366" s="55"/>
      <c r="AB366" s="55"/>
      <c r="AC366" s="55"/>
      <c r="AD366" s="55"/>
      <c r="AE366" s="55"/>
      <c r="AF366" s="55"/>
      <c r="AG366" s="55"/>
      <c r="AH366" s="55"/>
      <c r="AI366" s="55"/>
      <c r="AJ366" s="55"/>
      <c r="AK366" s="55"/>
      <c r="AL366" s="55"/>
      <c r="AM366" s="55"/>
      <c r="AN366" s="55"/>
      <c r="AO366" s="55"/>
      <c r="AP366" s="55"/>
      <c r="AQ366" s="55"/>
      <c r="AR366" s="55"/>
      <c r="AS366" s="55"/>
    </row>
    <row r="367" spans="1:45" x14ac:dyDescent="0.25">
      <c r="A367" s="55"/>
      <c r="B367" s="55"/>
      <c r="C367" s="55"/>
      <c r="D367" s="55"/>
      <c r="E367" s="55"/>
      <c r="F367" s="55"/>
      <c r="G367" s="55"/>
      <c r="H367" s="55"/>
      <c r="I367" s="55"/>
      <c r="J367" s="55"/>
      <c r="K367" s="55"/>
      <c r="L367" s="55"/>
      <c r="M367" s="55"/>
      <c r="N367" s="55"/>
      <c r="O367" s="55"/>
      <c r="P367" s="55"/>
      <c r="Q367" s="55"/>
      <c r="R367" s="55"/>
      <c r="S367" s="55"/>
      <c r="T367" s="55"/>
      <c r="U367" s="55"/>
      <c r="V367" s="55"/>
      <c r="W367" s="55"/>
      <c r="X367" s="55"/>
      <c r="Y367" s="55"/>
      <c r="Z367" s="55"/>
      <c r="AA367" s="55"/>
      <c r="AB367" s="55"/>
      <c r="AC367" s="55"/>
      <c r="AD367" s="55"/>
      <c r="AE367" s="55"/>
      <c r="AF367" s="55"/>
      <c r="AG367" s="55"/>
      <c r="AH367" s="55"/>
      <c r="AI367" s="55"/>
      <c r="AJ367" s="55"/>
      <c r="AK367" s="55"/>
      <c r="AL367" s="55"/>
      <c r="AM367" s="55"/>
      <c r="AN367" s="55"/>
      <c r="AO367" s="55"/>
      <c r="AP367" s="55"/>
      <c r="AQ367" s="55"/>
      <c r="AR367" s="55"/>
      <c r="AS367" s="55"/>
    </row>
    <row r="368" spans="1:45" x14ac:dyDescent="0.25">
      <c r="A368" s="55"/>
      <c r="B368" s="55"/>
      <c r="C368" s="55"/>
      <c r="D368" s="55"/>
      <c r="E368" s="55"/>
      <c r="F368" s="55"/>
      <c r="G368" s="55"/>
      <c r="H368" s="55"/>
      <c r="I368" s="55"/>
      <c r="J368" s="55"/>
      <c r="K368" s="55"/>
      <c r="L368" s="55"/>
      <c r="M368" s="55"/>
      <c r="N368" s="55"/>
      <c r="O368" s="55"/>
      <c r="P368" s="55"/>
      <c r="Q368" s="55"/>
      <c r="R368" s="55"/>
      <c r="S368" s="55"/>
      <c r="T368" s="55"/>
      <c r="U368" s="55"/>
      <c r="V368" s="55"/>
      <c r="W368" s="55"/>
      <c r="X368" s="55"/>
      <c r="Y368" s="55"/>
      <c r="Z368" s="55"/>
      <c r="AA368" s="55"/>
      <c r="AB368" s="55"/>
      <c r="AC368" s="55"/>
      <c r="AD368" s="55"/>
      <c r="AE368" s="55"/>
      <c r="AF368" s="55"/>
      <c r="AG368" s="55"/>
      <c r="AH368" s="55"/>
      <c r="AI368" s="55"/>
      <c r="AJ368" s="55"/>
      <c r="AK368" s="55"/>
      <c r="AL368" s="55"/>
      <c r="AM368" s="55"/>
      <c r="AN368" s="55"/>
      <c r="AO368" s="55"/>
      <c r="AP368" s="55"/>
      <c r="AQ368" s="55"/>
      <c r="AR368" s="55"/>
      <c r="AS368" s="55"/>
    </row>
    <row r="369" spans="1:45" x14ac:dyDescent="0.25">
      <c r="A369" s="55"/>
      <c r="B369" s="55"/>
      <c r="C369" s="55"/>
      <c r="D369" s="55"/>
      <c r="E369" s="55"/>
      <c r="F369" s="55"/>
      <c r="G369" s="55"/>
      <c r="H369" s="55"/>
      <c r="I369" s="55"/>
      <c r="J369" s="55"/>
      <c r="K369" s="55"/>
      <c r="L369" s="55"/>
      <c r="M369" s="55"/>
      <c r="N369" s="55"/>
      <c r="O369" s="55"/>
      <c r="P369" s="55"/>
      <c r="Q369" s="55"/>
      <c r="R369" s="55"/>
      <c r="S369" s="55"/>
      <c r="T369" s="55"/>
      <c r="U369" s="55"/>
      <c r="V369" s="55"/>
      <c r="W369" s="55"/>
      <c r="X369" s="55"/>
      <c r="Y369" s="55"/>
      <c r="Z369" s="55"/>
      <c r="AA369" s="55"/>
      <c r="AB369" s="55"/>
      <c r="AC369" s="55"/>
      <c r="AD369" s="55"/>
      <c r="AE369" s="55"/>
      <c r="AF369" s="55"/>
      <c r="AG369" s="55"/>
      <c r="AH369" s="55"/>
      <c r="AI369" s="55"/>
      <c r="AJ369" s="55"/>
      <c r="AK369" s="55"/>
      <c r="AL369" s="55"/>
      <c r="AM369" s="55"/>
      <c r="AN369" s="55"/>
      <c r="AO369" s="55"/>
      <c r="AP369" s="55"/>
      <c r="AQ369" s="55"/>
      <c r="AR369" s="55"/>
      <c r="AS369" s="55"/>
    </row>
    <row r="370" spans="1:45" x14ac:dyDescent="0.25">
      <c r="A370" s="55"/>
      <c r="B370" s="55"/>
      <c r="C370" s="55"/>
      <c r="D370" s="55"/>
      <c r="E370" s="55"/>
      <c r="F370" s="55"/>
      <c r="G370" s="55"/>
      <c r="H370" s="55"/>
      <c r="I370" s="55"/>
      <c r="J370" s="55"/>
      <c r="K370" s="55"/>
      <c r="L370" s="55"/>
      <c r="M370" s="55"/>
      <c r="N370" s="55"/>
      <c r="O370" s="55"/>
      <c r="P370" s="55"/>
      <c r="Q370" s="55"/>
      <c r="R370" s="55"/>
      <c r="S370" s="55"/>
      <c r="T370" s="55"/>
      <c r="U370" s="55"/>
      <c r="V370" s="55"/>
      <c r="W370" s="55"/>
      <c r="X370" s="55"/>
      <c r="Y370" s="55"/>
      <c r="Z370" s="55"/>
      <c r="AA370" s="55"/>
      <c r="AB370" s="55"/>
      <c r="AC370" s="55"/>
      <c r="AD370" s="55"/>
      <c r="AE370" s="55"/>
      <c r="AF370" s="55"/>
      <c r="AG370" s="55"/>
      <c r="AH370" s="55"/>
      <c r="AI370" s="55"/>
      <c r="AJ370" s="55"/>
      <c r="AK370" s="55"/>
      <c r="AL370" s="55"/>
      <c r="AM370" s="55"/>
      <c r="AN370" s="55"/>
      <c r="AO370" s="55"/>
      <c r="AP370" s="55"/>
      <c r="AQ370" s="55"/>
      <c r="AR370" s="55"/>
      <c r="AS370" s="55"/>
    </row>
    <row r="371" spans="1:45" x14ac:dyDescent="0.25">
      <c r="A371" s="55"/>
      <c r="B371" s="55"/>
      <c r="C371" s="55"/>
      <c r="D371" s="55"/>
      <c r="E371" s="55"/>
      <c r="F371" s="55"/>
      <c r="G371" s="55"/>
      <c r="H371" s="55"/>
      <c r="I371" s="55"/>
      <c r="J371" s="55"/>
      <c r="K371" s="55"/>
      <c r="L371" s="55"/>
      <c r="M371" s="55"/>
      <c r="N371" s="55"/>
      <c r="O371" s="55"/>
      <c r="P371" s="55"/>
      <c r="Q371" s="55"/>
      <c r="R371" s="55"/>
      <c r="S371" s="55"/>
      <c r="T371" s="55"/>
      <c r="U371" s="55"/>
      <c r="V371" s="55"/>
      <c r="W371" s="55"/>
      <c r="X371" s="55"/>
      <c r="Y371" s="55"/>
      <c r="Z371" s="55"/>
      <c r="AA371" s="55"/>
      <c r="AB371" s="55"/>
      <c r="AC371" s="55"/>
      <c r="AD371" s="55"/>
      <c r="AE371" s="55"/>
      <c r="AF371" s="55"/>
      <c r="AG371" s="55"/>
      <c r="AH371" s="55"/>
      <c r="AI371" s="55"/>
      <c r="AJ371" s="55"/>
      <c r="AK371" s="55"/>
      <c r="AL371" s="55"/>
      <c r="AM371" s="55"/>
      <c r="AN371" s="55"/>
      <c r="AO371" s="55"/>
      <c r="AP371" s="55"/>
      <c r="AQ371" s="55"/>
      <c r="AR371" s="55"/>
      <c r="AS371" s="55"/>
    </row>
    <row r="372" spans="1:45" x14ac:dyDescent="0.25">
      <c r="A372" s="55"/>
      <c r="B372" s="55"/>
      <c r="C372" s="55"/>
      <c r="D372" s="55"/>
      <c r="E372" s="55"/>
      <c r="F372" s="55"/>
      <c r="G372" s="55"/>
      <c r="H372" s="55"/>
      <c r="I372" s="55"/>
      <c r="J372" s="55"/>
      <c r="K372" s="55"/>
      <c r="L372" s="55"/>
      <c r="M372" s="55"/>
      <c r="N372" s="55"/>
      <c r="O372" s="55"/>
      <c r="P372" s="55"/>
      <c r="Q372" s="55"/>
      <c r="R372" s="55"/>
      <c r="S372" s="55"/>
      <c r="T372" s="55"/>
      <c r="U372" s="55"/>
      <c r="V372" s="55"/>
      <c r="W372" s="55"/>
      <c r="X372" s="55"/>
      <c r="Y372" s="55"/>
      <c r="Z372" s="55"/>
      <c r="AA372" s="55"/>
      <c r="AB372" s="55"/>
      <c r="AC372" s="55"/>
      <c r="AD372" s="55"/>
      <c r="AE372" s="55"/>
      <c r="AF372" s="55"/>
      <c r="AG372" s="55"/>
      <c r="AH372" s="55"/>
      <c r="AI372" s="55"/>
      <c r="AJ372" s="55"/>
      <c r="AK372" s="55"/>
      <c r="AL372" s="55"/>
      <c r="AM372" s="55"/>
      <c r="AN372" s="55"/>
      <c r="AO372" s="55"/>
      <c r="AP372" s="55"/>
      <c r="AQ372" s="55"/>
      <c r="AR372" s="55"/>
      <c r="AS372" s="55"/>
    </row>
    <row r="373" spans="1:45" x14ac:dyDescent="0.25">
      <c r="A373" s="55"/>
      <c r="B373" s="55"/>
      <c r="C373" s="55"/>
      <c r="D373" s="55"/>
      <c r="E373" s="55"/>
      <c r="F373" s="55"/>
      <c r="G373" s="55"/>
      <c r="H373" s="55"/>
      <c r="I373" s="55"/>
      <c r="J373" s="55"/>
      <c r="K373" s="55"/>
      <c r="L373" s="55"/>
      <c r="M373" s="55"/>
      <c r="N373" s="55"/>
      <c r="O373" s="55"/>
      <c r="P373" s="55"/>
      <c r="Q373" s="55"/>
      <c r="R373" s="55"/>
      <c r="S373" s="55"/>
      <c r="T373" s="55"/>
      <c r="U373" s="55"/>
      <c r="V373" s="55"/>
      <c r="W373" s="55"/>
      <c r="X373" s="55"/>
      <c r="Y373" s="55"/>
      <c r="Z373" s="55"/>
      <c r="AA373" s="55"/>
      <c r="AB373" s="55"/>
      <c r="AC373" s="55"/>
      <c r="AD373" s="55"/>
      <c r="AE373" s="55"/>
      <c r="AF373" s="55"/>
      <c r="AG373" s="55"/>
      <c r="AH373" s="55"/>
      <c r="AI373" s="55"/>
      <c r="AJ373" s="55"/>
      <c r="AK373" s="55"/>
      <c r="AL373" s="55"/>
      <c r="AM373" s="55"/>
      <c r="AN373" s="55"/>
      <c r="AO373" s="55"/>
      <c r="AP373" s="55"/>
      <c r="AQ373" s="55"/>
      <c r="AR373" s="55"/>
      <c r="AS373" s="55"/>
    </row>
    <row r="374" spans="1:45" x14ac:dyDescent="0.25">
      <c r="A374" s="55"/>
      <c r="B374" s="55"/>
      <c r="C374" s="55"/>
      <c r="D374" s="55"/>
      <c r="E374" s="55"/>
      <c r="F374" s="55"/>
      <c r="G374" s="55"/>
      <c r="H374" s="55"/>
      <c r="I374" s="55"/>
      <c r="J374" s="55"/>
      <c r="K374" s="55"/>
      <c r="L374" s="55"/>
      <c r="M374" s="55"/>
      <c r="N374" s="55"/>
      <c r="O374" s="55"/>
      <c r="P374" s="55"/>
      <c r="Q374" s="55"/>
      <c r="R374" s="55"/>
      <c r="S374" s="55"/>
      <c r="T374" s="55"/>
      <c r="U374" s="55"/>
      <c r="V374" s="55"/>
      <c r="W374" s="55"/>
      <c r="X374" s="55"/>
      <c r="Y374" s="55"/>
      <c r="Z374" s="55"/>
      <c r="AA374" s="55"/>
      <c r="AB374" s="55"/>
      <c r="AC374" s="55"/>
      <c r="AD374" s="55"/>
      <c r="AE374" s="55"/>
      <c r="AF374" s="55"/>
      <c r="AG374" s="55"/>
      <c r="AH374" s="55"/>
      <c r="AI374" s="55"/>
      <c r="AJ374" s="55"/>
      <c r="AK374" s="55"/>
      <c r="AL374" s="55"/>
      <c r="AM374" s="55"/>
      <c r="AN374" s="55"/>
      <c r="AO374" s="55"/>
      <c r="AP374" s="55"/>
      <c r="AQ374" s="55"/>
      <c r="AR374" s="55"/>
      <c r="AS374" s="55"/>
    </row>
    <row r="375" spans="1:45" x14ac:dyDescent="0.25">
      <c r="A375" s="55"/>
      <c r="B375" s="55"/>
      <c r="C375" s="55"/>
      <c r="D375" s="55"/>
      <c r="E375" s="55"/>
      <c r="F375" s="55"/>
      <c r="G375" s="55"/>
      <c r="H375" s="55"/>
      <c r="I375" s="55"/>
      <c r="J375" s="55"/>
      <c r="K375" s="55"/>
      <c r="L375" s="55"/>
      <c r="M375" s="55"/>
      <c r="N375" s="55"/>
      <c r="O375" s="55"/>
      <c r="P375" s="55"/>
      <c r="Q375" s="55"/>
      <c r="R375" s="55"/>
      <c r="S375" s="55"/>
      <c r="T375" s="55"/>
      <c r="U375" s="55"/>
      <c r="V375" s="55"/>
      <c r="W375" s="55"/>
      <c r="X375" s="55"/>
      <c r="Y375" s="55"/>
      <c r="Z375" s="55"/>
      <c r="AA375" s="55"/>
      <c r="AB375" s="55"/>
      <c r="AC375" s="55"/>
      <c r="AD375" s="55"/>
      <c r="AE375" s="55"/>
      <c r="AF375" s="55"/>
      <c r="AG375" s="55"/>
      <c r="AH375" s="55"/>
      <c r="AI375" s="55"/>
      <c r="AJ375" s="55"/>
      <c r="AK375" s="55"/>
      <c r="AL375" s="55"/>
      <c r="AM375" s="55"/>
      <c r="AN375" s="55"/>
      <c r="AO375" s="55"/>
      <c r="AP375" s="55"/>
      <c r="AQ375" s="55"/>
      <c r="AR375" s="55"/>
      <c r="AS375" s="55"/>
    </row>
    <row r="376" spans="1:45" x14ac:dyDescent="0.25">
      <c r="A376" s="55"/>
      <c r="B376" s="55"/>
      <c r="C376" s="55"/>
      <c r="D376" s="55"/>
      <c r="E376" s="55"/>
      <c r="F376" s="55"/>
      <c r="G376" s="55"/>
      <c r="H376" s="55"/>
      <c r="I376" s="55"/>
      <c r="J376" s="55"/>
      <c r="K376" s="55"/>
      <c r="L376" s="55"/>
      <c r="M376" s="55"/>
      <c r="N376" s="55"/>
      <c r="O376" s="55"/>
      <c r="P376" s="55"/>
      <c r="Q376" s="55"/>
      <c r="R376" s="55"/>
      <c r="S376" s="55"/>
      <c r="T376" s="55"/>
      <c r="U376" s="55"/>
      <c r="V376" s="55"/>
      <c r="W376" s="55"/>
      <c r="X376" s="55"/>
      <c r="Y376" s="55"/>
      <c r="Z376" s="55"/>
      <c r="AA376" s="55"/>
      <c r="AB376" s="55"/>
      <c r="AC376" s="55"/>
      <c r="AD376" s="55"/>
      <c r="AE376" s="55"/>
      <c r="AF376" s="55"/>
      <c r="AG376" s="55"/>
      <c r="AH376" s="55"/>
      <c r="AI376" s="55"/>
      <c r="AJ376" s="55"/>
      <c r="AK376" s="55"/>
      <c r="AL376" s="55"/>
      <c r="AM376" s="55"/>
      <c r="AN376" s="55"/>
      <c r="AO376" s="55"/>
      <c r="AP376" s="55"/>
      <c r="AQ376" s="55"/>
      <c r="AR376" s="55"/>
      <c r="AS376" s="55"/>
    </row>
    <row r="377" spans="1:45" x14ac:dyDescent="0.25">
      <c r="A377" s="55"/>
      <c r="B377" s="55"/>
      <c r="C377" s="55"/>
      <c r="D377" s="55"/>
      <c r="E377" s="55"/>
      <c r="F377" s="55"/>
      <c r="G377" s="55"/>
      <c r="H377" s="55"/>
      <c r="I377" s="55"/>
      <c r="J377" s="55"/>
      <c r="K377" s="55"/>
      <c r="L377" s="55"/>
      <c r="M377" s="55"/>
      <c r="N377" s="55"/>
      <c r="O377" s="55"/>
      <c r="P377" s="55"/>
      <c r="Q377" s="55"/>
      <c r="R377" s="55"/>
      <c r="S377" s="55"/>
      <c r="T377" s="55"/>
      <c r="U377" s="55"/>
      <c r="V377" s="55"/>
      <c r="W377" s="55"/>
      <c r="X377" s="55"/>
      <c r="Y377" s="55"/>
      <c r="Z377" s="55"/>
      <c r="AA377" s="55"/>
      <c r="AB377" s="55"/>
      <c r="AC377" s="55"/>
      <c r="AD377" s="55"/>
      <c r="AE377" s="55"/>
      <c r="AF377" s="55"/>
      <c r="AG377" s="55"/>
      <c r="AH377" s="55"/>
      <c r="AI377" s="55"/>
      <c r="AJ377" s="55"/>
      <c r="AK377" s="55"/>
      <c r="AL377" s="55"/>
      <c r="AM377" s="55"/>
      <c r="AN377" s="55"/>
      <c r="AO377" s="55"/>
      <c r="AP377" s="55"/>
      <c r="AQ377" s="55"/>
      <c r="AR377" s="55"/>
      <c r="AS377" s="55"/>
    </row>
    <row r="378" spans="1:45" x14ac:dyDescent="0.25">
      <c r="A378" s="55"/>
      <c r="B378" s="55"/>
      <c r="C378" s="55"/>
      <c r="D378" s="55"/>
      <c r="E378" s="55"/>
      <c r="F378" s="55"/>
      <c r="G378" s="55"/>
      <c r="H378" s="55"/>
      <c r="I378" s="55"/>
      <c r="J378" s="55"/>
      <c r="K378" s="55"/>
      <c r="L378" s="55"/>
      <c r="M378" s="55"/>
      <c r="N378" s="55"/>
      <c r="O378" s="55"/>
      <c r="P378" s="55"/>
      <c r="Q378" s="55"/>
      <c r="R378" s="55"/>
      <c r="S378" s="55"/>
      <c r="T378" s="55"/>
      <c r="U378" s="55"/>
      <c r="V378" s="55"/>
      <c r="W378" s="55"/>
      <c r="X378" s="55"/>
      <c r="Y378" s="55"/>
      <c r="Z378" s="55"/>
      <c r="AA378" s="55"/>
      <c r="AB378" s="55"/>
      <c r="AC378" s="55"/>
      <c r="AD378" s="55"/>
      <c r="AE378" s="55"/>
      <c r="AF378" s="55"/>
      <c r="AG378" s="55"/>
      <c r="AH378" s="55"/>
      <c r="AI378" s="55"/>
      <c r="AJ378" s="55"/>
      <c r="AK378" s="55"/>
      <c r="AL378" s="55"/>
      <c r="AM378" s="55"/>
      <c r="AN378" s="55"/>
      <c r="AO378" s="55"/>
      <c r="AP378" s="55"/>
      <c r="AQ378" s="55"/>
      <c r="AR378" s="55"/>
      <c r="AS378" s="55"/>
    </row>
    <row r="379" spans="1:45" x14ac:dyDescent="0.25">
      <c r="A379" s="55"/>
      <c r="B379" s="55"/>
      <c r="C379" s="55"/>
      <c r="D379" s="55"/>
      <c r="E379" s="55"/>
      <c r="F379" s="55"/>
      <c r="G379" s="55"/>
      <c r="H379" s="55"/>
      <c r="I379" s="55"/>
      <c r="J379" s="55"/>
      <c r="K379" s="55"/>
      <c r="L379" s="55"/>
      <c r="M379" s="55"/>
      <c r="N379" s="55"/>
      <c r="O379" s="55"/>
      <c r="P379" s="55"/>
      <c r="Q379" s="55"/>
      <c r="R379" s="55"/>
      <c r="S379" s="55"/>
      <c r="T379" s="55"/>
      <c r="U379" s="55"/>
      <c r="V379" s="55"/>
      <c r="W379" s="55"/>
      <c r="X379" s="55"/>
      <c r="Y379" s="55"/>
      <c r="Z379" s="55"/>
      <c r="AA379" s="55"/>
      <c r="AB379" s="55"/>
      <c r="AC379" s="55"/>
      <c r="AD379" s="55"/>
      <c r="AE379" s="55"/>
      <c r="AF379" s="55"/>
      <c r="AG379" s="55"/>
      <c r="AH379" s="55"/>
      <c r="AI379" s="55"/>
      <c r="AJ379" s="55"/>
      <c r="AK379" s="55"/>
      <c r="AL379" s="55"/>
      <c r="AM379" s="55"/>
      <c r="AN379" s="55"/>
      <c r="AO379" s="55"/>
      <c r="AP379" s="55"/>
      <c r="AQ379" s="55"/>
      <c r="AR379" s="55"/>
      <c r="AS379" s="55"/>
    </row>
    <row r="380" spans="1:45" x14ac:dyDescent="0.25">
      <c r="A380" s="55"/>
      <c r="B380" s="55"/>
      <c r="C380" s="55"/>
      <c r="D380" s="55"/>
      <c r="E380" s="55"/>
      <c r="F380" s="55"/>
      <c r="G380" s="55"/>
      <c r="H380" s="55"/>
      <c r="I380" s="55"/>
      <c r="J380" s="55"/>
      <c r="K380" s="55"/>
      <c r="L380" s="55"/>
      <c r="M380" s="55"/>
      <c r="N380" s="55"/>
      <c r="O380" s="55"/>
      <c r="P380" s="55"/>
      <c r="Q380" s="55"/>
      <c r="R380" s="55"/>
      <c r="S380" s="55"/>
      <c r="T380" s="55"/>
      <c r="U380" s="55"/>
      <c r="V380" s="55"/>
      <c r="W380" s="55"/>
      <c r="X380" s="55"/>
      <c r="Y380" s="55"/>
      <c r="Z380" s="55"/>
      <c r="AA380" s="55"/>
      <c r="AB380" s="55"/>
      <c r="AC380" s="55"/>
      <c r="AD380" s="55"/>
      <c r="AE380" s="55"/>
      <c r="AF380" s="55"/>
      <c r="AG380" s="55"/>
      <c r="AH380" s="55"/>
      <c r="AI380" s="55"/>
      <c r="AJ380" s="55"/>
      <c r="AK380" s="55"/>
      <c r="AL380" s="55"/>
      <c r="AM380" s="55"/>
      <c r="AN380" s="55"/>
      <c r="AO380" s="55"/>
      <c r="AP380" s="55"/>
      <c r="AQ380" s="55"/>
      <c r="AR380" s="55"/>
      <c r="AS380" s="55"/>
    </row>
    <row r="381" spans="1:45" x14ac:dyDescent="0.25">
      <c r="A381" s="55"/>
      <c r="B381" s="55"/>
      <c r="C381" s="55"/>
      <c r="D381" s="55"/>
      <c r="E381" s="55"/>
      <c r="F381" s="55"/>
      <c r="G381" s="55"/>
      <c r="H381" s="55"/>
      <c r="I381" s="55"/>
      <c r="J381" s="55"/>
      <c r="K381" s="55"/>
      <c r="L381" s="55"/>
      <c r="M381" s="55"/>
      <c r="N381" s="55"/>
      <c r="O381" s="55"/>
      <c r="P381" s="55"/>
      <c r="Q381" s="55"/>
      <c r="R381" s="55"/>
      <c r="S381" s="55"/>
      <c r="T381" s="55"/>
      <c r="U381" s="55"/>
      <c r="V381" s="55"/>
      <c r="W381" s="55"/>
      <c r="X381" s="55"/>
      <c r="Y381" s="55"/>
      <c r="Z381" s="55"/>
      <c r="AA381" s="55"/>
      <c r="AB381" s="55"/>
      <c r="AC381" s="55"/>
      <c r="AD381" s="55"/>
      <c r="AE381" s="55"/>
      <c r="AF381" s="55"/>
      <c r="AG381" s="55"/>
      <c r="AH381" s="55"/>
      <c r="AI381" s="55"/>
      <c r="AJ381" s="55"/>
      <c r="AK381" s="55"/>
      <c r="AL381" s="55"/>
      <c r="AM381" s="55"/>
      <c r="AN381" s="55"/>
      <c r="AO381" s="55"/>
      <c r="AP381" s="55"/>
      <c r="AQ381" s="55"/>
      <c r="AR381" s="55"/>
      <c r="AS381" s="55"/>
    </row>
    <row r="382" spans="1:45" x14ac:dyDescent="0.25">
      <c r="A382" s="55"/>
      <c r="B382" s="55"/>
      <c r="C382" s="55"/>
      <c r="D382" s="55"/>
      <c r="E382" s="55"/>
      <c r="F382" s="55"/>
      <c r="G382" s="55"/>
      <c r="H382" s="55"/>
      <c r="I382" s="55"/>
      <c r="J382" s="55"/>
      <c r="K382" s="55"/>
      <c r="L382" s="55"/>
      <c r="M382" s="55"/>
      <c r="N382" s="55"/>
      <c r="O382" s="55"/>
      <c r="P382" s="55"/>
      <c r="Q382" s="55"/>
      <c r="R382" s="55"/>
      <c r="S382" s="55"/>
      <c r="T382" s="55"/>
      <c r="U382" s="55"/>
      <c r="V382" s="55"/>
      <c r="W382" s="55"/>
      <c r="X382" s="55"/>
      <c r="Y382" s="55"/>
      <c r="Z382" s="55"/>
      <c r="AA382" s="55"/>
      <c r="AB382" s="55"/>
      <c r="AC382" s="55"/>
      <c r="AD382" s="55"/>
      <c r="AE382" s="55"/>
      <c r="AF382" s="55"/>
      <c r="AG382" s="55"/>
      <c r="AH382" s="55"/>
      <c r="AI382" s="55"/>
      <c r="AJ382" s="55"/>
      <c r="AK382" s="55"/>
      <c r="AL382" s="55"/>
      <c r="AM382" s="55"/>
      <c r="AN382" s="55"/>
      <c r="AO382" s="55"/>
      <c r="AP382" s="55"/>
      <c r="AQ382" s="55"/>
      <c r="AR382" s="55"/>
      <c r="AS382" s="55"/>
    </row>
    <row r="383" spans="1:45" x14ac:dyDescent="0.25">
      <c r="A383" s="55"/>
      <c r="B383" s="55"/>
      <c r="C383" s="55"/>
      <c r="D383" s="55"/>
      <c r="E383" s="55"/>
      <c r="F383" s="55"/>
      <c r="G383" s="55"/>
      <c r="H383" s="55"/>
      <c r="I383" s="55"/>
      <c r="J383" s="55"/>
      <c r="K383" s="55"/>
      <c r="L383" s="55"/>
      <c r="M383" s="55"/>
      <c r="N383" s="55"/>
      <c r="O383" s="55"/>
      <c r="P383" s="55"/>
      <c r="Q383" s="55"/>
      <c r="R383" s="55"/>
      <c r="S383" s="55"/>
      <c r="T383" s="55"/>
      <c r="U383" s="55"/>
      <c r="V383" s="55"/>
      <c r="W383" s="55"/>
      <c r="X383" s="55"/>
      <c r="Y383" s="55"/>
      <c r="Z383" s="55"/>
      <c r="AA383" s="55"/>
      <c r="AB383" s="55"/>
      <c r="AC383" s="55"/>
      <c r="AD383" s="55"/>
      <c r="AE383" s="55"/>
      <c r="AF383" s="55"/>
      <c r="AG383" s="55"/>
      <c r="AH383" s="55"/>
      <c r="AI383" s="55"/>
      <c r="AJ383" s="55"/>
      <c r="AK383" s="55"/>
      <c r="AL383" s="55"/>
      <c r="AM383" s="55"/>
      <c r="AN383" s="55"/>
      <c r="AO383" s="55"/>
      <c r="AP383" s="55"/>
      <c r="AQ383" s="55"/>
      <c r="AR383" s="55"/>
      <c r="AS383" s="55"/>
    </row>
    <row r="384" spans="1:45" x14ac:dyDescent="0.25">
      <c r="A384" s="55"/>
      <c r="B384" s="55"/>
      <c r="C384" s="55"/>
      <c r="D384" s="55"/>
      <c r="E384" s="55"/>
      <c r="F384" s="55"/>
      <c r="G384" s="55"/>
      <c r="H384" s="55"/>
      <c r="I384" s="55"/>
      <c r="J384" s="55"/>
      <c r="K384" s="55"/>
      <c r="L384" s="55"/>
      <c r="M384" s="55"/>
      <c r="N384" s="55"/>
      <c r="O384" s="55"/>
      <c r="P384" s="55"/>
      <c r="Q384" s="55"/>
      <c r="R384" s="55"/>
      <c r="S384" s="55"/>
      <c r="T384" s="55"/>
      <c r="U384" s="55"/>
      <c r="V384" s="55"/>
      <c r="W384" s="55"/>
      <c r="X384" s="55"/>
      <c r="Y384" s="55"/>
      <c r="Z384" s="55"/>
      <c r="AA384" s="55"/>
      <c r="AB384" s="55"/>
      <c r="AC384" s="55"/>
      <c r="AD384" s="55"/>
      <c r="AE384" s="55"/>
      <c r="AF384" s="55"/>
      <c r="AG384" s="55"/>
      <c r="AH384" s="55"/>
      <c r="AI384" s="55"/>
      <c r="AJ384" s="55"/>
      <c r="AK384" s="55"/>
      <c r="AL384" s="55"/>
      <c r="AM384" s="55"/>
      <c r="AN384" s="55"/>
      <c r="AO384" s="55"/>
      <c r="AP384" s="55"/>
      <c r="AQ384" s="55"/>
      <c r="AR384" s="55"/>
      <c r="AS384" s="55"/>
    </row>
    <row r="385" spans="1:45" x14ac:dyDescent="0.25">
      <c r="A385" s="55"/>
      <c r="B385" s="55"/>
      <c r="C385" s="55"/>
      <c r="D385" s="55"/>
      <c r="E385" s="55"/>
      <c r="F385" s="55"/>
      <c r="G385" s="55"/>
      <c r="H385" s="55"/>
      <c r="I385" s="55"/>
      <c r="J385" s="55"/>
      <c r="K385" s="55"/>
      <c r="L385" s="55"/>
      <c r="M385" s="55"/>
      <c r="N385" s="55"/>
      <c r="O385" s="55"/>
      <c r="P385" s="55"/>
      <c r="Q385" s="55"/>
      <c r="R385" s="55"/>
      <c r="S385" s="55"/>
      <c r="T385" s="55"/>
      <c r="U385" s="55"/>
      <c r="V385" s="55"/>
      <c r="W385" s="55"/>
      <c r="X385" s="55"/>
      <c r="Y385" s="55"/>
      <c r="Z385" s="55"/>
      <c r="AA385" s="55"/>
      <c r="AB385" s="55"/>
      <c r="AC385" s="55"/>
      <c r="AD385" s="55"/>
      <c r="AE385" s="55"/>
      <c r="AF385" s="55"/>
      <c r="AG385" s="55"/>
      <c r="AH385" s="55"/>
      <c r="AI385" s="55"/>
      <c r="AJ385" s="55"/>
      <c r="AK385" s="55"/>
      <c r="AL385" s="55"/>
      <c r="AM385" s="55"/>
      <c r="AN385" s="55"/>
      <c r="AO385" s="55"/>
      <c r="AP385" s="55"/>
      <c r="AQ385" s="55"/>
      <c r="AR385" s="55"/>
      <c r="AS385" s="55"/>
    </row>
    <row r="386" spans="1:45" x14ac:dyDescent="0.25">
      <c r="A386" s="55"/>
      <c r="B386" s="55"/>
      <c r="C386" s="55"/>
      <c r="D386" s="55"/>
      <c r="E386" s="55"/>
      <c r="F386" s="55"/>
      <c r="G386" s="55"/>
      <c r="H386" s="55"/>
      <c r="I386" s="55"/>
      <c r="J386" s="55"/>
      <c r="K386" s="55"/>
      <c r="L386" s="55"/>
      <c r="M386" s="55"/>
      <c r="N386" s="55"/>
      <c r="O386" s="55"/>
      <c r="P386" s="55"/>
      <c r="Q386" s="55"/>
      <c r="R386" s="55"/>
      <c r="S386" s="55"/>
      <c r="T386" s="55"/>
      <c r="U386" s="55"/>
      <c r="V386" s="55"/>
      <c r="W386" s="55"/>
      <c r="X386" s="55"/>
      <c r="Y386" s="55"/>
      <c r="Z386" s="55"/>
      <c r="AA386" s="55"/>
      <c r="AB386" s="55"/>
      <c r="AC386" s="55"/>
      <c r="AD386" s="55"/>
      <c r="AE386" s="55"/>
      <c r="AF386" s="55"/>
      <c r="AG386" s="55"/>
      <c r="AH386" s="55"/>
      <c r="AI386" s="55"/>
      <c r="AJ386" s="55"/>
      <c r="AK386" s="55"/>
      <c r="AL386" s="55"/>
      <c r="AM386" s="55"/>
      <c r="AN386" s="55"/>
      <c r="AO386" s="55"/>
      <c r="AP386" s="55"/>
      <c r="AQ386" s="55"/>
      <c r="AR386" s="55"/>
      <c r="AS386" s="55"/>
    </row>
    <row r="387" spans="1:45" x14ac:dyDescent="0.25">
      <c r="A387" s="55"/>
      <c r="B387" s="55"/>
      <c r="C387" s="55"/>
      <c r="D387" s="55"/>
      <c r="E387" s="55"/>
      <c r="F387" s="55"/>
      <c r="G387" s="55"/>
      <c r="H387" s="55"/>
      <c r="I387" s="55"/>
      <c r="J387" s="55"/>
      <c r="K387" s="55"/>
      <c r="L387" s="55"/>
      <c r="M387" s="55"/>
      <c r="N387" s="55"/>
      <c r="O387" s="55"/>
      <c r="P387" s="55"/>
      <c r="Q387" s="55"/>
      <c r="R387" s="55"/>
      <c r="S387" s="55"/>
      <c r="T387" s="55"/>
      <c r="U387" s="55"/>
      <c r="V387" s="55"/>
      <c r="W387" s="55"/>
      <c r="X387" s="55"/>
      <c r="Y387" s="55"/>
      <c r="Z387" s="55"/>
      <c r="AA387" s="55"/>
      <c r="AB387" s="55"/>
      <c r="AC387" s="55"/>
      <c r="AD387" s="55"/>
      <c r="AE387" s="55"/>
      <c r="AF387" s="55"/>
      <c r="AG387" s="55"/>
      <c r="AH387" s="55"/>
      <c r="AI387" s="55"/>
      <c r="AJ387" s="55"/>
      <c r="AK387" s="55"/>
      <c r="AL387" s="55"/>
      <c r="AM387" s="55"/>
      <c r="AN387" s="55"/>
      <c r="AO387" s="55"/>
      <c r="AP387" s="55"/>
      <c r="AQ387" s="55"/>
      <c r="AR387" s="55"/>
      <c r="AS387" s="55"/>
    </row>
    <row r="388" spans="1:45" x14ac:dyDescent="0.25">
      <c r="A388" s="55"/>
      <c r="B388" s="55"/>
      <c r="C388" s="55"/>
      <c r="D388" s="55"/>
      <c r="E388" s="55"/>
      <c r="F388" s="55"/>
      <c r="G388" s="55"/>
      <c r="H388" s="55"/>
      <c r="I388" s="55"/>
      <c r="J388" s="55"/>
      <c r="K388" s="55"/>
      <c r="L388" s="55"/>
      <c r="M388" s="55"/>
      <c r="N388" s="55"/>
      <c r="O388" s="55"/>
      <c r="P388" s="55"/>
      <c r="Q388" s="55"/>
      <c r="R388" s="55"/>
      <c r="S388" s="55"/>
      <c r="T388" s="55"/>
      <c r="U388" s="55"/>
      <c r="V388" s="55"/>
      <c r="W388" s="55"/>
      <c r="X388" s="55"/>
      <c r="Y388" s="55"/>
      <c r="Z388" s="55"/>
      <c r="AA388" s="55"/>
      <c r="AB388" s="55"/>
      <c r="AC388" s="55"/>
      <c r="AD388" s="55"/>
      <c r="AE388" s="55"/>
      <c r="AF388" s="55"/>
      <c r="AG388" s="55"/>
      <c r="AH388" s="55"/>
      <c r="AI388" s="55"/>
      <c r="AJ388" s="55"/>
      <c r="AK388" s="55"/>
      <c r="AL388" s="55"/>
      <c r="AM388" s="55"/>
      <c r="AN388" s="55"/>
      <c r="AO388" s="55"/>
      <c r="AP388" s="55"/>
      <c r="AQ388" s="55"/>
      <c r="AR388" s="55"/>
      <c r="AS388" s="55"/>
    </row>
    <row r="389" spans="1:45" x14ac:dyDescent="0.25">
      <c r="A389" s="55"/>
      <c r="B389" s="55"/>
      <c r="C389" s="55"/>
      <c r="D389" s="55"/>
      <c r="E389" s="55"/>
      <c r="F389" s="55"/>
      <c r="G389" s="55"/>
      <c r="H389" s="55"/>
      <c r="I389" s="55"/>
      <c r="J389" s="55"/>
      <c r="K389" s="55"/>
      <c r="L389" s="55"/>
      <c r="M389" s="55"/>
      <c r="N389" s="55"/>
      <c r="O389" s="55"/>
      <c r="P389" s="55"/>
      <c r="Q389" s="55"/>
      <c r="R389" s="55"/>
      <c r="S389" s="55"/>
      <c r="T389" s="55"/>
      <c r="U389" s="55"/>
      <c r="V389" s="55"/>
      <c r="W389" s="55"/>
      <c r="X389" s="55"/>
      <c r="Y389" s="55"/>
      <c r="Z389" s="55"/>
      <c r="AA389" s="55"/>
      <c r="AB389" s="55"/>
      <c r="AC389" s="55"/>
      <c r="AD389" s="55"/>
      <c r="AE389" s="55"/>
      <c r="AF389" s="55"/>
      <c r="AG389" s="55"/>
      <c r="AH389" s="55"/>
      <c r="AI389" s="55"/>
      <c r="AJ389" s="55"/>
      <c r="AK389" s="55"/>
      <c r="AL389" s="55"/>
      <c r="AM389" s="55"/>
      <c r="AN389" s="55"/>
      <c r="AO389" s="55"/>
      <c r="AP389" s="55"/>
      <c r="AQ389" s="55"/>
      <c r="AR389" s="55"/>
      <c r="AS389" s="55"/>
    </row>
    <row r="390" spans="1:45" x14ac:dyDescent="0.25">
      <c r="A390" s="55"/>
      <c r="B390" s="55"/>
      <c r="C390" s="55"/>
      <c r="D390" s="55"/>
      <c r="E390" s="55"/>
      <c r="F390" s="55"/>
      <c r="G390" s="55"/>
      <c r="H390" s="55"/>
      <c r="I390" s="55"/>
      <c r="J390" s="55"/>
      <c r="K390" s="55"/>
      <c r="L390" s="55"/>
      <c r="M390" s="55"/>
      <c r="N390" s="55"/>
      <c r="O390" s="55"/>
      <c r="P390" s="55"/>
      <c r="Q390" s="55"/>
      <c r="R390" s="55"/>
      <c r="S390" s="55"/>
      <c r="T390" s="55"/>
      <c r="U390" s="55"/>
      <c r="V390" s="55"/>
      <c r="W390" s="55"/>
      <c r="X390" s="55"/>
      <c r="Y390" s="55"/>
      <c r="Z390" s="55"/>
      <c r="AA390" s="55"/>
      <c r="AB390" s="55"/>
      <c r="AC390" s="55"/>
      <c r="AD390" s="55"/>
      <c r="AE390" s="55"/>
      <c r="AF390" s="55"/>
      <c r="AG390" s="55"/>
      <c r="AH390" s="55"/>
      <c r="AI390" s="55"/>
      <c r="AJ390" s="55"/>
      <c r="AK390" s="55"/>
      <c r="AL390" s="55"/>
      <c r="AM390" s="55"/>
      <c r="AN390" s="55"/>
      <c r="AO390" s="55"/>
      <c r="AP390" s="55"/>
      <c r="AQ390" s="55"/>
      <c r="AR390" s="55"/>
      <c r="AS390" s="55"/>
    </row>
    <row r="391" spans="1:45" x14ac:dyDescent="0.25">
      <c r="A391" s="55"/>
      <c r="J391" s="55"/>
      <c r="K391" s="55"/>
      <c r="L391" s="55"/>
      <c r="M391" s="55"/>
      <c r="N391" s="55"/>
      <c r="O391" s="55"/>
      <c r="P391" s="55"/>
      <c r="Q391" s="55"/>
      <c r="R391" s="55"/>
      <c r="S391" s="55"/>
      <c r="T391" s="55"/>
      <c r="U391" s="55"/>
      <c r="V391" s="55"/>
      <c r="W391" s="55"/>
      <c r="X391" s="55"/>
      <c r="Y391" s="55"/>
      <c r="Z391" s="55"/>
      <c r="AA391" s="55"/>
      <c r="AB391" s="55"/>
      <c r="AC391" s="55"/>
      <c r="AD391" s="55"/>
      <c r="AE391" s="55"/>
      <c r="AF391" s="55"/>
      <c r="AG391" s="55"/>
      <c r="AH391" s="55"/>
      <c r="AI391" s="55"/>
      <c r="AJ391" s="55"/>
      <c r="AK391" s="55"/>
      <c r="AL391" s="55"/>
      <c r="AM391" s="55"/>
      <c r="AN391" s="55"/>
      <c r="AO391" s="55"/>
      <c r="AP391" s="55"/>
      <c r="AQ391" s="55"/>
      <c r="AR391" s="55"/>
      <c r="AS391" s="55"/>
    </row>
    <row r="392" spans="1:45" x14ac:dyDescent="0.25">
      <c r="A392" s="55"/>
      <c r="J392" s="55"/>
      <c r="K392" s="55"/>
      <c r="L392" s="55"/>
      <c r="M392" s="55"/>
      <c r="N392" s="55"/>
      <c r="O392" s="55"/>
      <c r="P392" s="55"/>
      <c r="Q392" s="55"/>
      <c r="R392" s="55"/>
      <c r="S392" s="55"/>
      <c r="T392" s="55"/>
      <c r="U392" s="55"/>
      <c r="V392" s="55"/>
      <c r="W392" s="55"/>
      <c r="X392" s="55"/>
      <c r="Y392" s="55"/>
      <c r="Z392" s="55"/>
      <c r="AA392" s="55"/>
      <c r="AB392" s="55"/>
      <c r="AC392" s="55"/>
      <c r="AD392" s="55"/>
      <c r="AE392" s="55"/>
      <c r="AF392" s="55"/>
      <c r="AG392" s="55"/>
      <c r="AH392" s="55"/>
      <c r="AI392" s="55"/>
      <c r="AJ392" s="55"/>
      <c r="AK392" s="55"/>
      <c r="AL392" s="55"/>
      <c r="AM392" s="55"/>
      <c r="AN392" s="55"/>
      <c r="AO392" s="55"/>
      <c r="AP392" s="55"/>
      <c r="AQ392" s="55"/>
      <c r="AR392" s="55"/>
      <c r="AS392" s="55"/>
    </row>
    <row r="393" spans="1:45" x14ac:dyDescent="0.25">
      <c r="A393" s="55"/>
      <c r="J393" s="55"/>
      <c r="K393" s="55"/>
      <c r="L393" s="55"/>
      <c r="M393" s="55"/>
      <c r="N393" s="55"/>
      <c r="O393" s="55"/>
      <c r="P393" s="55"/>
      <c r="Q393" s="55"/>
      <c r="R393" s="55"/>
      <c r="S393" s="55"/>
      <c r="T393" s="55"/>
      <c r="U393" s="55"/>
      <c r="V393" s="55"/>
      <c r="W393" s="55"/>
      <c r="X393" s="55"/>
      <c r="Y393" s="55"/>
      <c r="Z393" s="55"/>
      <c r="AA393" s="55"/>
      <c r="AB393" s="55"/>
      <c r="AC393" s="55"/>
      <c r="AD393" s="55"/>
      <c r="AE393" s="55"/>
      <c r="AF393" s="55"/>
      <c r="AG393" s="55"/>
      <c r="AH393" s="55"/>
      <c r="AI393" s="55"/>
      <c r="AJ393" s="55"/>
      <c r="AK393" s="55"/>
      <c r="AL393" s="55"/>
      <c r="AM393" s="55"/>
      <c r="AN393" s="55"/>
      <c r="AO393" s="55"/>
      <c r="AP393" s="55"/>
      <c r="AQ393" s="55"/>
      <c r="AR393" s="55"/>
      <c r="AS393" s="55"/>
    </row>
    <row r="394" spans="1:45" x14ac:dyDescent="0.25">
      <c r="A394" s="55"/>
      <c r="J394" s="55"/>
      <c r="K394" s="55"/>
      <c r="L394" s="55"/>
      <c r="M394" s="55"/>
      <c r="N394" s="55"/>
      <c r="O394" s="55"/>
      <c r="P394" s="55"/>
      <c r="Q394" s="55"/>
      <c r="R394" s="55"/>
      <c r="S394" s="55"/>
      <c r="T394" s="55"/>
      <c r="U394" s="55"/>
      <c r="V394" s="55"/>
      <c r="W394" s="55"/>
      <c r="X394" s="55"/>
      <c r="Y394" s="55"/>
      <c r="Z394" s="55"/>
      <c r="AA394" s="55"/>
      <c r="AB394" s="55"/>
      <c r="AC394" s="55"/>
      <c r="AD394" s="55"/>
      <c r="AE394" s="55"/>
      <c r="AF394" s="55"/>
      <c r="AG394" s="55"/>
      <c r="AH394" s="55"/>
      <c r="AI394" s="55"/>
      <c r="AJ394" s="55"/>
      <c r="AK394" s="55"/>
      <c r="AL394" s="55"/>
      <c r="AM394" s="55"/>
      <c r="AN394" s="55"/>
      <c r="AO394" s="55"/>
      <c r="AP394" s="55"/>
      <c r="AQ394" s="55"/>
      <c r="AR394" s="55"/>
      <c r="AS394" s="55"/>
    </row>
    <row r="395" spans="1:45" x14ac:dyDescent="0.25">
      <c r="A395" s="55"/>
      <c r="J395" s="55"/>
      <c r="K395" s="55"/>
      <c r="L395" s="55"/>
      <c r="M395" s="55"/>
      <c r="N395" s="55"/>
      <c r="O395" s="55"/>
      <c r="P395" s="55"/>
      <c r="Q395" s="55"/>
      <c r="R395" s="55"/>
      <c r="S395" s="55"/>
      <c r="T395" s="55"/>
      <c r="U395" s="55"/>
      <c r="V395" s="55"/>
      <c r="W395" s="55"/>
      <c r="X395" s="55"/>
      <c r="Y395" s="55"/>
      <c r="Z395" s="55"/>
      <c r="AA395" s="55"/>
      <c r="AB395" s="55"/>
      <c r="AC395" s="55"/>
      <c r="AD395" s="55"/>
      <c r="AE395" s="55"/>
      <c r="AF395" s="55"/>
      <c r="AG395" s="55"/>
      <c r="AH395" s="55"/>
      <c r="AI395" s="55"/>
      <c r="AJ395" s="55"/>
      <c r="AK395" s="55"/>
      <c r="AL395" s="55"/>
      <c r="AM395" s="55"/>
      <c r="AN395" s="55"/>
      <c r="AO395" s="55"/>
      <c r="AP395" s="55"/>
      <c r="AQ395" s="55"/>
      <c r="AR395" s="55"/>
      <c r="AS395" s="55"/>
    </row>
    <row r="396" spans="1:45" x14ac:dyDescent="0.25">
      <c r="A396" s="55"/>
      <c r="J396" s="55"/>
      <c r="K396" s="55"/>
      <c r="L396" s="55"/>
      <c r="M396" s="55"/>
      <c r="N396" s="55"/>
      <c r="O396" s="55"/>
      <c r="P396" s="55"/>
      <c r="Q396" s="55"/>
      <c r="R396" s="55"/>
      <c r="S396" s="55"/>
      <c r="T396" s="55"/>
      <c r="U396" s="55"/>
      <c r="V396" s="55"/>
      <c r="W396" s="55"/>
      <c r="X396" s="55"/>
      <c r="Y396" s="55"/>
      <c r="Z396" s="55"/>
      <c r="AA396" s="55"/>
      <c r="AB396" s="55"/>
      <c r="AC396" s="55"/>
      <c r="AD396" s="55"/>
      <c r="AE396" s="55"/>
      <c r="AF396" s="55"/>
      <c r="AG396" s="55"/>
      <c r="AH396" s="55"/>
      <c r="AI396" s="55"/>
      <c r="AJ396" s="55"/>
      <c r="AK396" s="55"/>
      <c r="AL396" s="55"/>
      <c r="AM396" s="55"/>
      <c r="AN396" s="55"/>
      <c r="AO396" s="55"/>
      <c r="AP396" s="55"/>
      <c r="AQ396" s="55"/>
      <c r="AR396" s="55"/>
      <c r="AS396" s="55"/>
    </row>
    <row r="397" spans="1:45" x14ac:dyDescent="0.25">
      <c r="A397" s="55"/>
      <c r="J397" s="55"/>
      <c r="K397" s="55"/>
      <c r="L397" s="55"/>
      <c r="M397" s="55"/>
      <c r="N397" s="55"/>
      <c r="O397" s="55"/>
      <c r="P397" s="55"/>
      <c r="Q397" s="55"/>
      <c r="R397" s="55"/>
      <c r="S397" s="55"/>
      <c r="T397" s="55"/>
      <c r="U397" s="55"/>
      <c r="V397" s="55"/>
      <c r="W397" s="55"/>
      <c r="X397" s="55"/>
      <c r="Y397" s="55"/>
      <c r="Z397" s="55"/>
      <c r="AA397" s="55"/>
      <c r="AB397" s="55"/>
      <c r="AC397" s="55"/>
      <c r="AD397" s="55"/>
      <c r="AE397" s="55"/>
      <c r="AF397" s="55"/>
      <c r="AG397" s="55"/>
      <c r="AH397" s="55"/>
      <c r="AI397" s="55"/>
      <c r="AJ397" s="55"/>
      <c r="AK397" s="55"/>
      <c r="AL397" s="55"/>
      <c r="AM397" s="55"/>
      <c r="AN397" s="55"/>
      <c r="AO397" s="55"/>
      <c r="AP397" s="55"/>
      <c r="AQ397" s="55"/>
      <c r="AR397" s="55"/>
      <c r="AS397" s="55"/>
    </row>
    <row r="398" spans="1:45" x14ac:dyDescent="0.25">
      <c r="A398" s="55"/>
      <c r="J398" s="55"/>
      <c r="K398" s="55"/>
      <c r="L398" s="55"/>
      <c r="M398" s="55"/>
      <c r="N398" s="55"/>
      <c r="O398" s="55"/>
      <c r="P398" s="55"/>
      <c r="Q398" s="55"/>
      <c r="R398" s="55"/>
      <c r="S398" s="55"/>
      <c r="T398" s="55"/>
      <c r="U398" s="55"/>
      <c r="V398" s="55"/>
      <c r="W398" s="55"/>
      <c r="X398" s="55"/>
      <c r="Y398" s="55"/>
      <c r="Z398" s="55"/>
      <c r="AA398" s="55"/>
      <c r="AB398" s="55"/>
      <c r="AC398" s="55"/>
      <c r="AD398" s="55"/>
      <c r="AE398" s="55"/>
      <c r="AF398" s="55"/>
      <c r="AG398" s="55"/>
      <c r="AH398" s="55"/>
      <c r="AI398" s="55"/>
      <c r="AJ398" s="55"/>
      <c r="AK398" s="55"/>
      <c r="AL398" s="55"/>
      <c r="AM398" s="55"/>
      <c r="AN398" s="55"/>
      <c r="AO398" s="55"/>
      <c r="AP398" s="55"/>
      <c r="AQ398" s="55"/>
      <c r="AR398" s="55"/>
      <c r="AS398" s="55"/>
    </row>
    <row r="399" spans="1:45" x14ac:dyDescent="0.25">
      <c r="A399" s="55"/>
      <c r="J399" s="55"/>
      <c r="K399" s="55"/>
      <c r="L399" s="55"/>
      <c r="M399" s="55"/>
      <c r="N399" s="55"/>
      <c r="O399" s="55"/>
      <c r="P399" s="55"/>
      <c r="Q399" s="55"/>
      <c r="R399" s="55"/>
      <c r="S399" s="55"/>
      <c r="T399" s="55"/>
      <c r="U399" s="55"/>
      <c r="V399" s="55"/>
      <c r="W399" s="55"/>
      <c r="X399" s="55"/>
      <c r="Y399" s="55"/>
      <c r="Z399" s="55"/>
      <c r="AA399" s="55"/>
      <c r="AB399" s="55"/>
      <c r="AC399" s="55"/>
      <c r="AD399" s="55"/>
      <c r="AE399" s="55"/>
      <c r="AF399" s="55"/>
      <c r="AG399" s="55"/>
      <c r="AH399" s="55"/>
      <c r="AI399" s="55"/>
      <c r="AJ399" s="55"/>
      <c r="AK399" s="55"/>
      <c r="AL399" s="55"/>
      <c r="AM399" s="55"/>
      <c r="AN399" s="55"/>
      <c r="AO399" s="55"/>
      <c r="AP399" s="55"/>
      <c r="AQ399" s="55"/>
      <c r="AR399" s="55"/>
      <c r="AS399" s="55"/>
    </row>
    <row r="400" spans="1:45" x14ac:dyDescent="0.25">
      <c r="A400" s="55"/>
      <c r="J400" s="55"/>
      <c r="K400" s="55"/>
      <c r="L400" s="55"/>
      <c r="M400" s="55"/>
      <c r="N400" s="55"/>
      <c r="O400" s="55"/>
      <c r="P400" s="55"/>
      <c r="Q400" s="55"/>
      <c r="R400" s="55"/>
      <c r="S400" s="55"/>
      <c r="T400" s="55"/>
      <c r="U400" s="55"/>
      <c r="V400" s="55"/>
      <c r="W400" s="55"/>
      <c r="X400" s="55"/>
      <c r="Y400" s="55"/>
      <c r="Z400" s="55"/>
      <c r="AA400" s="55"/>
      <c r="AB400" s="55"/>
      <c r="AC400" s="55"/>
      <c r="AD400" s="55"/>
      <c r="AE400" s="55"/>
      <c r="AF400" s="55"/>
      <c r="AG400" s="55"/>
      <c r="AH400" s="55"/>
      <c r="AI400" s="55"/>
      <c r="AJ400" s="55"/>
      <c r="AK400" s="55"/>
      <c r="AL400" s="55"/>
      <c r="AM400" s="55"/>
      <c r="AN400" s="55"/>
      <c r="AO400" s="55"/>
      <c r="AP400" s="55"/>
      <c r="AQ400" s="55"/>
      <c r="AR400" s="55"/>
      <c r="AS400" s="55"/>
    </row>
    <row r="401" spans="1:45" x14ac:dyDescent="0.25">
      <c r="A401" s="55"/>
      <c r="J401" s="55"/>
      <c r="K401" s="55"/>
      <c r="L401" s="55"/>
      <c r="M401" s="55"/>
      <c r="N401" s="55"/>
      <c r="O401" s="55"/>
      <c r="P401" s="55"/>
      <c r="Q401" s="55"/>
      <c r="R401" s="55"/>
      <c r="S401" s="55"/>
      <c r="T401" s="55"/>
      <c r="U401" s="55"/>
      <c r="V401" s="55"/>
      <c r="W401" s="55"/>
      <c r="X401" s="55"/>
      <c r="Y401" s="55"/>
      <c r="Z401" s="55"/>
      <c r="AA401" s="55"/>
      <c r="AB401" s="55"/>
      <c r="AC401" s="55"/>
      <c r="AD401" s="55"/>
      <c r="AE401" s="55"/>
      <c r="AF401" s="55"/>
      <c r="AG401" s="55"/>
      <c r="AH401" s="55"/>
      <c r="AI401" s="55"/>
      <c r="AJ401" s="55"/>
      <c r="AK401" s="55"/>
      <c r="AL401" s="55"/>
      <c r="AM401" s="55"/>
      <c r="AN401" s="55"/>
      <c r="AO401" s="55"/>
      <c r="AP401" s="55"/>
      <c r="AQ401" s="55"/>
      <c r="AR401" s="55"/>
      <c r="AS401" s="55"/>
    </row>
    <row r="402" spans="1:45" x14ac:dyDescent="0.25">
      <c r="A402" s="55"/>
      <c r="J402" s="55"/>
      <c r="K402" s="55"/>
      <c r="L402" s="55"/>
      <c r="M402" s="55"/>
      <c r="N402" s="55"/>
      <c r="O402" s="55"/>
      <c r="P402" s="55"/>
      <c r="Q402" s="55"/>
      <c r="R402" s="55"/>
      <c r="S402" s="55"/>
      <c r="T402" s="55"/>
      <c r="U402" s="55"/>
      <c r="V402" s="55"/>
      <c r="W402" s="55"/>
      <c r="X402" s="55"/>
      <c r="Y402" s="55"/>
      <c r="Z402" s="55"/>
      <c r="AA402" s="55"/>
      <c r="AB402" s="55"/>
      <c r="AC402" s="55"/>
      <c r="AD402" s="55"/>
      <c r="AE402" s="55"/>
      <c r="AF402" s="55"/>
      <c r="AG402" s="55"/>
      <c r="AH402" s="55"/>
      <c r="AI402" s="55"/>
      <c r="AJ402" s="55"/>
      <c r="AK402" s="55"/>
      <c r="AL402" s="55"/>
      <c r="AM402" s="55"/>
      <c r="AN402" s="55"/>
      <c r="AO402" s="55"/>
      <c r="AP402" s="55"/>
      <c r="AQ402" s="55"/>
      <c r="AR402" s="55"/>
      <c r="AS402" s="55"/>
    </row>
    <row r="403" spans="1:45" x14ac:dyDescent="0.25">
      <c r="A403" s="55"/>
      <c r="J403" s="55"/>
      <c r="K403" s="55"/>
      <c r="L403" s="55"/>
      <c r="M403" s="55"/>
      <c r="N403" s="55"/>
      <c r="O403" s="55"/>
      <c r="P403" s="55"/>
      <c r="Q403" s="55"/>
      <c r="R403" s="55"/>
      <c r="S403" s="55"/>
      <c r="T403" s="55"/>
      <c r="U403" s="55"/>
      <c r="V403" s="55"/>
      <c r="W403" s="55"/>
      <c r="X403" s="55"/>
      <c r="Y403" s="55"/>
      <c r="Z403" s="55"/>
      <c r="AA403" s="55"/>
      <c r="AB403" s="55"/>
      <c r="AC403" s="55"/>
      <c r="AD403" s="55"/>
      <c r="AE403" s="55"/>
      <c r="AF403" s="55"/>
      <c r="AG403" s="55"/>
      <c r="AH403" s="55"/>
      <c r="AI403" s="55"/>
      <c r="AJ403" s="55"/>
      <c r="AK403" s="55"/>
      <c r="AL403" s="55"/>
      <c r="AM403" s="55"/>
      <c r="AN403" s="55"/>
      <c r="AO403" s="55"/>
      <c r="AP403" s="55"/>
      <c r="AQ403" s="55"/>
      <c r="AR403" s="55"/>
      <c r="AS403" s="55"/>
    </row>
    <row r="404" spans="1:45" x14ac:dyDescent="0.25">
      <c r="A404" s="55"/>
      <c r="J404" s="55"/>
      <c r="K404" s="55"/>
      <c r="L404" s="55"/>
      <c r="M404" s="55"/>
      <c r="N404" s="55"/>
      <c r="O404" s="55"/>
      <c r="P404" s="55"/>
      <c r="Q404" s="55"/>
      <c r="R404" s="55"/>
      <c r="S404" s="55"/>
      <c r="T404" s="55"/>
      <c r="U404" s="55"/>
      <c r="V404" s="55"/>
      <c r="W404" s="55"/>
      <c r="X404" s="55"/>
      <c r="Y404" s="55"/>
      <c r="Z404" s="55"/>
      <c r="AA404" s="55"/>
      <c r="AB404" s="55"/>
      <c r="AC404" s="55"/>
      <c r="AD404" s="55"/>
      <c r="AE404" s="55"/>
      <c r="AF404" s="55"/>
      <c r="AG404" s="55"/>
      <c r="AH404" s="55"/>
      <c r="AI404" s="55"/>
      <c r="AJ404" s="55"/>
      <c r="AK404" s="55"/>
      <c r="AL404" s="55"/>
      <c r="AM404" s="55"/>
      <c r="AN404" s="55"/>
      <c r="AO404" s="55"/>
      <c r="AP404" s="55"/>
      <c r="AQ404" s="55"/>
      <c r="AR404" s="55"/>
      <c r="AS404" s="55"/>
    </row>
    <row r="405" spans="1:45" x14ac:dyDescent="0.25">
      <c r="A405" s="55"/>
      <c r="J405" s="55"/>
      <c r="K405" s="55"/>
      <c r="L405" s="55"/>
      <c r="M405" s="55"/>
      <c r="N405" s="55"/>
      <c r="O405" s="55"/>
      <c r="P405" s="55"/>
      <c r="Q405" s="55"/>
      <c r="R405" s="55"/>
      <c r="S405" s="55"/>
      <c r="T405" s="55"/>
      <c r="U405" s="55"/>
      <c r="V405" s="55"/>
      <c r="W405" s="55"/>
      <c r="X405" s="55"/>
      <c r="Y405" s="55"/>
      <c r="Z405" s="55"/>
      <c r="AA405" s="55"/>
      <c r="AB405" s="55"/>
      <c r="AC405" s="55"/>
      <c r="AD405" s="55"/>
      <c r="AE405" s="55"/>
      <c r="AF405" s="55"/>
      <c r="AG405" s="55"/>
      <c r="AH405" s="55"/>
      <c r="AI405" s="55"/>
      <c r="AJ405" s="55"/>
      <c r="AK405" s="55"/>
      <c r="AL405" s="55"/>
      <c r="AM405" s="55"/>
      <c r="AN405" s="55"/>
      <c r="AO405" s="55"/>
      <c r="AP405" s="55"/>
      <c r="AQ405" s="55"/>
      <c r="AR405" s="55"/>
      <c r="AS405" s="55"/>
    </row>
    <row r="406" spans="1:45" x14ac:dyDescent="0.25">
      <c r="A406" s="55"/>
      <c r="J406" s="55"/>
      <c r="K406" s="55"/>
      <c r="L406" s="55"/>
      <c r="M406" s="55"/>
      <c r="N406" s="55"/>
      <c r="O406" s="55"/>
      <c r="P406" s="55"/>
      <c r="Q406" s="55"/>
      <c r="R406" s="55"/>
      <c r="S406" s="55"/>
      <c r="T406" s="55"/>
      <c r="U406" s="55"/>
      <c r="V406" s="55"/>
      <c r="W406" s="55"/>
      <c r="X406" s="55"/>
      <c r="Y406" s="55"/>
      <c r="Z406" s="55"/>
      <c r="AA406" s="55"/>
      <c r="AB406" s="55"/>
      <c r="AC406" s="55"/>
      <c r="AD406" s="55"/>
      <c r="AE406" s="55"/>
      <c r="AF406" s="55"/>
      <c r="AG406" s="55"/>
      <c r="AH406" s="55"/>
      <c r="AI406" s="55"/>
      <c r="AJ406" s="55"/>
      <c r="AK406" s="55"/>
      <c r="AL406" s="55"/>
      <c r="AM406" s="55"/>
      <c r="AN406" s="55"/>
      <c r="AO406" s="55"/>
      <c r="AP406" s="55"/>
      <c r="AQ406" s="55"/>
      <c r="AR406" s="55"/>
      <c r="AS406" s="55"/>
    </row>
    <row r="407" spans="1:45" x14ac:dyDescent="0.25">
      <c r="A407" s="55"/>
      <c r="J407" s="55"/>
      <c r="K407" s="55"/>
      <c r="L407" s="55"/>
      <c r="M407" s="55"/>
      <c r="N407" s="55"/>
      <c r="O407" s="55"/>
      <c r="P407" s="55"/>
      <c r="Q407" s="55"/>
      <c r="R407" s="55"/>
      <c r="S407" s="55"/>
      <c r="T407" s="55"/>
      <c r="U407" s="55"/>
      <c r="V407" s="55"/>
      <c r="W407" s="55"/>
      <c r="X407" s="55"/>
      <c r="Y407" s="55"/>
      <c r="Z407" s="55"/>
      <c r="AA407" s="55"/>
      <c r="AB407" s="55"/>
      <c r="AC407" s="55"/>
      <c r="AD407" s="55"/>
      <c r="AE407" s="55"/>
      <c r="AF407" s="55"/>
      <c r="AG407" s="55"/>
      <c r="AH407" s="55"/>
      <c r="AI407" s="55"/>
      <c r="AJ407" s="55"/>
      <c r="AK407" s="55"/>
      <c r="AL407" s="55"/>
      <c r="AM407" s="55"/>
      <c r="AN407" s="55"/>
      <c r="AO407" s="55"/>
      <c r="AP407" s="55"/>
      <c r="AQ407" s="55"/>
      <c r="AR407" s="55"/>
      <c r="AS407" s="55"/>
    </row>
    <row r="408" spans="1:45" x14ac:dyDescent="0.25">
      <c r="A408" s="55"/>
      <c r="J408" s="55"/>
      <c r="K408" s="55"/>
      <c r="L408" s="55"/>
      <c r="M408" s="55"/>
      <c r="N408" s="55"/>
      <c r="O408" s="55"/>
      <c r="P408" s="55"/>
      <c r="Q408" s="55"/>
      <c r="R408" s="55"/>
      <c r="S408" s="55"/>
      <c r="T408" s="55"/>
      <c r="U408" s="55"/>
      <c r="V408" s="55"/>
      <c r="W408" s="55"/>
      <c r="X408" s="55"/>
      <c r="Y408" s="55"/>
      <c r="Z408" s="55"/>
      <c r="AA408" s="55"/>
      <c r="AB408" s="55"/>
      <c r="AC408" s="55"/>
      <c r="AD408" s="55"/>
      <c r="AE408" s="55"/>
      <c r="AF408" s="55"/>
      <c r="AG408" s="55"/>
      <c r="AH408" s="55"/>
      <c r="AI408" s="55"/>
      <c r="AJ408" s="55"/>
      <c r="AK408" s="55"/>
      <c r="AL408" s="55"/>
      <c r="AM408" s="55"/>
      <c r="AN408" s="55"/>
      <c r="AO408" s="55"/>
      <c r="AP408" s="55"/>
      <c r="AQ408" s="55"/>
      <c r="AR408" s="55"/>
      <c r="AS408" s="55"/>
    </row>
    <row r="409" spans="1:45" x14ac:dyDescent="0.25">
      <c r="A409" s="55"/>
      <c r="J409" s="55"/>
      <c r="K409" s="55"/>
      <c r="L409" s="55"/>
      <c r="M409" s="55"/>
      <c r="N409" s="55"/>
      <c r="O409" s="55"/>
      <c r="P409" s="55"/>
      <c r="Q409" s="55"/>
      <c r="R409" s="55"/>
      <c r="S409" s="55"/>
      <c r="T409" s="55"/>
      <c r="U409" s="55"/>
      <c r="V409" s="55"/>
      <c r="W409" s="55"/>
      <c r="X409" s="55"/>
      <c r="Y409" s="55"/>
      <c r="Z409" s="55"/>
      <c r="AA409" s="55"/>
      <c r="AB409" s="55"/>
      <c r="AC409" s="55"/>
      <c r="AD409" s="55"/>
      <c r="AE409" s="55"/>
      <c r="AF409" s="55"/>
      <c r="AG409" s="55"/>
      <c r="AH409" s="55"/>
      <c r="AI409" s="55"/>
      <c r="AJ409" s="55"/>
      <c r="AK409" s="55"/>
      <c r="AL409" s="55"/>
      <c r="AM409" s="55"/>
      <c r="AN409" s="55"/>
      <c r="AO409" s="55"/>
      <c r="AP409" s="55"/>
      <c r="AQ409" s="55"/>
      <c r="AR409" s="55"/>
      <c r="AS409" s="55"/>
    </row>
    <row r="410" spans="1:45" x14ac:dyDescent="0.25">
      <c r="A410" s="55"/>
      <c r="J410" s="55"/>
      <c r="K410" s="55"/>
      <c r="L410" s="55"/>
      <c r="M410" s="55"/>
      <c r="N410" s="55"/>
      <c r="O410" s="55"/>
      <c r="P410" s="55"/>
      <c r="Q410" s="55"/>
      <c r="R410" s="55"/>
      <c r="S410" s="55"/>
      <c r="T410" s="55"/>
      <c r="U410" s="55"/>
      <c r="V410" s="55"/>
      <c r="W410" s="55"/>
      <c r="X410" s="55"/>
      <c r="Y410" s="55"/>
      <c r="Z410" s="55"/>
      <c r="AA410" s="55"/>
      <c r="AB410" s="55"/>
      <c r="AC410" s="55"/>
      <c r="AD410" s="55"/>
      <c r="AE410" s="55"/>
      <c r="AF410" s="55"/>
      <c r="AG410" s="55"/>
      <c r="AH410" s="55"/>
      <c r="AI410" s="55"/>
      <c r="AJ410" s="55"/>
      <c r="AK410" s="55"/>
      <c r="AL410" s="55"/>
      <c r="AM410" s="55"/>
      <c r="AN410" s="55"/>
      <c r="AO410" s="55"/>
      <c r="AP410" s="55"/>
      <c r="AQ410" s="55"/>
      <c r="AR410" s="55"/>
      <c r="AS410" s="55"/>
    </row>
    <row r="411" spans="1:45" x14ac:dyDescent="0.25">
      <c r="A411" s="55"/>
      <c r="J411" s="55"/>
      <c r="K411" s="55"/>
      <c r="L411" s="55"/>
      <c r="M411" s="55"/>
      <c r="N411" s="55"/>
      <c r="O411" s="55"/>
      <c r="P411" s="55"/>
      <c r="Q411" s="55"/>
      <c r="R411" s="55"/>
      <c r="S411" s="55"/>
      <c r="T411" s="55"/>
      <c r="U411" s="55"/>
      <c r="V411" s="55"/>
      <c r="W411" s="55"/>
      <c r="X411" s="55"/>
      <c r="Y411" s="55"/>
      <c r="Z411" s="55"/>
      <c r="AA411" s="55"/>
      <c r="AB411" s="55"/>
      <c r="AC411" s="55"/>
      <c r="AD411" s="55"/>
      <c r="AE411" s="55"/>
      <c r="AF411" s="55"/>
      <c r="AG411" s="55"/>
      <c r="AH411" s="55"/>
      <c r="AI411" s="55"/>
      <c r="AJ411" s="55"/>
      <c r="AK411" s="55"/>
      <c r="AL411" s="55"/>
      <c r="AM411" s="55"/>
      <c r="AN411" s="55"/>
      <c r="AO411" s="55"/>
      <c r="AP411" s="55"/>
      <c r="AQ411" s="55"/>
      <c r="AR411" s="55"/>
      <c r="AS411" s="55"/>
    </row>
    <row r="412" spans="1:45" x14ac:dyDescent="0.25">
      <c r="A412" s="55"/>
      <c r="J412" s="55"/>
      <c r="K412" s="55"/>
      <c r="L412" s="55"/>
      <c r="M412" s="55"/>
      <c r="N412" s="55"/>
      <c r="O412" s="55"/>
      <c r="P412" s="55"/>
      <c r="Q412" s="55"/>
      <c r="R412" s="55"/>
      <c r="S412" s="55"/>
      <c r="T412" s="55"/>
      <c r="U412" s="55"/>
      <c r="V412" s="55"/>
      <c r="W412" s="55"/>
      <c r="X412" s="55"/>
      <c r="Y412" s="55"/>
      <c r="Z412" s="55"/>
      <c r="AA412" s="55"/>
      <c r="AB412" s="55"/>
      <c r="AC412" s="55"/>
      <c r="AD412" s="55"/>
      <c r="AE412" s="55"/>
      <c r="AF412" s="55"/>
      <c r="AG412" s="55"/>
      <c r="AH412" s="55"/>
      <c r="AI412" s="55"/>
      <c r="AJ412" s="55"/>
      <c r="AK412" s="55"/>
      <c r="AL412" s="55"/>
      <c r="AM412" s="55"/>
      <c r="AN412" s="55"/>
      <c r="AO412" s="55"/>
      <c r="AP412" s="55"/>
      <c r="AQ412" s="55"/>
      <c r="AR412" s="55"/>
      <c r="AS412" s="55"/>
    </row>
    <row r="413" spans="1:45" x14ac:dyDescent="0.25">
      <c r="A413" s="55"/>
      <c r="J413" s="55"/>
      <c r="K413" s="55"/>
      <c r="L413" s="55"/>
      <c r="M413" s="55"/>
      <c r="N413" s="55"/>
      <c r="O413" s="55"/>
      <c r="P413" s="55"/>
      <c r="Q413" s="55"/>
      <c r="R413" s="55"/>
      <c r="S413" s="55"/>
      <c r="T413" s="55"/>
      <c r="U413" s="55"/>
      <c r="V413" s="55"/>
      <c r="W413" s="55"/>
      <c r="X413" s="55"/>
      <c r="Y413" s="55"/>
      <c r="Z413" s="55"/>
      <c r="AA413" s="55"/>
      <c r="AB413" s="55"/>
      <c r="AC413" s="55"/>
      <c r="AD413" s="55"/>
      <c r="AE413" s="55"/>
      <c r="AF413" s="55"/>
      <c r="AG413" s="55"/>
      <c r="AH413" s="55"/>
      <c r="AI413" s="55"/>
      <c r="AJ413" s="55"/>
      <c r="AK413" s="55"/>
      <c r="AL413" s="55"/>
      <c r="AM413" s="55"/>
      <c r="AN413" s="55"/>
      <c r="AO413" s="55"/>
      <c r="AP413" s="55"/>
      <c r="AQ413" s="55"/>
      <c r="AR413" s="55"/>
      <c r="AS413" s="55"/>
    </row>
    <row r="414" spans="1:45" x14ac:dyDescent="0.25">
      <c r="A414" s="55"/>
      <c r="J414" s="55"/>
      <c r="K414" s="55"/>
      <c r="L414" s="55"/>
      <c r="M414" s="55"/>
      <c r="N414" s="55"/>
      <c r="O414" s="55"/>
      <c r="P414" s="55"/>
      <c r="Q414" s="55"/>
      <c r="R414" s="55"/>
      <c r="S414" s="55"/>
      <c r="T414" s="55"/>
      <c r="U414" s="55"/>
      <c r="V414" s="55"/>
      <c r="W414" s="55"/>
      <c r="X414" s="55"/>
      <c r="Y414" s="55"/>
      <c r="Z414" s="55"/>
      <c r="AA414" s="55"/>
      <c r="AB414" s="55"/>
      <c r="AC414" s="55"/>
      <c r="AD414" s="55"/>
      <c r="AE414" s="55"/>
      <c r="AF414" s="55"/>
      <c r="AG414" s="55"/>
      <c r="AH414" s="55"/>
      <c r="AI414" s="55"/>
      <c r="AJ414" s="55"/>
      <c r="AK414" s="55"/>
      <c r="AL414" s="55"/>
      <c r="AM414" s="55"/>
      <c r="AN414" s="55"/>
      <c r="AO414" s="55"/>
      <c r="AP414" s="55"/>
      <c r="AQ414" s="55"/>
      <c r="AR414" s="55"/>
      <c r="AS414" s="55"/>
    </row>
    <row r="415" spans="1:45" x14ac:dyDescent="0.25">
      <c r="A415" s="55"/>
      <c r="J415" s="55"/>
      <c r="K415" s="55"/>
      <c r="L415" s="55"/>
      <c r="M415" s="55"/>
      <c r="N415" s="55"/>
      <c r="O415" s="55"/>
      <c r="P415" s="55"/>
      <c r="Q415" s="55"/>
      <c r="R415" s="55"/>
      <c r="S415" s="55"/>
      <c r="T415" s="55"/>
      <c r="U415" s="55"/>
      <c r="V415" s="55"/>
      <c r="W415" s="55"/>
      <c r="X415" s="55"/>
      <c r="Y415" s="55"/>
      <c r="Z415" s="55"/>
      <c r="AA415" s="55"/>
      <c r="AB415" s="55"/>
      <c r="AC415" s="55"/>
      <c r="AD415" s="55"/>
      <c r="AE415" s="55"/>
      <c r="AF415" s="55"/>
      <c r="AG415" s="55"/>
      <c r="AH415" s="55"/>
      <c r="AI415" s="55"/>
      <c r="AJ415" s="55"/>
      <c r="AK415" s="55"/>
      <c r="AL415" s="55"/>
      <c r="AM415" s="55"/>
      <c r="AN415" s="55"/>
      <c r="AO415" s="55"/>
      <c r="AP415" s="55"/>
      <c r="AQ415" s="55"/>
      <c r="AR415" s="55"/>
      <c r="AS415" s="55"/>
    </row>
    <row r="416" spans="1:45" x14ac:dyDescent="0.25">
      <c r="A416" s="55"/>
      <c r="J416" s="55"/>
      <c r="K416" s="55"/>
      <c r="L416" s="55"/>
      <c r="M416" s="55"/>
      <c r="N416" s="55"/>
      <c r="O416" s="55"/>
      <c r="P416" s="55"/>
      <c r="Q416" s="55"/>
      <c r="R416" s="55"/>
      <c r="S416" s="55"/>
      <c r="T416" s="55"/>
      <c r="U416" s="55"/>
      <c r="V416" s="55"/>
      <c r="W416" s="55"/>
      <c r="X416" s="55"/>
      <c r="Y416" s="55"/>
      <c r="Z416" s="55"/>
      <c r="AA416" s="55"/>
      <c r="AB416" s="55"/>
      <c r="AC416" s="55"/>
      <c r="AD416" s="55"/>
      <c r="AE416" s="55"/>
      <c r="AF416" s="55"/>
      <c r="AG416" s="55"/>
      <c r="AH416" s="55"/>
      <c r="AI416" s="55"/>
      <c r="AJ416" s="55"/>
      <c r="AK416" s="55"/>
      <c r="AL416" s="55"/>
      <c r="AM416" s="55"/>
      <c r="AN416" s="55"/>
      <c r="AO416" s="55"/>
      <c r="AP416" s="55"/>
      <c r="AQ416" s="55"/>
      <c r="AR416" s="55"/>
      <c r="AS416" s="55"/>
    </row>
    <row r="417" spans="1:45" x14ac:dyDescent="0.25">
      <c r="A417" s="55"/>
      <c r="J417" s="55"/>
      <c r="K417" s="55"/>
      <c r="L417" s="55"/>
      <c r="M417" s="55"/>
      <c r="N417" s="55"/>
      <c r="O417" s="55"/>
      <c r="P417" s="55"/>
      <c r="Q417" s="55"/>
      <c r="R417" s="55"/>
      <c r="S417" s="55"/>
      <c r="T417" s="55"/>
      <c r="U417" s="55"/>
      <c r="V417" s="55"/>
      <c r="W417" s="55"/>
      <c r="X417" s="55"/>
      <c r="Y417" s="55"/>
      <c r="Z417" s="55"/>
      <c r="AA417" s="55"/>
      <c r="AB417" s="55"/>
      <c r="AC417" s="55"/>
      <c r="AD417" s="55"/>
      <c r="AE417" s="55"/>
      <c r="AF417" s="55"/>
      <c r="AG417" s="55"/>
      <c r="AH417" s="55"/>
      <c r="AI417" s="55"/>
      <c r="AJ417" s="55"/>
      <c r="AK417" s="55"/>
      <c r="AL417" s="55"/>
      <c r="AM417" s="55"/>
      <c r="AN417" s="55"/>
      <c r="AO417" s="55"/>
      <c r="AP417" s="55"/>
      <c r="AQ417" s="55"/>
      <c r="AR417" s="55"/>
      <c r="AS417" s="55"/>
    </row>
    <row r="418" spans="1:45" x14ac:dyDescent="0.25">
      <c r="A418" s="55"/>
      <c r="J418" s="55"/>
      <c r="K418" s="55"/>
      <c r="L418" s="55"/>
      <c r="M418" s="55"/>
      <c r="N418" s="55"/>
      <c r="O418" s="55"/>
      <c r="P418" s="55"/>
      <c r="Q418" s="55"/>
      <c r="R418" s="55"/>
      <c r="S418" s="55"/>
      <c r="T418" s="55"/>
      <c r="U418" s="55"/>
      <c r="V418" s="55"/>
      <c r="W418" s="55"/>
      <c r="X418" s="55"/>
      <c r="Y418" s="55"/>
      <c r="Z418" s="55"/>
      <c r="AA418" s="55"/>
      <c r="AB418" s="55"/>
      <c r="AC418" s="55"/>
      <c r="AD418" s="55"/>
      <c r="AE418" s="55"/>
      <c r="AF418" s="55"/>
      <c r="AG418" s="55"/>
      <c r="AH418" s="55"/>
      <c r="AI418" s="55"/>
      <c r="AJ418" s="55"/>
      <c r="AK418" s="55"/>
      <c r="AL418" s="55"/>
      <c r="AM418" s="55"/>
      <c r="AN418" s="55"/>
      <c r="AO418" s="55"/>
      <c r="AP418" s="55"/>
      <c r="AQ418" s="55"/>
      <c r="AR418" s="55"/>
      <c r="AS418" s="55"/>
    </row>
    <row r="419" spans="1:45" x14ac:dyDescent="0.25">
      <c r="A419" s="55"/>
      <c r="J419" s="55"/>
      <c r="K419" s="55"/>
      <c r="L419" s="55"/>
      <c r="M419" s="55"/>
      <c r="N419" s="55"/>
      <c r="O419" s="55"/>
      <c r="P419" s="55"/>
      <c r="Q419" s="55"/>
      <c r="R419" s="55"/>
      <c r="S419" s="55"/>
      <c r="T419" s="55"/>
      <c r="U419" s="55"/>
      <c r="V419" s="55"/>
      <c r="W419" s="55"/>
      <c r="X419" s="55"/>
      <c r="Y419" s="55"/>
      <c r="Z419" s="55"/>
      <c r="AA419" s="55"/>
      <c r="AB419" s="55"/>
      <c r="AC419" s="55"/>
      <c r="AD419" s="55"/>
      <c r="AE419" s="55"/>
      <c r="AF419" s="55"/>
      <c r="AG419" s="55"/>
      <c r="AH419" s="55"/>
      <c r="AI419" s="55"/>
      <c r="AJ419" s="55"/>
      <c r="AK419" s="55"/>
      <c r="AL419" s="55"/>
      <c r="AM419" s="55"/>
      <c r="AN419" s="55"/>
      <c r="AO419" s="55"/>
      <c r="AP419" s="55"/>
      <c r="AQ419" s="55"/>
      <c r="AR419" s="55"/>
      <c r="AS419" s="55"/>
    </row>
    <row r="420" spans="1:45" x14ac:dyDescent="0.25">
      <c r="A420" s="55"/>
      <c r="J420" s="55"/>
      <c r="K420" s="55"/>
      <c r="L420" s="55"/>
      <c r="M420" s="55"/>
      <c r="N420" s="55"/>
      <c r="O420" s="55"/>
      <c r="P420" s="55"/>
      <c r="Q420" s="55"/>
      <c r="R420" s="55"/>
      <c r="S420" s="55"/>
      <c r="T420" s="55"/>
      <c r="U420" s="55"/>
      <c r="V420" s="55"/>
      <c r="W420" s="55"/>
      <c r="X420" s="55"/>
      <c r="Y420" s="55"/>
      <c r="Z420" s="55"/>
      <c r="AA420" s="55"/>
      <c r="AB420" s="55"/>
      <c r="AC420" s="55"/>
      <c r="AD420" s="55"/>
      <c r="AE420" s="55"/>
      <c r="AF420" s="55"/>
      <c r="AG420" s="55"/>
      <c r="AH420" s="55"/>
      <c r="AI420" s="55"/>
      <c r="AJ420" s="55"/>
      <c r="AK420" s="55"/>
      <c r="AL420" s="55"/>
      <c r="AM420" s="55"/>
      <c r="AN420" s="55"/>
      <c r="AO420" s="55"/>
      <c r="AP420" s="55"/>
      <c r="AQ420" s="55"/>
      <c r="AR420" s="55"/>
      <c r="AS420" s="55"/>
    </row>
    <row r="421" spans="1:45" x14ac:dyDescent="0.25">
      <c r="A421" s="55"/>
      <c r="J421" s="55"/>
      <c r="K421" s="55"/>
      <c r="L421" s="55"/>
      <c r="M421" s="55"/>
      <c r="N421" s="55"/>
      <c r="O421" s="55"/>
      <c r="P421" s="55"/>
      <c r="Q421" s="55"/>
      <c r="R421" s="55"/>
      <c r="S421" s="55"/>
      <c r="T421" s="55"/>
      <c r="U421" s="55"/>
      <c r="V421" s="55"/>
      <c r="W421" s="55"/>
      <c r="X421" s="55"/>
      <c r="Y421" s="55"/>
      <c r="Z421" s="55"/>
      <c r="AA421" s="55"/>
      <c r="AB421" s="55"/>
      <c r="AC421" s="55"/>
      <c r="AD421" s="55"/>
      <c r="AE421" s="55"/>
      <c r="AF421" s="55"/>
      <c r="AG421" s="55"/>
      <c r="AH421" s="55"/>
      <c r="AI421" s="55"/>
      <c r="AJ421" s="55"/>
      <c r="AK421" s="55"/>
      <c r="AL421" s="55"/>
      <c r="AM421" s="55"/>
      <c r="AN421" s="55"/>
      <c r="AO421" s="55"/>
      <c r="AP421" s="55"/>
      <c r="AQ421" s="55"/>
      <c r="AR421" s="55"/>
      <c r="AS421" s="55"/>
    </row>
    <row r="422" spans="1:45" x14ac:dyDescent="0.25">
      <c r="A422" s="55"/>
      <c r="J422" s="55"/>
      <c r="K422" s="55"/>
      <c r="L422" s="55"/>
      <c r="M422" s="55"/>
      <c r="N422" s="55"/>
      <c r="O422" s="55"/>
      <c r="P422" s="55"/>
      <c r="Q422" s="55"/>
      <c r="R422" s="55"/>
      <c r="S422" s="55"/>
      <c r="T422" s="55"/>
      <c r="U422" s="55"/>
      <c r="V422" s="55"/>
      <c r="W422" s="55"/>
      <c r="X422" s="55"/>
      <c r="Y422" s="55"/>
      <c r="Z422" s="55"/>
      <c r="AA422" s="55"/>
      <c r="AB422" s="55"/>
      <c r="AC422" s="55"/>
      <c r="AD422" s="55"/>
      <c r="AE422" s="55"/>
      <c r="AF422" s="55"/>
      <c r="AG422" s="55"/>
      <c r="AH422" s="55"/>
      <c r="AI422" s="55"/>
      <c r="AJ422" s="55"/>
      <c r="AK422" s="55"/>
      <c r="AL422" s="55"/>
      <c r="AM422" s="55"/>
      <c r="AN422" s="55"/>
      <c r="AO422" s="55"/>
      <c r="AP422" s="55"/>
      <c r="AQ422" s="55"/>
      <c r="AR422" s="55"/>
      <c r="AS422" s="55"/>
    </row>
    <row r="423" spans="1:45" x14ac:dyDescent="0.25">
      <c r="A423" s="55"/>
      <c r="J423" s="55"/>
      <c r="K423" s="55"/>
      <c r="L423" s="55"/>
      <c r="M423" s="55"/>
      <c r="N423" s="55"/>
      <c r="O423" s="55"/>
      <c r="P423" s="55"/>
      <c r="Q423" s="55"/>
      <c r="R423" s="55"/>
      <c r="S423" s="55"/>
      <c r="T423" s="55"/>
      <c r="U423" s="55"/>
      <c r="V423" s="55"/>
      <c r="W423" s="55"/>
      <c r="X423" s="55"/>
      <c r="Y423" s="55"/>
      <c r="Z423" s="55"/>
      <c r="AA423" s="55"/>
      <c r="AB423" s="55"/>
      <c r="AC423" s="55"/>
      <c r="AD423" s="55"/>
      <c r="AE423" s="55"/>
      <c r="AF423" s="55"/>
      <c r="AG423" s="55"/>
      <c r="AH423" s="55"/>
      <c r="AI423" s="55"/>
      <c r="AJ423" s="55"/>
      <c r="AK423" s="55"/>
      <c r="AL423" s="55"/>
      <c r="AM423" s="55"/>
      <c r="AN423" s="55"/>
      <c r="AO423" s="55"/>
      <c r="AP423" s="55"/>
      <c r="AQ423" s="55"/>
      <c r="AR423" s="55"/>
      <c r="AS423" s="55"/>
    </row>
    <row r="424" spans="1:45" x14ac:dyDescent="0.25">
      <c r="A424" s="55"/>
      <c r="J424" s="55"/>
      <c r="K424" s="55"/>
      <c r="L424" s="55"/>
      <c r="M424" s="55"/>
      <c r="N424" s="55"/>
      <c r="O424" s="55"/>
      <c r="P424" s="55"/>
      <c r="Q424" s="55"/>
      <c r="R424" s="55"/>
      <c r="S424" s="55"/>
      <c r="T424" s="55"/>
      <c r="U424" s="55"/>
      <c r="V424" s="55"/>
      <c r="W424" s="55"/>
      <c r="X424" s="55"/>
      <c r="Y424" s="55"/>
      <c r="Z424" s="55"/>
      <c r="AA424" s="55"/>
      <c r="AB424" s="55"/>
      <c r="AC424" s="55"/>
      <c r="AD424" s="55"/>
      <c r="AE424" s="55"/>
      <c r="AF424" s="55"/>
      <c r="AG424" s="55"/>
      <c r="AH424" s="55"/>
      <c r="AI424" s="55"/>
      <c r="AJ424" s="55"/>
      <c r="AK424" s="55"/>
      <c r="AL424" s="55"/>
      <c r="AM424" s="55"/>
      <c r="AN424" s="55"/>
      <c r="AO424" s="55"/>
      <c r="AP424" s="55"/>
      <c r="AQ424" s="55"/>
      <c r="AR424" s="55"/>
      <c r="AS424" s="55"/>
    </row>
    <row r="425" spans="1:45" x14ac:dyDescent="0.25">
      <c r="A425" s="55"/>
      <c r="J425" s="55"/>
      <c r="K425" s="55"/>
      <c r="L425" s="55"/>
      <c r="M425" s="55"/>
      <c r="N425" s="55"/>
      <c r="O425" s="55"/>
      <c r="P425" s="55"/>
      <c r="Q425" s="55"/>
      <c r="R425" s="55"/>
      <c r="S425" s="55"/>
      <c r="T425" s="55"/>
      <c r="U425" s="55"/>
      <c r="V425" s="55"/>
      <c r="W425" s="55"/>
      <c r="X425" s="55"/>
      <c r="Y425" s="55"/>
      <c r="Z425" s="55"/>
      <c r="AA425" s="55"/>
      <c r="AB425" s="55"/>
      <c r="AC425" s="55"/>
      <c r="AD425" s="55"/>
      <c r="AE425" s="55"/>
      <c r="AF425" s="55"/>
      <c r="AG425" s="55"/>
      <c r="AH425" s="55"/>
      <c r="AI425" s="55"/>
      <c r="AJ425" s="55"/>
      <c r="AK425" s="55"/>
      <c r="AL425" s="55"/>
      <c r="AM425" s="55"/>
      <c r="AN425" s="55"/>
      <c r="AO425" s="55"/>
      <c r="AP425" s="55"/>
      <c r="AQ425" s="55"/>
      <c r="AR425" s="55"/>
      <c r="AS425" s="55"/>
    </row>
    <row r="426" spans="1:45" x14ac:dyDescent="0.25">
      <c r="A426" s="55"/>
      <c r="J426" s="55"/>
      <c r="K426" s="55"/>
      <c r="L426" s="55"/>
      <c r="M426" s="55"/>
      <c r="N426" s="55"/>
      <c r="O426" s="55"/>
      <c r="P426" s="55"/>
      <c r="Q426" s="55"/>
      <c r="R426" s="55"/>
      <c r="S426" s="55"/>
      <c r="T426" s="55"/>
      <c r="U426" s="55"/>
      <c r="V426" s="55"/>
      <c r="W426" s="55"/>
      <c r="X426" s="55"/>
      <c r="Y426" s="55"/>
      <c r="Z426" s="55"/>
      <c r="AA426" s="55"/>
      <c r="AB426" s="55"/>
      <c r="AC426" s="55"/>
      <c r="AD426" s="55"/>
      <c r="AE426" s="55"/>
      <c r="AF426" s="55"/>
      <c r="AG426" s="55"/>
      <c r="AH426" s="55"/>
      <c r="AI426" s="55"/>
      <c r="AJ426" s="55"/>
      <c r="AK426" s="55"/>
      <c r="AL426" s="55"/>
      <c r="AM426" s="55"/>
      <c r="AN426" s="55"/>
      <c r="AO426" s="55"/>
      <c r="AP426" s="55"/>
      <c r="AQ426" s="55"/>
      <c r="AR426" s="55"/>
      <c r="AS426" s="55"/>
    </row>
    <row r="427" spans="1:45" x14ac:dyDescent="0.25">
      <c r="A427" s="55"/>
      <c r="J427" s="55"/>
      <c r="K427" s="55"/>
      <c r="L427" s="55"/>
      <c r="M427" s="55"/>
      <c r="N427" s="55"/>
      <c r="O427" s="55"/>
      <c r="P427" s="55"/>
      <c r="Q427" s="55"/>
      <c r="R427" s="55"/>
      <c r="S427" s="55"/>
      <c r="T427" s="55"/>
      <c r="U427" s="55"/>
      <c r="V427" s="55"/>
      <c r="W427" s="55"/>
      <c r="X427" s="55"/>
      <c r="Y427" s="55"/>
      <c r="Z427" s="55"/>
      <c r="AA427" s="55"/>
      <c r="AB427" s="55"/>
      <c r="AC427" s="55"/>
      <c r="AD427" s="55"/>
      <c r="AE427" s="55"/>
      <c r="AF427" s="55"/>
      <c r="AG427" s="55"/>
      <c r="AH427" s="55"/>
      <c r="AI427" s="55"/>
      <c r="AJ427" s="55"/>
      <c r="AK427" s="55"/>
      <c r="AL427" s="55"/>
      <c r="AM427" s="55"/>
      <c r="AN427" s="55"/>
      <c r="AO427" s="55"/>
      <c r="AP427" s="55"/>
      <c r="AQ427" s="55"/>
      <c r="AR427" s="55"/>
      <c r="AS427" s="55"/>
    </row>
    <row r="428" spans="1:45" x14ac:dyDescent="0.25">
      <c r="A428" s="55"/>
      <c r="J428" s="55"/>
      <c r="K428" s="55"/>
      <c r="L428" s="55"/>
      <c r="M428" s="55"/>
      <c r="N428" s="55"/>
      <c r="O428" s="55"/>
      <c r="P428" s="55"/>
      <c r="Q428" s="55"/>
      <c r="R428" s="55"/>
      <c r="S428" s="55"/>
      <c r="T428" s="55"/>
      <c r="U428" s="55"/>
      <c r="V428" s="55"/>
      <c r="W428" s="55"/>
      <c r="X428" s="55"/>
      <c r="Y428" s="55"/>
      <c r="Z428" s="55"/>
      <c r="AA428" s="55"/>
      <c r="AB428" s="55"/>
      <c r="AC428" s="55"/>
      <c r="AD428" s="55"/>
      <c r="AE428" s="55"/>
      <c r="AF428" s="55"/>
      <c r="AG428" s="55"/>
      <c r="AH428" s="55"/>
      <c r="AI428" s="55"/>
      <c r="AJ428" s="55"/>
      <c r="AK428" s="55"/>
      <c r="AL428" s="55"/>
      <c r="AM428" s="55"/>
      <c r="AN428" s="55"/>
      <c r="AO428" s="55"/>
      <c r="AP428" s="55"/>
      <c r="AQ428" s="55"/>
      <c r="AR428" s="55"/>
      <c r="AS428" s="55"/>
    </row>
    <row r="429" spans="1:45" x14ac:dyDescent="0.25">
      <c r="A429" s="55"/>
      <c r="J429" s="55"/>
      <c r="K429" s="55"/>
      <c r="L429" s="55"/>
      <c r="M429" s="55"/>
      <c r="N429" s="55"/>
      <c r="O429" s="55"/>
      <c r="P429" s="55"/>
      <c r="Q429" s="55"/>
      <c r="R429" s="55"/>
      <c r="S429" s="55"/>
      <c r="T429" s="55"/>
      <c r="U429" s="55"/>
      <c r="V429" s="55"/>
      <c r="W429" s="55"/>
      <c r="X429" s="55"/>
      <c r="Y429" s="55"/>
      <c r="Z429" s="55"/>
      <c r="AA429" s="55"/>
      <c r="AB429" s="55"/>
      <c r="AC429" s="55"/>
      <c r="AD429" s="55"/>
      <c r="AE429" s="55"/>
      <c r="AF429" s="55"/>
      <c r="AG429" s="55"/>
      <c r="AH429" s="55"/>
      <c r="AI429" s="55"/>
      <c r="AJ429" s="55"/>
      <c r="AK429" s="55"/>
      <c r="AL429" s="55"/>
      <c r="AM429" s="55"/>
      <c r="AN429" s="55"/>
      <c r="AO429" s="55"/>
      <c r="AP429" s="55"/>
      <c r="AQ429" s="55"/>
      <c r="AR429" s="55"/>
      <c r="AS429" s="55"/>
    </row>
    <row r="430" spans="1:45" x14ac:dyDescent="0.25">
      <c r="A430" s="55"/>
      <c r="J430" s="55"/>
      <c r="K430" s="55"/>
      <c r="L430" s="55"/>
      <c r="M430" s="55"/>
      <c r="N430" s="55"/>
      <c r="O430" s="55"/>
      <c r="P430" s="55"/>
      <c r="Q430" s="55"/>
      <c r="R430" s="55"/>
      <c r="S430" s="55"/>
      <c r="T430" s="55"/>
      <c r="U430" s="55"/>
      <c r="V430" s="55"/>
      <c r="W430" s="55"/>
      <c r="X430" s="55"/>
      <c r="Y430" s="55"/>
      <c r="Z430" s="55"/>
      <c r="AA430" s="55"/>
      <c r="AB430" s="55"/>
      <c r="AC430" s="55"/>
      <c r="AD430" s="55"/>
      <c r="AE430" s="55"/>
      <c r="AF430" s="55"/>
      <c r="AG430" s="55"/>
      <c r="AH430" s="55"/>
      <c r="AI430" s="55"/>
      <c r="AJ430" s="55"/>
      <c r="AK430" s="55"/>
      <c r="AL430" s="55"/>
      <c r="AM430" s="55"/>
      <c r="AN430" s="55"/>
      <c r="AO430" s="55"/>
      <c r="AP430" s="55"/>
      <c r="AQ430" s="55"/>
      <c r="AR430" s="55"/>
      <c r="AS430" s="55"/>
    </row>
    <row r="431" spans="1:45" x14ac:dyDescent="0.25">
      <c r="A431" s="55"/>
      <c r="J431" s="55"/>
      <c r="K431" s="55"/>
      <c r="L431" s="55"/>
      <c r="M431" s="55"/>
      <c r="N431" s="55"/>
      <c r="O431" s="55"/>
      <c r="P431" s="55"/>
      <c r="Q431" s="55"/>
      <c r="R431" s="55"/>
      <c r="S431" s="55"/>
      <c r="T431" s="55"/>
      <c r="U431" s="55"/>
      <c r="V431" s="55"/>
      <c r="W431" s="55"/>
      <c r="X431" s="55"/>
      <c r="Y431" s="55"/>
      <c r="Z431" s="55"/>
      <c r="AA431" s="55"/>
      <c r="AB431" s="55"/>
      <c r="AC431" s="55"/>
      <c r="AD431" s="55"/>
      <c r="AE431" s="55"/>
      <c r="AF431" s="55"/>
      <c r="AG431" s="55"/>
      <c r="AH431" s="55"/>
      <c r="AI431" s="55"/>
      <c r="AJ431" s="55"/>
      <c r="AK431" s="55"/>
      <c r="AL431" s="55"/>
      <c r="AM431" s="55"/>
      <c r="AN431" s="55"/>
      <c r="AO431" s="55"/>
      <c r="AP431" s="55"/>
      <c r="AQ431" s="55"/>
      <c r="AR431" s="55"/>
      <c r="AS431" s="55"/>
    </row>
    <row r="432" spans="1:45" x14ac:dyDescent="0.25">
      <c r="A432" s="55"/>
      <c r="J432" s="55"/>
      <c r="K432" s="55"/>
      <c r="L432" s="55"/>
      <c r="M432" s="55"/>
      <c r="N432" s="55"/>
      <c r="O432" s="55"/>
      <c r="P432" s="55"/>
      <c r="Q432" s="55"/>
      <c r="R432" s="55"/>
      <c r="S432" s="55"/>
      <c r="T432" s="55"/>
      <c r="U432" s="55"/>
      <c r="V432" s="55"/>
      <c r="W432" s="55"/>
      <c r="X432" s="55"/>
      <c r="Y432" s="55"/>
      <c r="Z432" s="55"/>
      <c r="AA432" s="55"/>
      <c r="AB432" s="55"/>
      <c r="AC432" s="55"/>
      <c r="AD432" s="55"/>
      <c r="AE432" s="55"/>
      <c r="AF432" s="55"/>
      <c r="AG432" s="55"/>
      <c r="AH432" s="55"/>
      <c r="AI432" s="55"/>
      <c r="AJ432" s="55"/>
      <c r="AK432" s="55"/>
      <c r="AL432" s="55"/>
      <c r="AM432" s="55"/>
      <c r="AN432" s="55"/>
      <c r="AO432" s="55"/>
      <c r="AP432" s="55"/>
      <c r="AQ432" s="55"/>
      <c r="AR432" s="55"/>
      <c r="AS432" s="55"/>
    </row>
    <row r="433" spans="1:45" x14ac:dyDescent="0.25">
      <c r="A433" s="55"/>
      <c r="J433" s="55"/>
      <c r="K433" s="55"/>
      <c r="L433" s="55"/>
      <c r="M433" s="55"/>
      <c r="N433" s="55"/>
      <c r="O433" s="55"/>
      <c r="P433" s="55"/>
      <c r="Q433" s="55"/>
      <c r="R433" s="55"/>
      <c r="S433" s="55"/>
      <c r="T433" s="55"/>
      <c r="U433" s="55"/>
      <c r="V433" s="55"/>
      <c r="W433" s="55"/>
      <c r="X433" s="55"/>
      <c r="Y433" s="55"/>
      <c r="Z433" s="55"/>
      <c r="AA433" s="55"/>
      <c r="AB433" s="55"/>
      <c r="AC433" s="55"/>
      <c r="AD433" s="55"/>
      <c r="AE433" s="55"/>
      <c r="AF433" s="55"/>
      <c r="AG433" s="55"/>
      <c r="AH433" s="55"/>
      <c r="AI433" s="55"/>
      <c r="AJ433" s="55"/>
      <c r="AK433" s="55"/>
      <c r="AL433" s="55"/>
      <c r="AM433" s="55"/>
      <c r="AN433" s="55"/>
      <c r="AO433" s="55"/>
      <c r="AP433" s="55"/>
      <c r="AQ433" s="55"/>
      <c r="AR433" s="55"/>
      <c r="AS433" s="55"/>
    </row>
    <row r="434" spans="1:45" x14ac:dyDescent="0.25">
      <c r="A434" s="55"/>
      <c r="J434" s="55"/>
      <c r="K434" s="55"/>
      <c r="L434" s="55"/>
      <c r="M434" s="55"/>
      <c r="N434" s="55"/>
      <c r="O434" s="55"/>
      <c r="P434" s="55"/>
      <c r="Q434" s="55"/>
      <c r="R434" s="55"/>
      <c r="S434" s="55"/>
      <c r="T434" s="55"/>
      <c r="U434" s="55"/>
      <c r="V434" s="55"/>
      <c r="W434" s="55"/>
      <c r="X434" s="55"/>
      <c r="Y434" s="55"/>
      <c r="Z434" s="55"/>
      <c r="AA434" s="55"/>
      <c r="AB434" s="55"/>
      <c r="AC434" s="55"/>
      <c r="AD434" s="55"/>
      <c r="AE434" s="55"/>
      <c r="AF434" s="55"/>
      <c r="AG434" s="55"/>
      <c r="AH434" s="55"/>
      <c r="AI434" s="55"/>
      <c r="AJ434" s="55"/>
      <c r="AK434" s="55"/>
      <c r="AL434" s="55"/>
      <c r="AM434" s="55"/>
      <c r="AN434" s="55"/>
      <c r="AO434" s="55"/>
      <c r="AP434" s="55"/>
      <c r="AQ434" s="55"/>
      <c r="AR434" s="55"/>
      <c r="AS434" s="55"/>
    </row>
    <row r="435" spans="1:45" x14ac:dyDescent="0.25">
      <c r="A435" s="55"/>
      <c r="J435" s="55"/>
      <c r="K435" s="55"/>
      <c r="L435" s="55"/>
      <c r="M435" s="55"/>
      <c r="N435" s="55"/>
      <c r="O435" s="55"/>
      <c r="P435" s="55"/>
      <c r="Q435" s="55"/>
      <c r="R435" s="55"/>
      <c r="S435" s="55"/>
      <c r="T435" s="55"/>
      <c r="U435" s="55"/>
      <c r="V435" s="55"/>
      <c r="W435" s="55"/>
      <c r="X435" s="55"/>
      <c r="Y435" s="55"/>
      <c r="Z435" s="55"/>
      <c r="AA435" s="55"/>
      <c r="AB435" s="55"/>
      <c r="AC435" s="55"/>
      <c r="AD435" s="55"/>
      <c r="AE435" s="55"/>
      <c r="AF435" s="55"/>
      <c r="AG435" s="55"/>
      <c r="AH435" s="55"/>
      <c r="AI435" s="55"/>
      <c r="AJ435" s="55"/>
      <c r="AK435" s="55"/>
      <c r="AL435" s="55"/>
      <c r="AM435" s="55"/>
      <c r="AN435" s="55"/>
      <c r="AO435" s="55"/>
      <c r="AP435" s="55"/>
      <c r="AQ435" s="55"/>
      <c r="AR435" s="55"/>
      <c r="AS435" s="55"/>
    </row>
    <row r="436" spans="1:45" x14ac:dyDescent="0.25">
      <c r="A436" s="55"/>
      <c r="J436" s="55"/>
      <c r="K436" s="55"/>
      <c r="L436" s="55"/>
      <c r="M436" s="55"/>
      <c r="N436" s="55"/>
      <c r="O436" s="55"/>
      <c r="P436" s="55"/>
      <c r="Q436" s="55"/>
      <c r="R436" s="55"/>
      <c r="S436" s="55"/>
      <c r="T436" s="55"/>
      <c r="U436" s="55"/>
      <c r="V436" s="55"/>
      <c r="W436" s="55"/>
      <c r="X436" s="55"/>
      <c r="Y436" s="55"/>
      <c r="Z436" s="55"/>
      <c r="AA436" s="55"/>
      <c r="AB436" s="55"/>
      <c r="AC436" s="55"/>
      <c r="AD436" s="55"/>
      <c r="AE436" s="55"/>
      <c r="AF436" s="55"/>
      <c r="AG436" s="55"/>
      <c r="AH436" s="55"/>
      <c r="AI436" s="55"/>
      <c r="AJ436" s="55"/>
      <c r="AK436" s="55"/>
      <c r="AL436" s="55"/>
      <c r="AM436" s="55"/>
      <c r="AN436" s="55"/>
      <c r="AO436" s="55"/>
      <c r="AP436" s="55"/>
      <c r="AQ436" s="55"/>
      <c r="AR436" s="55"/>
      <c r="AS436" s="55"/>
    </row>
    <row r="437" spans="1:45" x14ac:dyDescent="0.25">
      <c r="A437" s="55"/>
      <c r="J437" s="55"/>
      <c r="K437" s="55"/>
      <c r="L437" s="55"/>
      <c r="M437" s="55"/>
      <c r="N437" s="55"/>
      <c r="O437" s="55"/>
      <c r="P437" s="55"/>
      <c r="Q437" s="55"/>
      <c r="R437" s="55"/>
      <c r="S437" s="55"/>
      <c r="T437" s="55"/>
      <c r="U437" s="55"/>
      <c r="V437" s="55"/>
      <c r="W437" s="55"/>
      <c r="X437" s="55"/>
      <c r="Y437" s="55"/>
      <c r="Z437" s="55"/>
      <c r="AA437" s="55"/>
      <c r="AB437" s="55"/>
      <c r="AC437" s="55"/>
      <c r="AD437" s="55"/>
      <c r="AE437" s="55"/>
      <c r="AF437" s="55"/>
      <c r="AG437" s="55"/>
      <c r="AH437" s="55"/>
      <c r="AI437" s="55"/>
      <c r="AJ437" s="55"/>
      <c r="AK437" s="55"/>
      <c r="AL437" s="55"/>
      <c r="AM437" s="55"/>
      <c r="AN437" s="55"/>
      <c r="AO437" s="55"/>
      <c r="AP437" s="55"/>
      <c r="AQ437" s="55"/>
      <c r="AR437" s="55"/>
      <c r="AS437" s="55"/>
    </row>
    <row r="438" spans="1:45" x14ac:dyDescent="0.25">
      <c r="A438" s="55"/>
      <c r="J438" s="55"/>
      <c r="K438" s="55"/>
      <c r="L438" s="55"/>
      <c r="M438" s="55"/>
      <c r="N438" s="55"/>
      <c r="O438" s="55"/>
      <c r="P438" s="55"/>
      <c r="Q438" s="55"/>
      <c r="R438" s="55"/>
      <c r="S438" s="55"/>
      <c r="T438" s="55"/>
      <c r="U438" s="55"/>
      <c r="V438" s="55"/>
      <c r="W438" s="55"/>
      <c r="X438" s="55"/>
      <c r="Y438" s="55"/>
      <c r="Z438" s="55"/>
      <c r="AA438" s="55"/>
      <c r="AB438" s="55"/>
      <c r="AC438" s="55"/>
      <c r="AD438" s="55"/>
      <c r="AE438" s="55"/>
      <c r="AF438" s="55"/>
      <c r="AG438" s="55"/>
      <c r="AH438" s="55"/>
      <c r="AI438" s="55"/>
      <c r="AJ438" s="55"/>
      <c r="AK438" s="55"/>
      <c r="AL438" s="55"/>
      <c r="AM438" s="55"/>
      <c r="AN438" s="55"/>
      <c r="AO438" s="55"/>
      <c r="AP438" s="55"/>
      <c r="AQ438" s="55"/>
      <c r="AR438" s="55"/>
      <c r="AS438" s="55"/>
    </row>
    <row r="439" spans="1:45" x14ac:dyDescent="0.25">
      <c r="A439" s="55"/>
      <c r="J439" s="55"/>
      <c r="K439" s="55"/>
      <c r="L439" s="55"/>
      <c r="M439" s="55"/>
      <c r="N439" s="55"/>
      <c r="O439" s="55"/>
      <c r="P439" s="55"/>
      <c r="Q439" s="55"/>
      <c r="R439" s="55"/>
      <c r="S439" s="55"/>
      <c r="T439" s="55"/>
      <c r="U439" s="55"/>
      <c r="V439" s="55"/>
      <c r="W439" s="55"/>
      <c r="X439" s="55"/>
      <c r="Y439" s="55"/>
      <c r="Z439" s="55"/>
      <c r="AA439" s="55"/>
      <c r="AB439" s="55"/>
      <c r="AC439" s="55"/>
      <c r="AD439" s="55"/>
      <c r="AE439" s="55"/>
      <c r="AF439" s="55"/>
      <c r="AG439" s="55"/>
      <c r="AH439" s="55"/>
      <c r="AI439" s="55"/>
      <c r="AJ439" s="55"/>
      <c r="AK439" s="55"/>
      <c r="AL439" s="55"/>
      <c r="AM439" s="55"/>
      <c r="AN439" s="55"/>
      <c r="AO439" s="55"/>
      <c r="AP439" s="55"/>
      <c r="AQ439" s="55"/>
      <c r="AR439" s="55"/>
      <c r="AS439" s="55"/>
    </row>
    <row r="440" spans="1:45" x14ac:dyDescent="0.25">
      <c r="A440" s="55"/>
      <c r="J440" s="55"/>
      <c r="K440" s="55"/>
      <c r="L440" s="55"/>
      <c r="M440" s="55"/>
      <c r="N440" s="55"/>
      <c r="O440" s="55"/>
      <c r="P440" s="55"/>
      <c r="Q440" s="55"/>
      <c r="R440" s="55"/>
      <c r="S440" s="55"/>
      <c r="T440" s="55"/>
      <c r="U440" s="55"/>
      <c r="V440" s="55"/>
      <c r="W440" s="55"/>
      <c r="X440" s="55"/>
      <c r="Y440" s="55"/>
      <c r="Z440" s="55"/>
      <c r="AA440" s="55"/>
      <c r="AB440" s="55"/>
      <c r="AC440" s="55"/>
      <c r="AD440" s="55"/>
      <c r="AE440" s="55"/>
      <c r="AF440" s="55"/>
      <c r="AG440" s="55"/>
      <c r="AH440" s="55"/>
      <c r="AI440" s="55"/>
      <c r="AJ440" s="55"/>
      <c r="AK440" s="55"/>
      <c r="AL440" s="55"/>
      <c r="AM440" s="55"/>
      <c r="AN440" s="55"/>
      <c r="AO440" s="55"/>
      <c r="AP440" s="55"/>
      <c r="AQ440" s="55"/>
      <c r="AR440" s="55"/>
      <c r="AS440" s="55"/>
    </row>
    <row r="441" spans="1:45" x14ac:dyDescent="0.25">
      <c r="A441" s="55"/>
      <c r="J441" s="55"/>
      <c r="K441" s="55"/>
      <c r="L441" s="55"/>
      <c r="M441" s="55"/>
      <c r="N441" s="55"/>
      <c r="O441" s="55"/>
      <c r="P441" s="55"/>
      <c r="Q441" s="55"/>
      <c r="R441" s="55"/>
      <c r="S441" s="55"/>
      <c r="T441" s="55"/>
      <c r="U441" s="55"/>
      <c r="V441" s="55"/>
      <c r="W441" s="55"/>
      <c r="X441" s="55"/>
      <c r="Y441" s="55"/>
      <c r="Z441" s="55"/>
      <c r="AA441" s="55"/>
      <c r="AB441" s="55"/>
      <c r="AC441" s="55"/>
      <c r="AD441" s="55"/>
      <c r="AE441" s="55"/>
      <c r="AF441" s="55"/>
      <c r="AG441" s="55"/>
      <c r="AH441" s="55"/>
      <c r="AI441" s="55"/>
      <c r="AJ441" s="55"/>
      <c r="AK441" s="55"/>
      <c r="AL441" s="55"/>
      <c r="AM441" s="55"/>
      <c r="AN441" s="55"/>
      <c r="AO441" s="55"/>
      <c r="AP441" s="55"/>
      <c r="AQ441" s="55"/>
      <c r="AR441" s="55"/>
      <c r="AS441" s="55"/>
    </row>
    <row r="442" spans="1:45" x14ac:dyDescent="0.25">
      <c r="A442" s="55"/>
      <c r="J442" s="55"/>
      <c r="K442" s="55"/>
      <c r="L442" s="55"/>
      <c r="M442" s="55"/>
      <c r="N442" s="55"/>
      <c r="O442" s="55"/>
      <c r="P442" s="55"/>
      <c r="Q442" s="55"/>
      <c r="R442" s="55"/>
      <c r="S442" s="55"/>
      <c r="T442" s="55"/>
      <c r="U442" s="55"/>
      <c r="V442" s="55"/>
      <c r="W442" s="55"/>
      <c r="X442" s="55"/>
      <c r="Y442" s="55"/>
      <c r="Z442" s="55"/>
      <c r="AA442" s="55"/>
      <c r="AB442" s="55"/>
      <c r="AC442" s="55"/>
      <c r="AD442" s="55"/>
      <c r="AE442" s="55"/>
      <c r="AF442" s="55"/>
      <c r="AG442" s="55"/>
      <c r="AH442" s="55"/>
      <c r="AI442" s="55"/>
      <c r="AJ442" s="55"/>
      <c r="AK442" s="55"/>
      <c r="AL442" s="55"/>
      <c r="AM442" s="55"/>
      <c r="AN442" s="55"/>
      <c r="AO442" s="55"/>
      <c r="AP442" s="55"/>
      <c r="AQ442" s="55"/>
      <c r="AR442" s="55"/>
      <c r="AS442" s="55"/>
    </row>
    <row r="443" spans="1:45" x14ac:dyDescent="0.25">
      <c r="A443" s="55"/>
      <c r="J443" s="55"/>
      <c r="K443" s="55"/>
      <c r="L443" s="55"/>
      <c r="M443" s="55"/>
      <c r="N443" s="55"/>
      <c r="O443" s="55"/>
      <c r="P443" s="55"/>
      <c r="Q443" s="55"/>
      <c r="R443" s="55"/>
      <c r="S443" s="55"/>
      <c r="T443" s="55"/>
      <c r="U443" s="55"/>
      <c r="V443" s="55"/>
      <c r="W443" s="55"/>
      <c r="X443" s="55"/>
      <c r="Y443" s="55"/>
      <c r="Z443" s="55"/>
      <c r="AA443" s="55"/>
      <c r="AB443" s="55"/>
      <c r="AC443" s="55"/>
      <c r="AD443" s="55"/>
      <c r="AE443" s="55"/>
      <c r="AF443" s="55"/>
      <c r="AG443" s="55"/>
      <c r="AH443" s="55"/>
      <c r="AI443" s="55"/>
      <c r="AJ443" s="55"/>
      <c r="AK443" s="55"/>
      <c r="AL443" s="55"/>
      <c r="AM443" s="55"/>
      <c r="AN443" s="55"/>
      <c r="AO443" s="55"/>
      <c r="AP443" s="55"/>
      <c r="AQ443" s="55"/>
      <c r="AR443" s="55"/>
      <c r="AS443" s="55"/>
    </row>
    <row r="444" spans="1:45" x14ac:dyDescent="0.25">
      <c r="A444" s="55"/>
      <c r="J444" s="55"/>
      <c r="K444" s="55"/>
      <c r="L444" s="55"/>
      <c r="M444" s="55"/>
      <c r="N444" s="55"/>
      <c r="O444" s="55"/>
      <c r="P444" s="55"/>
      <c r="Q444" s="55"/>
      <c r="R444" s="55"/>
      <c r="S444" s="55"/>
      <c r="T444" s="55"/>
      <c r="U444" s="55"/>
      <c r="V444" s="55"/>
      <c r="W444" s="55"/>
      <c r="X444" s="55"/>
      <c r="Y444" s="55"/>
      <c r="Z444" s="55"/>
      <c r="AA444" s="55"/>
      <c r="AB444" s="55"/>
      <c r="AC444" s="55"/>
      <c r="AD444" s="55"/>
      <c r="AE444" s="55"/>
      <c r="AF444" s="55"/>
      <c r="AG444" s="55"/>
      <c r="AH444" s="55"/>
      <c r="AI444" s="55"/>
      <c r="AJ444" s="55"/>
      <c r="AK444" s="55"/>
      <c r="AL444" s="55"/>
      <c r="AM444" s="55"/>
      <c r="AN444" s="55"/>
      <c r="AO444" s="55"/>
      <c r="AP444" s="55"/>
      <c r="AQ444" s="55"/>
      <c r="AR444" s="55"/>
      <c r="AS444" s="55"/>
    </row>
    <row r="445" spans="1:45" x14ac:dyDescent="0.25">
      <c r="A445" s="55"/>
    </row>
    <row r="446" spans="1:45" x14ac:dyDescent="0.25">
      <c r="A446" s="55"/>
    </row>
    <row r="447" spans="1:45" x14ac:dyDescent="0.25">
      <c r="A447" s="55"/>
    </row>
    <row r="448" spans="1:45" x14ac:dyDescent="0.25">
      <c r="A448" s="55"/>
    </row>
  </sheetData>
  <mergeCells count="17">
    <mergeCell ref="Z56:AE105"/>
    <mergeCell ref="E56:I105"/>
    <mergeCell ref="Z6:AE55"/>
    <mergeCell ref="B2:I4"/>
    <mergeCell ref="J2:X4"/>
    <mergeCell ref="B6:D255"/>
    <mergeCell ref="E6:I55"/>
    <mergeCell ref="E206:I255"/>
    <mergeCell ref="Z156:AE205"/>
    <mergeCell ref="E156:I205"/>
    <mergeCell ref="Z106:AE155"/>
    <mergeCell ref="E106:I155"/>
    <mergeCell ref="J256:L261"/>
    <mergeCell ref="M256:O261"/>
    <mergeCell ref="P256:R261"/>
    <mergeCell ref="S256:U261"/>
    <mergeCell ref="V256:X26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tabColor rgb="FF002060"/>
  </sheetPr>
  <dimension ref="A1:AY155"/>
  <sheetViews>
    <sheetView tabSelected="1" topLeftCell="I1" zoomScale="96" zoomScaleNormal="96" workbookViewId="0">
      <pane ySplit="6" topLeftCell="A7" activePane="bottomLeft" state="frozen"/>
      <selection activeCell="A6" sqref="A6"/>
      <selection pane="bottomLeft" activeCell="AN145" sqref="AN145"/>
    </sheetView>
  </sheetViews>
  <sheetFormatPr baseColWidth="10" defaultColWidth="11.42578125" defaultRowHeight="16.5" x14ac:dyDescent="0.25"/>
  <cols>
    <col min="1" max="1" width="4" style="1" bestFit="1" customWidth="1"/>
    <col min="2" max="2" width="21.7109375" style="1" customWidth="1"/>
    <col min="3" max="3" width="25.5703125" style="1" customWidth="1"/>
    <col min="4" max="4" width="20.5703125" style="1" customWidth="1"/>
    <col min="5" max="5" width="15.5703125" style="1" customWidth="1"/>
    <col min="6" max="6" width="24.42578125" style="1" customWidth="1"/>
    <col min="7" max="7" width="21.85546875" style="1" customWidth="1"/>
    <col min="8" max="8" width="32.42578125" style="2" customWidth="1"/>
    <col min="9" max="9" width="19" style="1" customWidth="1"/>
    <col min="10" max="10" width="17.85546875" style="1" hidden="1" customWidth="1"/>
    <col min="11" max="11" width="16.5703125" style="1" hidden="1" customWidth="1"/>
    <col min="12" max="12" width="6.28515625" style="1" hidden="1" customWidth="1"/>
    <col min="13" max="13" width="33" style="1" hidden="1" customWidth="1"/>
    <col min="14" max="14" width="42" style="1" hidden="1" customWidth="1"/>
    <col min="15" max="15" width="15.42578125" style="1" hidden="1" customWidth="1"/>
    <col min="16" max="16" width="6.28515625" style="1" hidden="1" customWidth="1"/>
    <col min="17" max="17" width="16" style="1" hidden="1" customWidth="1"/>
    <col min="18" max="18" width="5.85546875" style="1" customWidth="1"/>
    <col min="19" max="19" width="53.5703125" style="2" customWidth="1"/>
    <col min="20" max="20" width="15.140625" style="1" hidden="1" customWidth="1"/>
    <col min="21" max="21" width="6.85546875" style="1" hidden="1" customWidth="1"/>
    <col min="22" max="22" width="5" style="1" hidden="1" customWidth="1"/>
    <col min="23" max="23" width="5.5703125" style="1" hidden="1" customWidth="1"/>
    <col min="24" max="24" width="7.140625" style="1" hidden="1" customWidth="1"/>
    <col min="25" max="25" width="6.7109375" style="1" hidden="1" customWidth="1"/>
    <col min="26" max="26" width="7.5703125" style="1" hidden="1" customWidth="1"/>
    <col min="27" max="27" width="10.5703125" style="1" hidden="1" customWidth="1"/>
    <col min="28" max="28" width="8.7109375" style="1" hidden="1" customWidth="1"/>
    <col min="29" max="29" width="8.85546875" style="1" hidden="1" customWidth="1"/>
    <col min="30" max="30" width="9.28515625" style="1" hidden="1" customWidth="1"/>
    <col min="31" max="31" width="9.42578125" style="1" hidden="1" customWidth="1"/>
    <col min="32" max="32" width="8.42578125" style="1" hidden="1" customWidth="1"/>
    <col min="33" max="33" width="7.28515625" style="1" hidden="1" customWidth="1"/>
    <col min="34" max="34" width="38.85546875" style="2" customWidth="1"/>
    <col min="35" max="35" width="18.85546875" style="1" hidden="1" customWidth="1"/>
    <col min="36" max="36" width="12.5703125" style="120" hidden="1" customWidth="1"/>
    <col min="37" max="37" width="16.140625" style="120" hidden="1" customWidth="1"/>
    <col min="38" max="38" width="37.7109375" style="121" hidden="1" customWidth="1"/>
    <col min="39" max="39" width="62.7109375" style="2" customWidth="1"/>
    <col min="40" max="40" width="60.140625" style="2" customWidth="1"/>
    <col min="41" max="41" width="8.85546875" style="1" customWidth="1"/>
    <col min="42" max="42" width="56.42578125" style="2" customWidth="1"/>
    <col min="43" max="43" width="33.28515625" style="2" customWidth="1"/>
    <col min="44" max="44" width="9.140625" style="1" customWidth="1"/>
    <col min="45" max="46" width="6.85546875" style="2" customWidth="1"/>
    <col min="47" max="49" width="15.5703125" style="2" customWidth="1"/>
    <col min="50" max="50" width="50.85546875" style="2" customWidth="1"/>
    <col min="51" max="93" width="11.42578125" style="2" customWidth="1"/>
    <col min="94" max="16384" width="11.42578125" style="2"/>
  </cols>
  <sheetData>
    <row r="1" spans="1:50" ht="16.5" customHeight="1" x14ac:dyDescent="0.25">
      <c r="A1" s="362" t="s">
        <v>525</v>
      </c>
      <c r="B1" s="363"/>
      <c r="C1" s="363"/>
      <c r="D1" s="363"/>
      <c r="E1" s="363"/>
      <c r="F1" s="363"/>
      <c r="G1" s="363"/>
      <c r="H1" s="363"/>
      <c r="I1" s="363"/>
      <c r="J1" s="363"/>
      <c r="K1" s="363"/>
      <c r="L1" s="363"/>
      <c r="M1" s="363"/>
      <c r="N1" s="363"/>
      <c r="O1" s="363"/>
      <c r="P1" s="363"/>
      <c r="Q1" s="363"/>
      <c r="R1" s="363"/>
      <c r="S1" s="363"/>
      <c r="T1" s="363"/>
      <c r="U1" s="363"/>
      <c r="V1" s="363"/>
      <c r="W1" s="363"/>
      <c r="X1" s="363"/>
      <c r="Y1" s="363"/>
      <c r="Z1" s="363"/>
      <c r="AA1" s="363"/>
      <c r="AB1" s="363"/>
      <c r="AC1" s="363"/>
      <c r="AD1" s="363"/>
      <c r="AE1" s="363"/>
      <c r="AF1" s="363"/>
      <c r="AG1" s="363"/>
      <c r="AH1" s="363"/>
      <c r="AI1" s="363"/>
      <c r="AJ1" s="363"/>
      <c r="AK1" s="363"/>
      <c r="AL1" s="363"/>
    </row>
    <row r="2" spans="1:50" ht="24" customHeight="1" x14ac:dyDescent="0.25">
      <c r="A2" s="364"/>
      <c r="B2" s="365"/>
      <c r="C2" s="365"/>
      <c r="D2" s="365"/>
      <c r="E2" s="365"/>
      <c r="F2" s="365"/>
      <c r="G2" s="365"/>
      <c r="H2" s="365"/>
      <c r="I2" s="365"/>
      <c r="J2" s="365"/>
      <c r="K2" s="365"/>
      <c r="L2" s="365"/>
      <c r="M2" s="365"/>
      <c r="N2" s="365"/>
      <c r="O2" s="365"/>
      <c r="P2" s="365"/>
      <c r="Q2" s="365"/>
      <c r="R2" s="365"/>
      <c r="S2" s="365"/>
      <c r="T2" s="365"/>
      <c r="U2" s="365"/>
      <c r="V2" s="365"/>
      <c r="W2" s="365"/>
      <c r="X2" s="365"/>
      <c r="Y2" s="365"/>
      <c r="Z2" s="365"/>
      <c r="AA2" s="365"/>
      <c r="AB2" s="365"/>
      <c r="AC2" s="365"/>
      <c r="AD2" s="365"/>
      <c r="AE2" s="365"/>
      <c r="AF2" s="365"/>
      <c r="AG2" s="365"/>
      <c r="AH2" s="365"/>
      <c r="AI2" s="365"/>
      <c r="AJ2" s="365"/>
      <c r="AK2" s="365"/>
      <c r="AL2" s="365"/>
    </row>
    <row r="3" spans="1:50" x14ac:dyDescent="0.25">
      <c r="A3" s="21"/>
      <c r="B3" s="21"/>
      <c r="C3" s="21"/>
      <c r="D3" s="21"/>
      <c r="E3" s="22"/>
      <c r="F3" s="21"/>
      <c r="G3" s="21"/>
      <c r="H3" s="20"/>
      <c r="I3" s="21"/>
      <c r="J3" s="21"/>
      <c r="K3" s="21"/>
      <c r="L3" s="21"/>
      <c r="M3" s="21"/>
      <c r="N3" s="21"/>
      <c r="O3" s="21"/>
      <c r="P3" s="21"/>
      <c r="Q3" s="21"/>
      <c r="R3" s="21"/>
      <c r="S3" s="20"/>
      <c r="T3" s="21"/>
      <c r="U3" s="21"/>
      <c r="V3" s="21"/>
      <c r="W3" s="21"/>
      <c r="X3" s="21"/>
      <c r="Y3" s="21"/>
      <c r="Z3" s="21"/>
      <c r="AA3" s="21"/>
      <c r="AB3" s="21"/>
      <c r="AC3" s="21"/>
      <c r="AD3" s="21"/>
      <c r="AE3" s="21"/>
      <c r="AF3" s="21"/>
      <c r="AG3" s="21"/>
      <c r="AH3" s="20"/>
      <c r="AI3" s="21"/>
      <c r="AJ3" s="118"/>
      <c r="AK3" s="118"/>
      <c r="AL3" s="119"/>
    </row>
    <row r="4" spans="1:50" x14ac:dyDescent="0.25">
      <c r="A4" s="366" t="s">
        <v>125</v>
      </c>
      <c r="B4" s="367"/>
      <c r="C4" s="367"/>
      <c r="D4" s="367"/>
      <c r="E4" s="367"/>
      <c r="F4" s="367"/>
      <c r="G4" s="367"/>
      <c r="H4" s="367"/>
      <c r="I4" s="367"/>
      <c r="J4" s="368"/>
      <c r="K4" s="366" t="s">
        <v>126</v>
      </c>
      <c r="L4" s="367"/>
      <c r="M4" s="367"/>
      <c r="N4" s="367"/>
      <c r="O4" s="367"/>
      <c r="P4" s="367"/>
      <c r="Q4" s="368"/>
      <c r="R4" s="366" t="s">
        <v>127</v>
      </c>
      <c r="S4" s="367"/>
      <c r="T4" s="367"/>
      <c r="U4" s="367"/>
      <c r="V4" s="367"/>
      <c r="W4" s="367"/>
      <c r="X4" s="367"/>
      <c r="Y4" s="367"/>
      <c r="Z4" s="368"/>
      <c r="AA4" s="366" t="s">
        <v>128</v>
      </c>
      <c r="AB4" s="367"/>
      <c r="AC4" s="367"/>
      <c r="AD4" s="367"/>
      <c r="AE4" s="367"/>
      <c r="AF4" s="367"/>
      <c r="AG4" s="368"/>
      <c r="AH4" s="366" t="s">
        <v>34</v>
      </c>
      <c r="AI4" s="367"/>
      <c r="AJ4" s="367"/>
      <c r="AK4" s="367"/>
      <c r="AL4" s="367"/>
      <c r="AM4" s="358" t="s">
        <v>624</v>
      </c>
      <c r="AN4" s="431"/>
      <c r="AO4" s="431"/>
      <c r="AP4" s="431"/>
      <c r="AQ4" s="431"/>
      <c r="AR4" s="431"/>
      <c r="AS4" s="431"/>
      <c r="AT4" s="431"/>
      <c r="AU4" s="431"/>
      <c r="AV4" s="431"/>
      <c r="AW4" s="431"/>
      <c r="AX4" s="431"/>
    </row>
    <row r="5" spans="1:50" ht="16.5" customHeight="1" x14ac:dyDescent="0.25">
      <c r="A5" s="369" t="s">
        <v>0</v>
      </c>
      <c r="B5" s="354" t="s">
        <v>188</v>
      </c>
      <c r="C5" s="354" t="s">
        <v>189</v>
      </c>
      <c r="D5" s="354" t="s">
        <v>172</v>
      </c>
      <c r="E5" s="360" t="s">
        <v>2</v>
      </c>
      <c r="F5" s="354" t="s">
        <v>3</v>
      </c>
      <c r="G5" s="354" t="s">
        <v>38</v>
      </c>
      <c r="H5" s="371" t="s">
        <v>1</v>
      </c>
      <c r="I5" s="361" t="s">
        <v>44</v>
      </c>
      <c r="J5" s="354" t="s">
        <v>121</v>
      </c>
      <c r="K5" s="356" t="s">
        <v>33</v>
      </c>
      <c r="L5" s="357" t="s">
        <v>5</v>
      </c>
      <c r="M5" s="361" t="s">
        <v>80</v>
      </c>
      <c r="N5" s="361" t="s">
        <v>85</v>
      </c>
      <c r="O5" s="359" t="s">
        <v>39</v>
      </c>
      <c r="P5" s="357" t="s">
        <v>5</v>
      </c>
      <c r="Q5" s="354" t="s">
        <v>42</v>
      </c>
      <c r="R5" s="352" t="s">
        <v>11</v>
      </c>
      <c r="S5" s="351" t="s">
        <v>137</v>
      </c>
      <c r="T5" s="361" t="s">
        <v>12</v>
      </c>
      <c r="U5" s="351" t="s">
        <v>8</v>
      </c>
      <c r="V5" s="351"/>
      <c r="W5" s="351"/>
      <c r="X5" s="351"/>
      <c r="Y5" s="351"/>
      <c r="Z5" s="351"/>
      <c r="AA5" s="355" t="s">
        <v>124</v>
      </c>
      <c r="AB5" s="355" t="s">
        <v>40</v>
      </c>
      <c r="AC5" s="355" t="s">
        <v>5</v>
      </c>
      <c r="AD5" s="355" t="s">
        <v>41</v>
      </c>
      <c r="AE5" s="355" t="s">
        <v>5</v>
      </c>
      <c r="AF5" s="355" t="s">
        <v>43</v>
      </c>
      <c r="AG5" s="352" t="s">
        <v>29</v>
      </c>
      <c r="AH5" s="351" t="s">
        <v>190</v>
      </c>
      <c r="AI5" s="351" t="s">
        <v>204</v>
      </c>
      <c r="AJ5" s="351" t="s">
        <v>194</v>
      </c>
      <c r="AK5" s="351" t="s">
        <v>195</v>
      </c>
      <c r="AL5" s="351" t="s">
        <v>606</v>
      </c>
      <c r="AM5" s="432" t="s">
        <v>609</v>
      </c>
      <c r="AN5" s="433"/>
      <c r="AO5" s="434"/>
      <c r="AP5" s="432" t="s">
        <v>610</v>
      </c>
      <c r="AQ5" s="433"/>
      <c r="AR5" s="434"/>
      <c r="AS5" s="351" t="s">
        <v>611</v>
      </c>
      <c r="AT5" s="351"/>
      <c r="AU5" s="351"/>
      <c r="AV5" s="351" t="s">
        <v>612</v>
      </c>
      <c r="AW5" s="351"/>
      <c r="AX5" s="351" t="s">
        <v>613</v>
      </c>
    </row>
    <row r="6" spans="1:50" s="197" customFormat="1" ht="58.5" customHeight="1" x14ac:dyDescent="0.25">
      <c r="A6" s="370"/>
      <c r="B6" s="351"/>
      <c r="C6" s="351"/>
      <c r="D6" s="351"/>
      <c r="E6" s="360"/>
      <c r="F6" s="351"/>
      <c r="G6" s="351"/>
      <c r="H6" s="360"/>
      <c r="I6" s="354"/>
      <c r="J6" s="351"/>
      <c r="K6" s="354"/>
      <c r="L6" s="358"/>
      <c r="M6" s="354"/>
      <c r="N6" s="354"/>
      <c r="O6" s="358"/>
      <c r="P6" s="358"/>
      <c r="Q6" s="351"/>
      <c r="R6" s="353"/>
      <c r="S6" s="351"/>
      <c r="T6" s="354"/>
      <c r="U6" s="3" t="s">
        <v>13</v>
      </c>
      <c r="V6" s="3" t="s">
        <v>17</v>
      </c>
      <c r="W6" s="3" t="s">
        <v>28</v>
      </c>
      <c r="X6" s="3" t="s">
        <v>18</v>
      </c>
      <c r="Y6" s="3" t="s">
        <v>21</v>
      </c>
      <c r="Z6" s="3" t="s">
        <v>24</v>
      </c>
      <c r="AA6" s="355"/>
      <c r="AB6" s="355"/>
      <c r="AC6" s="355"/>
      <c r="AD6" s="355"/>
      <c r="AE6" s="355"/>
      <c r="AF6" s="355"/>
      <c r="AG6" s="353"/>
      <c r="AH6" s="351"/>
      <c r="AI6" s="351"/>
      <c r="AJ6" s="351"/>
      <c r="AK6" s="351"/>
      <c r="AL6" s="351"/>
      <c r="AM6" s="212" t="s">
        <v>614</v>
      </c>
      <c r="AN6" s="212" t="s">
        <v>615</v>
      </c>
      <c r="AO6" s="212" t="s">
        <v>616</v>
      </c>
      <c r="AP6" s="212" t="s">
        <v>617</v>
      </c>
      <c r="AQ6" s="212" t="s">
        <v>618</v>
      </c>
      <c r="AR6" s="212" t="s">
        <v>616</v>
      </c>
      <c r="AS6" s="212" t="s">
        <v>619</v>
      </c>
      <c r="AT6" s="212" t="s">
        <v>620</v>
      </c>
      <c r="AU6" s="212" t="s">
        <v>621</v>
      </c>
      <c r="AV6" s="212" t="s">
        <v>622</v>
      </c>
      <c r="AW6" s="212" t="s">
        <v>623</v>
      </c>
      <c r="AX6" s="432"/>
    </row>
    <row r="7" spans="1:50" s="147" customFormat="1" ht="167.25" customHeight="1" x14ac:dyDescent="0.25">
      <c r="A7" s="380">
        <v>1</v>
      </c>
      <c r="B7" s="373" t="s">
        <v>327</v>
      </c>
      <c r="C7" s="376" t="s">
        <v>376</v>
      </c>
      <c r="D7" s="376" t="s">
        <v>191</v>
      </c>
      <c r="E7" s="339" t="s">
        <v>118</v>
      </c>
      <c r="F7" s="339" t="s">
        <v>433</v>
      </c>
      <c r="G7" s="339" t="s">
        <v>434</v>
      </c>
      <c r="H7" s="334" t="s">
        <v>543</v>
      </c>
      <c r="I7" s="339" t="s">
        <v>115</v>
      </c>
      <c r="J7" s="341">
        <v>4</v>
      </c>
      <c r="K7" s="343" t="str">
        <f>IF(J7&lt;=0,"",IF(J7&lt;=2,"Muy Baja",IF(J7&lt;=24,"Baja",IF(J7&lt;=500,"Media",IF(J7&lt;=5000,"Alta","Muy Alta")))))</f>
        <v>Baja</v>
      </c>
      <c r="L7" s="346">
        <f>IF(K7="","",IF(K7="Muy Baja",0.2,IF(K7="Baja",0.4,IF(K7="Media",0.6,IF(K7="Alta",0.8,IF(K7="Muy Alta",1,))))))</f>
        <v>0.4</v>
      </c>
      <c r="M7" s="349" t="s">
        <v>486</v>
      </c>
      <c r="N7" s="125" t="str">
        <f>IF(NOT(ISERROR(MATCH(M7,'Tabla Impacto'!$B$221:$B$223,0))),'Tabla Impacto'!$F$223&amp;"Por favor no seleccionar los criterios de impacto(Afectación Económica o presupuestal y Pérdida Reputacional)",M7)</f>
        <v xml:space="preserve"> El riesgo afecta la imagen de la entidad con algunos usuarios de relevancia frente al logro de los objetivos</v>
      </c>
      <c r="O7" s="343" t="str">
        <f>IF(OR(N7='Tabla Impacto'!$C$11,N7='Tabla Impacto'!$D$11),"Leve",IF(OR(N7='Tabla Impacto'!$C$12,N7='Tabla Impacto'!$D$12),"Menor",IF(OR(N7='Tabla Impacto'!$C$13,N7='Tabla Impacto'!$D$13),"Moderado",IF(OR(N7='Tabla Impacto'!$C$14,N7='Tabla Impacto'!$D$14),"Mayor",IF(OR(N7='Tabla Impacto'!$C$15,N7='Tabla Impacto'!$D$15),"Catastrófico","")))))</f>
        <v>Moderado</v>
      </c>
      <c r="P7" s="346">
        <f>IF(O7="","",IF(O7="Leve",0.2,IF(O7="Menor",0.4,IF(O7="Moderado",0.6,IF(O7="Mayor",0.8,IF(O7="Catastrófico",1,))))))</f>
        <v>0.6</v>
      </c>
      <c r="Q7" s="336" t="str">
        <f>IF(OR(AND(K7="Muy Baja",O7="Leve"),AND(K7="Muy Baja",O7="Menor"),AND(K7="Baja",O7="Leve")),"Bajo",IF(OR(AND(K7="Muy baja",O7="Moderado"),AND(K7="Baja",O7="Menor"),AND(K7="Baja",O7="Moderado"),AND(K7="Media",O7="Leve"),AND(K7="Media",O7="Menor"),AND(K7="Media",O7="Moderado"),AND(K7="Alta",O7="Leve"),AND(K7="Alta",O7="Menor")),"Moderado",IF(OR(AND(K7="Muy Baja",O7="Mayor"),AND(K7="Baja",O7="Mayor"),AND(K7="Media",O7="Mayor"),AND(K7="Alta",O7="Moderado"),AND(K7="Alta",O7="Mayor"),AND(K7="Muy Alta",O7="Leve"),AND(K7="Muy Alta",O7="Menor"),AND(K7="Muy Alta",O7="Moderado"),AND(K7="Muy Alta",O7="Mayor")),"Alto",IF(OR(AND(K7="Muy Baja",O7="Catastrófico"),AND(K7="Baja",O7="Catastrófico"),AND(K7="Media",O7="Catastrófico"),AND(K7="Alta",O7="Catastrófico"),AND(K7="Muy Alta",O7="Catastrófico")),"Extremo",""))))</f>
        <v>Moderado</v>
      </c>
      <c r="R7" s="126">
        <v>1</v>
      </c>
      <c r="S7" s="95" t="s">
        <v>192</v>
      </c>
      <c r="T7" s="127" t="str">
        <f>IF(OR(U7="Preventivo",U7="Detectivo"),"Probabilidad",IF(U7="Correctivo","Impacto",""))</f>
        <v>Probabilidad</v>
      </c>
      <c r="U7" s="128" t="s">
        <v>14</v>
      </c>
      <c r="V7" s="128" t="s">
        <v>9</v>
      </c>
      <c r="W7" s="129" t="str">
        <f>IF(AND(U7="Preventivo",V7="Automático"),"50%",IF(AND(U7="Preventivo",V7="Manual"),"40%",IF(AND(U7="Detectivo",V7="Automático"),"40%",IF(AND(U7="Detectivo",V7="Manual"),"30%",IF(AND(U7="Correctivo",V7="Automático"),"35%",IF(AND(U7="Correctivo",V7="Manual"),"25%",""))))))</f>
        <v>40%</v>
      </c>
      <c r="X7" s="128" t="s">
        <v>19</v>
      </c>
      <c r="Y7" s="128" t="s">
        <v>22</v>
      </c>
      <c r="Z7" s="128" t="s">
        <v>110</v>
      </c>
      <c r="AA7" s="130">
        <f>IFERROR(IF(T7="Probabilidad",($L$7-(+$L$7*W7)),IF(T7="Impacto",$L$7,"")),"")</f>
        <v>0.24</v>
      </c>
      <c r="AB7" s="131" t="str">
        <f>IFERROR(IF(AA7="","",IF(AA7&lt;=0.2,"Muy Baja",IF(AA7&lt;=0.4,"Baja",IF(AA7&lt;=0.6,"Media",IF(AA7&lt;=0.8,"Alta","Muy Alta"))))),"")</f>
        <v>Baja</v>
      </c>
      <c r="AC7" s="132">
        <f>+AA7</f>
        <v>0.24</v>
      </c>
      <c r="AD7" s="131" t="str">
        <f>IFERROR(IF(AE7="","",IF(AE7&lt;=0.2,"Leve",IF(AE7&lt;=0.4,"Menor",IF(AE7&lt;=0.6,"Moderado",IF(AE7&lt;=0.8,"Mayor","Catastrófico"))))),"")</f>
        <v>Moderado</v>
      </c>
      <c r="AE7" s="132">
        <f>IFERROR(IF(T7="Impacto",($P$7-(+$P$7*W7)),IF(T7="Probabilidad",$P$7,"")),"")</f>
        <v>0.6</v>
      </c>
      <c r="AF7" s="133" t="str">
        <f>IFERROR(IF(OR(AND(AB7="Muy Baja",AD7="Leve"),AND(AB7="Muy Baja",AD7="Menor"),AND(AB7="Baja",AD7="Leve")),"Bajo",IF(OR(AND(AB7="Muy baja",AD7="Moderado"),AND(AB7="Baja",AD7="Menor"),AND(AB7="Baja",AD7="Moderado"),AND(AB7="Media",AD7="Leve"),AND(AB7="Media",AD7="Menor"),AND(AB7="Media",AD7="Moderado"),AND(AB7="Alta",AD7="Leve"),AND(AB7="Alta",AD7="Menor")),"Moderado",IF(OR(AND(AB7="Muy Baja",AD7="Mayor"),AND(AB7="Baja",AD7="Mayor"),AND(AB7="Media",AD7="Mayor"),AND(AB7="Alta",AD7="Moderado"),AND(AB7="Alta",AD7="Mayor"),AND(AB7="Muy Alta",AD7="Leve"),AND(AB7="Muy Alta",AD7="Menor"),AND(AB7="Muy Alta",AD7="Moderado"),AND(AB7="Muy Alta",AD7="Mayor")),"Alto",IF(OR(AND(AB7="Muy Baja",AD7="Catastrófico"),AND(AB7="Baja",AD7="Catastrófico"),AND(AB7="Media",AD7="Catastrófico"),AND(AB7="Alta",AD7="Catastrófico"),AND(AB7="Muy Alta",AD7="Catastrófico")),"Extremo","")))),"")</f>
        <v>Moderado</v>
      </c>
      <c r="AG7" s="134" t="s">
        <v>122</v>
      </c>
      <c r="AH7" s="122" t="s">
        <v>542</v>
      </c>
      <c r="AI7" s="123" t="s">
        <v>203</v>
      </c>
      <c r="AJ7" s="135" t="s">
        <v>196</v>
      </c>
      <c r="AK7" s="135" t="s">
        <v>196</v>
      </c>
      <c r="AL7" s="95" t="s">
        <v>193</v>
      </c>
      <c r="AM7" s="213" t="s">
        <v>625</v>
      </c>
      <c r="AN7" s="214" t="s">
        <v>626</v>
      </c>
      <c r="AO7" s="215">
        <v>1</v>
      </c>
      <c r="AP7" s="216" t="s">
        <v>627</v>
      </c>
      <c r="AQ7" s="217" t="s">
        <v>628</v>
      </c>
      <c r="AR7" s="215">
        <v>1</v>
      </c>
      <c r="AS7" s="137"/>
      <c r="AT7" s="232" t="s">
        <v>629</v>
      </c>
      <c r="AU7" s="137" t="s">
        <v>630</v>
      </c>
      <c r="AV7" s="137" t="s">
        <v>630</v>
      </c>
      <c r="AW7" s="137" t="s">
        <v>630</v>
      </c>
      <c r="AX7" s="95"/>
    </row>
    <row r="8" spans="1:50" s="147" customFormat="1" ht="167.25" hidden="1" customHeight="1" x14ac:dyDescent="0.25">
      <c r="A8" s="372"/>
      <c r="B8" s="374"/>
      <c r="C8" s="377"/>
      <c r="D8" s="381"/>
      <c r="E8" s="340"/>
      <c r="F8" s="340"/>
      <c r="G8" s="340"/>
      <c r="H8" s="335"/>
      <c r="I8" s="340"/>
      <c r="J8" s="342"/>
      <c r="K8" s="344"/>
      <c r="L8" s="347"/>
      <c r="M8" s="350"/>
      <c r="N8" s="136"/>
      <c r="O8" s="344"/>
      <c r="P8" s="347"/>
      <c r="Q8" s="337"/>
      <c r="R8" s="126">
        <v>2</v>
      </c>
      <c r="S8" s="95"/>
      <c r="T8" s="127" t="str">
        <f t="shared" ref="T8:T9" si="0">IF(OR(U8="Preventivo",U8="Detectivo"),"Probabilidad",IF(U8="Correctivo","Impacto",""))</f>
        <v/>
      </c>
      <c r="U8" s="128"/>
      <c r="V8" s="128"/>
      <c r="W8" s="129" t="str">
        <f t="shared" ref="W8" si="1">IF(AND(U8="Preventivo",V8="Automático"),"50%",IF(AND(U8="Preventivo",V8="Manual"),"40%",IF(AND(U8="Detectivo",V8="Automático"),"40%",IF(AND(U8="Detectivo",V8="Manual"),"30%",IF(AND(U8="Correctivo",V8="Automático"),"35%",IF(AND(U8="Correctivo",V8="Manual"),"25%",""))))))</f>
        <v/>
      </c>
      <c r="X8" s="128"/>
      <c r="Y8" s="128"/>
      <c r="Z8" s="128"/>
      <c r="AA8" s="130" t="str">
        <f>IFERROR(IF(T8="Probabilidad",(AA7-(+AA7*W8)),IF(T8="Impacto",$L$7,"")),"")</f>
        <v/>
      </c>
      <c r="AB8" s="131" t="str">
        <f t="shared" ref="AB8:AB9" si="2">IFERROR(IF(AA8="","",IF(AA8&lt;=0.2,"Muy Baja",IF(AA8&lt;=0.4,"Baja",IF(AA8&lt;=0.6,"Media",IF(AA8&lt;=0.8,"Alta","Muy Alta"))))),"")</f>
        <v/>
      </c>
      <c r="AC8" s="132" t="str">
        <f t="shared" ref="AC8:AC9" si="3">+AA8</f>
        <v/>
      </c>
      <c r="AD8" s="131" t="str">
        <f t="shared" ref="AD8:AD9" si="4">IFERROR(IF(AE8="","",IF(AE8&lt;=0.2,"Leve",IF(AE8&lt;=0.4,"Menor",IF(AE8&lt;=0.6,"Moderado",IF(AE8&lt;=0.8,"Mayor","Catastrófico"))))),"")</f>
        <v/>
      </c>
      <c r="AE8" s="132" t="str">
        <f t="shared" ref="AE8:AE9" si="5">IFERROR(IF(T8="Impacto",($P$7-(+$P$7*W8)),IF(T8="Probabilidad",$P$7,"")),"")</f>
        <v/>
      </c>
      <c r="AF8" s="133" t="str">
        <f t="shared" ref="AF8:AF9" si="6">IFERROR(IF(OR(AND(AB8="Muy Baja",AD8="Leve"),AND(AB8="Muy Baja",AD8="Menor"),AND(AB8="Baja",AD8="Leve")),"Bajo",IF(OR(AND(AB8="Muy baja",AD8="Moderado"),AND(AB8="Baja",AD8="Menor"),AND(AB8="Baja",AD8="Moderado"),AND(AB8="Media",AD8="Leve"),AND(AB8="Media",AD8="Menor"),AND(AB8="Media",AD8="Moderado"),AND(AB8="Alta",AD8="Leve"),AND(AB8="Alta",AD8="Menor")),"Moderado",IF(OR(AND(AB8="Muy Baja",AD8="Mayor"),AND(AB8="Baja",AD8="Mayor"),AND(AB8="Media",AD8="Mayor"),AND(AB8="Alta",AD8="Moderado"),AND(AB8="Alta",AD8="Mayor"),AND(AB8="Muy Alta",AD8="Leve"),AND(AB8="Muy Alta",AD8="Menor"),AND(AB8="Muy Alta",AD8="Moderado"),AND(AB8="Muy Alta",AD8="Mayor")),"Alto",IF(OR(AND(AB8="Muy Baja",AD8="Catastrófico"),AND(AB8="Baja",AD8="Catastrófico"),AND(AB8="Media",AD8="Catastrófico"),AND(AB8="Alta",AD8="Catastrófico"),AND(AB8="Muy Alta",AD8="Catastrófico")),"Extremo","")))),"")</f>
        <v/>
      </c>
      <c r="AG8" s="134"/>
      <c r="AH8" s="95"/>
      <c r="AI8" s="123"/>
      <c r="AJ8" s="135"/>
      <c r="AK8" s="135"/>
      <c r="AL8" s="95"/>
      <c r="AM8" s="95"/>
      <c r="AN8" s="95"/>
      <c r="AO8" s="137"/>
      <c r="AP8" s="95"/>
      <c r="AQ8" s="95"/>
      <c r="AR8" s="137"/>
      <c r="AS8" s="95"/>
      <c r="AT8" s="232" t="s">
        <v>629</v>
      </c>
      <c r="AU8" s="137" t="s">
        <v>630</v>
      </c>
      <c r="AV8" s="137" t="s">
        <v>630</v>
      </c>
      <c r="AW8" s="137" t="s">
        <v>630</v>
      </c>
      <c r="AX8" s="95"/>
    </row>
    <row r="9" spans="1:50" s="147" customFormat="1" ht="167.25" hidden="1" customHeight="1" x14ac:dyDescent="0.25">
      <c r="A9" s="372"/>
      <c r="B9" s="375"/>
      <c r="C9" s="377"/>
      <c r="D9" s="381"/>
      <c r="E9" s="340"/>
      <c r="F9" s="340"/>
      <c r="G9" s="340"/>
      <c r="H9" s="335"/>
      <c r="I9" s="340"/>
      <c r="J9" s="342"/>
      <c r="K9" s="345"/>
      <c r="L9" s="348"/>
      <c r="M9" s="350"/>
      <c r="N9" s="136"/>
      <c r="O9" s="345"/>
      <c r="P9" s="348"/>
      <c r="Q9" s="338"/>
      <c r="R9" s="126">
        <v>3</v>
      </c>
      <c r="S9" s="95"/>
      <c r="T9" s="127" t="str">
        <f t="shared" si="0"/>
        <v/>
      </c>
      <c r="U9" s="128"/>
      <c r="V9" s="128"/>
      <c r="W9" s="129"/>
      <c r="X9" s="128"/>
      <c r="Y9" s="128"/>
      <c r="Z9" s="128"/>
      <c r="AA9" s="130" t="str">
        <f>IFERROR(IF(T9="Probabilidad",(AA8-(+AA8*W9)),IF(T9="Impacto",$L$7,"")),"")</f>
        <v/>
      </c>
      <c r="AB9" s="131" t="str">
        <f t="shared" si="2"/>
        <v/>
      </c>
      <c r="AC9" s="132" t="str">
        <f t="shared" si="3"/>
        <v/>
      </c>
      <c r="AD9" s="131" t="str">
        <f t="shared" si="4"/>
        <v/>
      </c>
      <c r="AE9" s="132" t="str">
        <f t="shared" si="5"/>
        <v/>
      </c>
      <c r="AF9" s="133" t="str">
        <f t="shared" si="6"/>
        <v/>
      </c>
      <c r="AG9" s="134"/>
      <c r="AH9" s="95"/>
      <c r="AI9" s="123"/>
      <c r="AJ9" s="135"/>
      <c r="AK9" s="135"/>
      <c r="AL9" s="95"/>
      <c r="AM9" s="95"/>
      <c r="AN9" s="95"/>
      <c r="AO9" s="137"/>
      <c r="AP9" s="95"/>
      <c r="AQ9" s="95"/>
      <c r="AR9" s="137"/>
      <c r="AS9" s="95"/>
      <c r="AT9" s="232" t="s">
        <v>629</v>
      </c>
      <c r="AU9" s="137" t="s">
        <v>630</v>
      </c>
      <c r="AV9" s="137" t="s">
        <v>630</v>
      </c>
      <c r="AW9" s="137" t="s">
        <v>630</v>
      </c>
      <c r="AX9" s="95"/>
    </row>
    <row r="10" spans="1:50" s="147" customFormat="1" ht="214.5" customHeight="1" x14ac:dyDescent="0.25">
      <c r="A10" s="372">
        <v>2</v>
      </c>
      <c r="B10" s="373" t="s">
        <v>327</v>
      </c>
      <c r="C10" s="376" t="s">
        <v>376</v>
      </c>
      <c r="D10" s="376" t="s">
        <v>191</v>
      </c>
      <c r="E10" s="339" t="s">
        <v>120</v>
      </c>
      <c r="F10" s="387" t="s">
        <v>435</v>
      </c>
      <c r="G10" s="383" t="s">
        <v>436</v>
      </c>
      <c r="H10" s="385" t="s">
        <v>377</v>
      </c>
      <c r="I10" s="339" t="s">
        <v>328</v>
      </c>
      <c r="J10" s="341">
        <v>160</v>
      </c>
      <c r="K10" s="343" t="str">
        <f>IF(J10&lt;=0,"",IF(J10&lt;=2,"Muy Baja",IF(J10&lt;=24,"Baja",IF(J10&lt;=500,"Media",IF(J10&lt;=5000,"Alta","Muy Alta")))))</f>
        <v>Media</v>
      </c>
      <c r="L10" s="346">
        <f>IF(K10="","",IF(K10="Muy Baja",0.2,IF(K10="Baja",0.4,IF(K10="Media",0.6,IF(K10="Alta",0.8,IF(K10="Muy Alta",1,))))))</f>
        <v>0.6</v>
      </c>
      <c r="M10" s="349" t="s">
        <v>486</v>
      </c>
      <c r="N10" s="125" t="str">
        <f>IF(NOT(ISERROR(MATCH(M10,'Tabla Impacto'!$B$221:$B$223,0))),'Tabla Impacto'!$F$223&amp;"Por favor no seleccionar los criterios de impacto(Afectación Económica o presupuestal y Pérdida Reputacional)",M10)</f>
        <v xml:space="preserve"> El riesgo afecta la imagen de la entidad con algunos usuarios de relevancia frente al logro de los objetivos</v>
      </c>
      <c r="O10" s="343" t="str">
        <f>IF(OR(N10='Tabla Impacto'!$C$11,N10='Tabla Impacto'!$D$11),"Leve",IF(OR(N10='Tabla Impacto'!$C$12,N10='Tabla Impacto'!$D$12),"Menor",IF(OR(N10='Tabla Impacto'!$C$13,N10='Tabla Impacto'!$D$13),"Moderado",IF(OR(N10='Tabla Impacto'!$C$14,N10='Tabla Impacto'!$D$14),"Mayor",IF(OR(N10='Tabla Impacto'!$C$15,N10='Tabla Impacto'!$D$15),"Catastrófico","")))))</f>
        <v>Moderado</v>
      </c>
      <c r="P10" s="346">
        <f>IF(O10="","",IF(O10="Leve",0.2,IF(O10="Menor",0.4,IF(O10="Moderado",0.6,IF(O10="Mayor",0.8,IF(O10="Catastrófico",1,))))))</f>
        <v>0.6</v>
      </c>
      <c r="Q10" s="336" t="str">
        <f>IF(OR(AND(K10="Muy Baja",O10="Leve"),AND(K10="Muy Baja",O10="Menor"),AND(K10="Baja",O10="Leve")),"Bajo",IF(OR(AND(K10="Muy baja",O10="Moderado"),AND(K10="Baja",O10="Menor"),AND(K10="Baja",O10="Moderado"),AND(K10="Media",O10="Leve"),AND(K10="Media",O10="Menor"),AND(K10="Media",O10="Moderado"),AND(K10="Alta",O10="Leve"),AND(K10="Alta",O10="Menor")),"Moderado",IF(OR(AND(K10="Muy Baja",O10="Mayor"),AND(K10="Baja",O10="Mayor"),AND(K10="Media",O10="Mayor"),AND(K10="Alta",O10="Moderado"),AND(K10="Alta",O10="Mayor"),AND(K10="Muy Alta",O10="Leve"),AND(K10="Muy Alta",O10="Menor"),AND(K10="Muy Alta",O10="Moderado"),AND(K10="Muy Alta",O10="Mayor")),"Alto",IF(OR(AND(K10="Muy Baja",O10="Catastrófico"),AND(K10="Baja",O10="Catastrófico"),AND(K10="Media",O10="Catastrófico"),AND(K10="Alta",O10="Catastrófico"),AND(K10="Muy Alta",O10="Catastrófico")),"Extremo",""))))</f>
        <v>Moderado</v>
      </c>
      <c r="R10" s="126">
        <v>1</v>
      </c>
      <c r="S10" s="95" t="s">
        <v>197</v>
      </c>
      <c r="T10" s="127" t="str">
        <f t="shared" ref="T10:T13" si="7">IF(OR(U10="Preventivo",U10="Detectivo"),"Probabilidad",IF(U10="Correctivo","Impacto",""))</f>
        <v>Probabilidad</v>
      </c>
      <c r="U10" s="128" t="s">
        <v>14</v>
      </c>
      <c r="V10" s="128" t="s">
        <v>9</v>
      </c>
      <c r="W10" s="129" t="str">
        <f t="shared" ref="W10:W13" si="8">IF(AND(U10="Preventivo",V10="Automático"),"50%",IF(AND(U10="Preventivo",V10="Manual"),"40%",IF(AND(U10="Detectivo",V10="Automático"),"40%",IF(AND(U10="Detectivo",V10="Manual"),"30%",IF(AND(U10="Correctivo",V10="Automático"),"35%",IF(AND(U10="Correctivo",V10="Manual"),"25%",""))))))</f>
        <v>40%</v>
      </c>
      <c r="X10" s="128" t="s">
        <v>19</v>
      </c>
      <c r="Y10" s="128" t="s">
        <v>22</v>
      </c>
      <c r="Z10" s="128" t="s">
        <v>110</v>
      </c>
      <c r="AA10" s="130">
        <f t="shared" ref="AA10:AA13" si="9">IFERROR(IF(T10="Probabilidad",(L10-(+L10*W10)),IF(T10="Impacto",L10,"")),"")</f>
        <v>0.36</v>
      </c>
      <c r="AB10" s="131" t="str">
        <f t="shared" ref="AB10:AB13" si="10">IFERROR(IF(AA10="","",IF(AA10&lt;=0.2,"Muy Baja",IF(AA10&lt;=0.4,"Baja",IF(AA10&lt;=0.6,"Media",IF(AA10&lt;=0.8,"Alta","Muy Alta"))))),"")</f>
        <v>Baja</v>
      </c>
      <c r="AC10" s="132">
        <f t="shared" ref="AC10:AC13" si="11">+AA10</f>
        <v>0.36</v>
      </c>
      <c r="AD10" s="131" t="str">
        <f t="shared" ref="AD10:AD13" si="12">IFERROR(IF(AE10="","",IF(AE10&lt;=0.2,"Leve",IF(AE10&lt;=0.4,"Menor",IF(AE10&lt;=0.6,"Moderado",IF(AE10&lt;=0.8,"Mayor","Catastrófico"))))),"")</f>
        <v>Moderado</v>
      </c>
      <c r="AE10" s="132">
        <f t="shared" ref="AE10:AE13" si="13">IFERROR(IF(T10="Impacto",(P10-(+P10*W10)),IF(T10="Probabilidad",P10,"")),"")</f>
        <v>0.6</v>
      </c>
      <c r="AF10" s="133" t="str">
        <f t="shared" ref="AF10:AF13" si="14">IFERROR(IF(OR(AND(AB10="Muy Baja",AD10="Leve"),AND(AB10="Muy Baja",AD10="Menor"),AND(AB10="Baja",AD10="Leve")),"Bajo",IF(OR(AND(AB10="Muy baja",AD10="Moderado"),AND(AB10="Baja",AD10="Menor"),AND(AB10="Baja",AD10="Moderado"),AND(AB10="Media",AD10="Leve"),AND(AB10="Media",AD10="Menor"),AND(AB10="Media",AD10="Moderado"),AND(AB10="Alta",AD10="Leve"),AND(AB10="Alta",AD10="Menor")),"Moderado",IF(OR(AND(AB10="Muy Baja",AD10="Mayor"),AND(AB10="Baja",AD10="Mayor"),AND(AB10="Media",AD10="Mayor"),AND(AB10="Alta",AD10="Moderado"),AND(AB10="Alta",AD10="Mayor"),AND(AB10="Muy Alta",AD10="Leve"),AND(AB10="Muy Alta",AD10="Menor"),AND(AB10="Muy Alta",AD10="Moderado"),AND(AB10="Muy Alta",AD10="Mayor")),"Alto",IF(OR(AND(AB10="Muy Baja",AD10="Catastrófico"),AND(AB10="Baja",AD10="Catastrófico"),AND(AB10="Media",AD10="Catastrófico"),AND(AB10="Alta",AD10="Catastrófico"),AND(AB10="Muy Alta",AD10="Catastrófico")),"Extremo","")))),"")</f>
        <v>Moderado</v>
      </c>
      <c r="AG10" s="134" t="s">
        <v>122</v>
      </c>
      <c r="AH10" s="95" t="s">
        <v>378</v>
      </c>
      <c r="AI10" s="123" t="s">
        <v>198</v>
      </c>
      <c r="AJ10" s="135" t="s">
        <v>199</v>
      </c>
      <c r="AK10" s="135" t="s">
        <v>199</v>
      </c>
      <c r="AL10" s="95" t="s">
        <v>379</v>
      </c>
      <c r="AM10" s="213" t="s">
        <v>625</v>
      </c>
      <c r="AN10" s="214" t="s">
        <v>631</v>
      </c>
      <c r="AO10" s="218">
        <v>1</v>
      </c>
      <c r="AP10" s="216" t="s">
        <v>632</v>
      </c>
      <c r="AQ10" s="214" t="s">
        <v>633</v>
      </c>
      <c r="AR10" s="218">
        <v>1</v>
      </c>
      <c r="AS10" s="137"/>
      <c r="AT10" s="232" t="s">
        <v>629</v>
      </c>
      <c r="AU10" s="137" t="s">
        <v>630</v>
      </c>
      <c r="AV10" s="137" t="s">
        <v>630</v>
      </c>
      <c r="AW10" s="137" t="s">
        <v>630</v>
      </c>
      <c r="AX10" s="95"/>
    </row>
    <row r="11" spans="1:50" s="147" customFormat="1" ht="151.5" hidden="1" customHeight="1" x14ac:dyDescent="0.25">
      <c r="A11" s="372"/>
      <c r="B11" s="374"/>
      <c r="C11" s="377"/>
      <c r="D11" s="381"/>
      <c r="E11" s="340"/>
      <c r="F11" s="340"/>
      <c r="G11" s="384"/>
      <c r="H11" s="386"/>
      <c r="I11" s="340"/>
      <c r="J11" s="342"/>
      <c r="K11" s="344"/>
      <c r="L11" s="347"/>
      <c r="M11" s="350"/>
      <c r="N11" s="136"/>
      <c r="O11" s="344"/>
      <c r="P11" s="347"/>
      <c r="Q11" s="337"/>
      <c r="R11" s="126">
        <v>2</v>
      </c>
      <c r="S11" s="95"/>
      <c r="T11" s="127" t="str">
        <f t="shared" ref="T11:T12" si="15">IF(OR(U11="Preventivo",U11="Detectivo"),"Probabilidad",IF(U11="Correctivo","Impacto",""))</f>
        <v/>
      </c>
      <c r="U11" s="128"/>
      <c r="V11" s="128"/>
      <c r="W11" s="129"/>
      <c r="X11" s="128"/>
      <c r="Y11" s="128"/>
      <c r="Z11" s="128"/>
      <c r="AA11" s="130" t="str">
        <f>IFERROR(IF(T11="Probabilidad",(AA10-(+AA10*W11)),IF(T11="Impacto",L10,"")),"")</f>
        <v/>
      </c>
      <c r="AB11" s="131" t="str">
        <f t="shared" ref="AB11:AB12" si="16">IFERROR(IF(AA11="","",IF(AA11&lt;=0.2,"Muy Baja",IF(AA11&lt;=0.4,"Baja",IF(AA11&lt;=0.6,"Media",IF(AA11&lt;=0.8,"Alta","Muy Alta"))))),"")</f>
        <v/>
      </c>
      <c r="AC11" s="132" t="str">
        <f t="shared" ref="AC11:AC12" si="17">+AA11</f>
        <v/>
      </c>
      <c r="AD11" s="131" t="str">
        <f t="shared" ref="AD11:AD12" si="18">IFERROR(IF(AE11="","",IF(AE11&lt;=0.2,"Leve",IF(AE11&lt;=0.4,"Menor",IF(AE11&lt;=0.6,"Moderado",IF(AE11&lt;=0.8,"Mayor","Catastrófico"))))),"")</f>
        <v/>
      </c>
      <c r="AE11" s="132" t="str">
        <f>IFERROR(IF(T11="Impacto",(P10-(+P10*W11)),IF(T11="Probabilidad",P10,"")),"")</f>
        <v/>
      </c>
      <c r="AF11" s="133" t="str">
        <f t="shared" ref="AF11:AF12" si="19">IFERROR(IF(OR(AND(AB11="Muy Baja",AD11="Leve"),AND(AB11="Muy Baja",AD11="Menor"),AND(AB11="Baja",AD11="Leve")),"Bajo",IF(OR(AND(AB11="Muy baja",AD11="Moderado"),AND(AB11="Baja",AD11="Menor"),AND(AB11="Baja",AD11="Moderado"),AND(AB11="Media",AD11="Leve"),AND(AB11="Media",AD11="Menor"),AND(AB11="Media",AD11="Moderado"),AND(AB11="Alta",AD11="Leve"),AND(AB11="Alta",AD11="Menor")),"Moderado",IF(OR(AND(AB11="Muy Baja",AD11="Mayor"),AND(AB11="Baja",AD11="Mayor"),AND(AB11="Media",AD11="Mayor"),AND(AB11="Alta",AD11="Moderado"),AND(AB11="Alta",AD11="Mayor"),AND(AB11="Muy Alta",AD11="Leve"),AND(AB11="Muy Alta",AD11="Menor"),AND(AB11="Muy Alta",AD11="Moderado"),AND(AB11="Muy Alta",AD11="Mayor")),"Alto",IF(OR(AND(AB11="Muy Baja",AD11="Catastrófico"),AND(AB11="Baja",AD11="Catastrófico"),AND(AB11="Media",AD11="Catastrófico"),AND(AB11="Alta",AD11="Catastrófico"),AND(AB11="Muy Alta",AD11="Catastrófico")),"Extremo","")))),"")</f>
        <v/>
      </c>
      <c r="AG11" s="134"/>
      <c r="AH11" s="95"/>
      <c r="AI11" s="123"/>
      <c r="AJ11" s="135"/>
      <c r="AK11" s="135"/>
      <c r="AL11" s="95"/>
      <c r="AM11" s="95"/>
      <c r="AN11" s="95"/>
      <c r="AO11" s="218">
        <v>1</v>
      </c>
      <c r="AP11" s="95"/>
      <c r="AQ11" s="95"/>
      <c r="AR11" s="137"/>
      <c r="AS11" s="95"/>
      <c r="AT11" s="232" t="s">
        <v>629</v>
      </c>
      <c r="AU11" s="137" t="s">
        <v>630</v>
      </c>
      <c r="AV11" s="137" t="s">
        <v>630</v>
      </c>
      <c r="AW11" s="137" t="s">
        <v>630</v>
      </c>
      <c r="AX11" s="95"/>
    </row>
    <row r="12" spans="1:50" s="147" customFormat="1" ht="151.5" hidden="1" customHeight="1" x14ac:dyDescent="0.25">
      <c r="A12" s="372"/>
      <c r="B12" s="375"/>
      <c r="C12" s="377"/>
      <c r="D12" s="381"/>
      <c r="E12" s="340"/>
      <c r="F12" s="340"/>
      <c r="G12" s="384"/>
      <c r="H12" s="386"/>
      <c r="I12" s="340"/>
      <c r="J12" s="342"/>
      <c r="K12" s="345"/>
      <c r="L12" s="348"/>
      <c r="M12" s="350"/>
      <c r="N12" s="136"/>
      <c r="O12" s="345"/>
      <c r="P12" s="348"/>
      <c r="Q12" s="338"/>
      <c r="R12" s="126">
        <v>3</v>
      </c>
      <c r="S12" s="95"/>
      <c r="T12" s="127" t="str">
        <f t="shared" si="15"/>
        <v/>
      </c>
      <c r="U12" s="128"/>
      <c r="V12" s="128"/>
      <c r="W12" s="129"/>
      <c r="X12" s="128"/>
      <c r="Y12" s="128"/>
      <c r="Z12" s="128"/>
      <c r="AA12" s="130" t="str">
        <f>IFERROR(IF(T12="Probabilidad",(AA11-(+AA11*W12)),IF(T12="Impacto",L10,"")),"")</f>
        <v/>
      </c>
      <c r="AB12" s="131" t="str">
        <f t="shared" si="16"/>
        <v/>
      </c>
      <c r="AC12" s="132" t="str">
        <f t="shared" si="17"/>
        <v/>
      </c>
      <c r="AD12" s="131" t="str">
        <f t="shared" si="18"/>
        <v/>
      </c>
      <c r="AE12" s="132" t="str">
        <f>IFERROR(IF(T12="Impacto",(P10-(+P10*W12)),IF(T12="Probabilidad",P10,"")),"")</f>
        <v/>
      </c>
      <c r="AF12" s="133" t="str">
        <f t="shared" si="19"/>
        <v/>
      </c>
      <c r="AG12" s="134"/>
      <c r="AH12" s="95"/>
      <c r="AI12" s="123"/>
      <c r="AJ12" s="135"/>
      <c r="AK12" s="135"/>
      <c r="AL12" s="95"/>
      <c r="AM12" s="95"/>
      <c r="AN12" s="95"/>
      <c r="AO12" s="218">
        <v>1</v>
      </c>
      <c r="AP12" s="95"/>
      <c r="AQ12" s="95"/>
      <c r="AR12" s="137"/>
      <c r="AS12" s="95"/>
      <c r="AT12" s="232" t="s">
        <v>629</v>
      </c>
      <c r="AU12" s="137" t="s">
        <v>630</v>
      </c>
      <c r="AV12" s="137" t="s">
        <v>630</v>
      </c>
      <c r="AW12" s="137" t="s">
        <v>630</v>
      </c>
      <c r="AX12" s="95"/>
    </row>
    <row r="13" spans="1:50" s="198" customFormat="1" ht="285.75" customHeight="1" x14ac:dyDescent="0.25">
      <c r="A13" s="372">
        <v>3</v>
      </c>
      <c r="B13" s="373" t="s">
        <v>200</v>
      </c>
      <c r="C13" s="376" t="s">
        <v>354</v>
      </c>
      <c r="D13" s="376" t="s">
        <v>374</v>
      </c>
      <c r="E13" s="339" t="s">
        <v>118</v>
      </c>
      <c r="F13" s="339" t="s">
        <v>437</v>
      </c>
      <c r="G13" s="339" t="s">
        <v>201</v>
      </c>
      <c r="H13" s="334" t="s">
        <v>380</v>
      </c>
      <c r="I13" s="339" t="s">
        <v>328</v>
      </c>
      <c r="J13" s="341">
        <v>5000</v>
      </c>
      <c r="K13" s="343" t="str">
        <f>IF(J13&lt;=0,"",IF(J13&lt;=2,"Muy Baja",IF(J13&lt;=24,"Baja",IF(J13&lt;=500,"Media",IF(J13&lt;=5000,"Alta","Muy Alta")))))</f>
        <v>Alta</v>
      </c>
      <c r="L13" s="346">
        <f>IF(K13="","",IF(K13="Muy Baja",0.2,IF(K13="Baja",0.4,IF(K13="Media",0.6,IF(K13="Alta",0.8,IF(K13="Muy Alta",1,))))))</f>
        <v>0.8</v>
      </c>
      <c r="M13" s="349" t="s">
        <v>486</v>
      </c>
      <c r="N13" s="125" t="str">
        <f>IF(NOT(ISERROR(MATCH(M13,'Tabla Impacto'!$B$221:$B$223,0))),'Tabla Impacto'!$F$223&amp;"Por favor no seleccionar los criterios de impacto(Afectación Económica o presupuestal y Pérdida Reputacional)",M13)</f>
        <v xml:space="preserve"> El riesgo afecta la imagen de la entidad con algunos usuarios de relevancia frente al logro de los objetivos</v>
      </c>
      <c r="O13" s="343" t="str">
        <f>IF(OR(N13='Tabla Impacto'!$C$11,N13='Tabla Impacto'!$D$11),"Leve",IF(OR(N13='Tabla Impacto'!$C$12,N13='Tabla Impacto'!$D$12),"Menor",IF(OR(N13='Tabla Impacto'!$C$13,N13='Tabla Impacto'!$D$13),"Moderado",IF(OR(N13='Tabla Impacto'!$C$14,N13='Tabla Impacto'!$D$14),"Mayor",IF(OR(N13='Tabla Impacto'!$C$15,N13='Tabla Impacto'!$D$15),"Catastrófico","")))))</f>
        <v>Moderado</v>
      </c>
      <c r="P13" s="346">
        <f>IF(O13="","",IF(O13="Leve",0.2,IF(O13="Menor",0.4,IF(O13="Moderado",0.6,IF(O13="Mayor",0.8,IF(O13="Catastrófico",1,))))))</f>
        <v>0.6</v>
      </c>
      <c r="Q13" s="336" t="str">
        <f>IF(OR(AND(K13="Muy Baja",O13="Leve"),AND(K13="Muy Baja",O13="Menor"),AND(K13="Baja",O13="Leve")),"Bajo",IF(OR(AND(K13="Muy baja",O13="Moderado"),AND(K13="Baja",O13="Menor"),AND(K13="Baja",O13="Moderado"),AND(K13="Media",O13="Leve"),AND(K13="Media",O13="Menor"),AND(K13="Media",O13="Moderado"),AND(K13="Alta",O13="Leve"),AND(K13="Alta",O13="Menor")),"Moderado",IF(OR(AND(K13="Muy Baja",O13="Mayor"),AND(K13="Baja",O13="Mayor"),AND(K13="Media",O13="Mayor"),AND(K13="Alta",O13="Moderado"),AND(K13="Alta",O13="Mayor"),AND(K13="Muy Alta",O13="Leve"),AND(K13="Muy Alta",O13="Menor"),AND(K13="Muy Alta",O13="Moderado"),AND(K13="Muy Alta",O13="Mayor")),"Alto",IF(OR(AND(K13="Muy Baja",O13="Catastrófico"),AND(K13="Baja",O13="Catastrófico"),AND(K13="Media",O13="Catastrófico"),AND(K13="Alta",O13="Catastrófico"),AND(K13="Muy Alta",O13="Catastrófico")),"Extremo",""))))</f>
        <v>Alto</v>
      </c>
      <c r="R13" s="126">
        <v>1</v>
      </c>
      <c r="S13" s="95" t="s">
        <v>202</v>
      </c>
      <c r="T13" s="127" t="str">
        <f t="shared" si="7"/>
        <v>Probabilidad</v>
      </c>
      <c r="U13" s="128" t="s">
        <v>14</v>
      </c>
      <c r="V13" s="128" t="s">
        <v>9</v>
      </c>
      <c r="W13" s="129" t="str">
        <f t="shared" si="8"/>
        <v>40%</v>
      </c>
      <c r="X13" s="128" t="s">
        <v>19</v>
      </c>
      <c r="Y13" s="128" t="s">
        <v>22</v>
      </c>
      <c r="Z13" s="128" t="s">
        <v>110</v>
      </c>
      <c r="AA13" s="130">
        <f t="shared" si="9"/>
        <v>0.48</v>
      </c>
      <c r="AB13" s="131" t="str">
        <f t="shared" si="10"/>
        <v>Media</v>
      </c>
      <c r="AC13" s="132">
        <f t="shared" si="11"/>
        <v>0.48</v>
      </c>
      <c r="AD13" s="131" t="str">
        <f t="shared" si="12"/>
        <v>Moderado</v>
      </c>
      <c r="AE13" s="132">
        <f t="shared" si="13"/>
        <v>0.6</v>
      </c>
      <c r="AF13" s="133" t="str">
        <f t="shared" si="14"/>
        <v>Moderado</v>
      </c>
      <c r="AG13" s="134" t="s">
        <v>122</v>
      </c>
      <c r="AH13" s="122" t="s">
        <v>381</v>
      </c>
      <c r="AI13" s="137" t="s">
        <v>203</v>
      </c>
      <c r="AJ13" s="135" t="s">
        <v>199</v>
      </c>
      <c r="AK13" s="135" t="s">
        <v>199</v>
      </c>
      <c r="AL13" s="95" t="s">
        <v>382</v>
      </c>
      <c r="AM13" s="95" t="s">
        <v>676</v>
      </c>
      <c r="AN13" s="229" t="s">
        <v>677</v>
      </c>
      <c r="AO13" s="218">
        <v>1</v>
      </c>
      <c r="AP13" s="216" t="s">
        <v>678</v>
      </c>
      <c r="AQ13" s="216" t="s">
        <v>679</v>
      </c>
      <c r="AR13" s="218">
        <v>1</v>
      </c>
      <c r="AS13" s="95"/>
      <c r="AT13" s="232" t="s">
        <v>629</v>
      </c>
      <c r="AU13" s="137" t="s">
        <v>630</v>
      </c>
      <c r="AV13" s="137" t="s">
        <v>630</v>
      </c>
      <c r="AW13" s="137" t="s">
        <v>630</v>
      </c>
      <c r="AX13" s="95"/>
    </row>
    <row r="14" spans="1:50" s="198" customFormat="1" ht="151.5" hidden="1" customHeight="1" x14ac:dyDescent="0.25">
      <c r="A14" s="372"/>
      <c r="B14" s="374"/>
      <c r="C14" s="377"/>
      <c r="D14" s="377"/>
      <c r="E14" s="340"/>
      <c r="F14" s="340"/>
      <c r="G14" s="340"/>
      <c r="H14" s="335"/>
      <c r="I14" s="340"/>
      <c r="J14" s="342"/>
      <c r="K14" s="344"/>
      <c r="L14" s="347"/>
      <c r="M14" s="350"/>
      <c r="N14" s="136"/>
      <c r="O14" s="344"/>
      <c r="P14" s="347"/>
      <c r="Q14" s="337"/>
      <c r="R14" s="126">
        <v>2</v>
      </c>
      <c r="S14" s="138"/>
      <c r="T14" s="127" t="str">
        <f t="shared" ref="T14:T15" si="20">IF(OR(U14="Preventivo",U14="Detectivo"),"Probabilidad",IF(U14="Correctivo","Impacto",""))</f>
        <v/>
      </c>
      <c r="U14" s="128"/>
      <c r="V14" s="128"/>
      <c r="W14" s="129"/>
      <c r="X14" s="128"/>
      <c r="Y14" s="128"/>
      <c r="Z14" s="128"/>
      <c r="AA14" s="130" t="str">
        <f>IFERROR(IF(T14="Probabilidad",(AA13-(+AA13*W14)),IF(T14="Impacto",L13,"")),"")</f>
        <v/>
      </c>
      <c r="AB14" s="131" t="str">
        <f t="shared" ref="AB14:AB15" si="21">IFERROR(IF(AA14="","",IF(AA14&lt;=0.2,"Muy Baja",IF(AA14&lt;=0.4,"Baja",IF(AA14&lt;=0.6,"Media",IF(AA14&lt;=0.8,"Alta","Muy Alta"))))),"")</f>
        <v/>
      </c>
      <c r="AC14" s="132" t="str">
        <f t="shared" ref="AC14:AC15" si="22">+AA14</f>
        <v/>
      </c>
      <c r="AD14" s="131" t="str">
        <f t="shared" ref="AD14:AD15" si="23">IFERROR(IF(AE14="","",IF(AE14&lt;=0.2,"Leve",IF(AE14&lt;=0.4,"Menor",IF(AE14&lt;=0.6,"Moderado",IF(AE14&lt;=0.8,"Mayor","Catastrófico"))))),"")</f>
        <v/>
      </c>
      <c r="AE14" s="132" t="str">
        <f>IFERROR(IF(T14="Impacto",(P13-(+P13*W14)),IF(T14="Probabilidad",P13,"")),"")</f>
        <v/>
      </c>
      <c r="AF14" s="133" t="str">
        <f t="shared" ref="AF14:AF15" si="24">IFERROR(IF(OR(AND(AB14="Muy Baja",AD14="Leve"),AND(AB14="Muy Baja",AD14="Menor"),AND(AB14="Baja",AD14="Leve")),"Bajo",IF(OR(AND(AB14="Muy baja",AD14="Moderado"),AND(AB14="Baja",AD14="Menor"),AND(AB14="Baja",AD14="Moderado"),AND(AB14="Media",AD14="Leve"),AND(AB14="Media",AD14="Menor"),AND(AB14="Media",AD14="Moderado"),AND(AB14="Alta",AD14="Leve"),AND(AB14="Alta",AD14="Menor")),"Moderado",IF(OR(AND(AB14="Muy Baja",AD14="Mayor"),AND(AB14="Baja",AD14="Mayor"),AND(AB14="Media",AD14="Mayor"),AND(AB14="Alta",AD14="Moderado"),AND(AB14="Alta",AD14="Mayor"),AND(AB14="Muy Alta",AD14="Leve"),AND(AB14="Muy Alta",AD14="Menor"),AND(AB14="Muy Alta",AD14="Moderado"),AND(AB14="Muy Alta",AD14="Mayor")),"Alto",IF(OR(AND(AB14="Muy Baja",AD14="Catastrófico"),AND(AB14="Baja",AD14="Catastrófico"),AND(AB14="Media",AD14="Catastrófico"),AND(AB14="Alta",AD14="Catastrófico"),AND(AB14="Muy Alta",AD14="Catastrófico")),"Extremo","")))),"")</f>
        <v/>
      </c>
      <c r="AG14" s="134"/>
      <c r="AH14" s="95"/>
      <c r="AI14" s="123"/>
      <c r="AJ14" s="135"/>
      <c r="AK14" s="135"/>
      <c r="AL14" s="95"/>
      <c r="AM14" s="95"/>
      <c r="AN14" s="95"/>
      <c r="AO14" s="137"/>
      <c r="AP14" s="95"/>
      <c r="AQ14" s="95"/>
      <c r="AR14" s="137"/>
      <c r="AS14" s="95"/>
      <c r="AT14" s="232" t="s">
        <v>629</v>
      </c>
      <c r="AU14" s="137" t="s">
        <v>630</v>
      </c>
      <c r="AV14" s="137" t="s">
        <v>630</v>
      </c>
      <c r="AW14" s="137" t="s">
        <v>630</v>
      </c>
      <c r="AX14" s="95"/>
    </row>
    <row r="15" spans="1:50" s="198" customFormat="1" ht="151.5" hidden="1" customHeight="1" x14ac:dyDescent="0.25">
      <c r="A15" s="372"/>
      <c r="B15" s="375"/>
      <c r="C15" s="377"/>
      <c r="D15" s="377"/>
      <c r="E15" s="340"/>
      <c r="F15" s="378"/>
      <c r="G15" s="378"/>
      <c r="H15" s="379"/>
      <c r="I15" s="340"/>
      <c r="J15" s="342"/>
      <c r="K15" s="345"/>
      <c r="L15" s="348"/>
      <c r="M15" s="350"/>
      <c r="N15" s="136"/>
      <c r="O15" s="345"/>
      <c r="P15" s="348"/>
      <c r="Q15" s="338"/>
      <c r="R15" s="126">
        <v>3</v>
      </c>
      <c r="S15" s="138"/>
      <c r="T15" s="127" t="str">
        <f t="shared" si="20"/>
        <v/>
      </c>
      <c r="U15" s="128"/>
      <c r="V15" s="128"/>
      <c r="W15" s="129"/>
      <c r="X15" s="128"/>
      <c r="Y15" s="128"/>
      <c r="Z15" s="128"/>
      <c r="AA15" s="130" t="str">
        <f>IFERROR(IF(T15="Probabilidad",(AA14-(+AA14*W15)),IF(T15="Impacto",L13,"")),"")</f>
        <v/>
      </c>
      <c r="AB15" s="131" t="str">
        <f t="shared" si="21"/>
        <v/>
      </c>
      <c r="AC15" s="132" t="str">
        <f t="shared" si="22"/>
        <v/>
      </c>
      <c r="AD15" s="131" t="str">
        <f t="shared" si="23"/>
        <v/>
      </c>
      <c r="AE15" s="132" t="str">
        <f>IFERROR(IF(T15="Impacto",(P13-(+P13*W15)),IF(T15="Probabilidad",P13,"")),"")</f>
        <v/>
      </c>
      <c r="AF15" s="133" t="str">
        <f t="shared" si="24"/>
        <v/>
      </c>
      <c r="AG15" s="134"/>
      <c r="AH15" s="95"/>
      <c r="AI15" s="123"/>
      <c r="AJ15" s="135"/>
      <c r="AK15" s="135"/>
      <c r="AL15" s="95"/>
      <c r="AM15" s="95"/>
      <c r="AN15" s="95"/>
      <c r="AO15" s="137"/>
      <c r="AP15" s="95"/>
      <c r="AQ15" s="95"/>
      <c r="AR15" s="137"/>
      <c r="AS15" s="95"/>
      <c r="AT15" s="232" t="s">
        <v>629</v>
      </c>
      <c r="AU15" s="137" t="s">
        <v>630</v>
      </c>
      <c r="AV15" s="137" t="s">
        <v>630</v>
      </c>
      <c r="AW15" s="137" t="s">
        <v>630</v>
      </c>
      <c r="AX15" s="95"/>
    </row>
    <row r="16" spans="1:50" s="209" customFormat="1" ht="162" customHeight="1" x14ac:dyDescent="0.25">
      <c r="A16" s="328">
        <v>4</v>
      </c>
      <c r="B16" s="329" t="s">
        <v>518</v>
      </c>
      <c r="C16" s="332" t="s">
        <v>519</v>
      </c>
      <c r="D16" s="332" t="s">
        <v>520</v>
      </c>
      <c r="E16" s="334" t="s">
        <v>118</v>
      </c>
      <c r="F16" s="388" t="s">
        <v>438</v>
      </c>
      <c r="G16" s="388" t="s">
        <v>554</v>
      </c>
      <c r="H16" s="334" t="s">
        <v>555</v>
      </c>
      <c r="I16" s="334" t="s">
        <v>328</v>
      </c>
      <c r="J16" s="315">
        <v>52</v>
      </c>
      <c r="K16" s="317" t="str">
        <f>IF(J16&lt;=0,"",IF(J16&lt;=2,"Muy Baja",IF(J16&lt;=24,"Baja",IF(J16&lt;=500,"Media",IF(J16&lt;=5000,"Alta","Muy Alta")))))</f>
        <v>Media</v>
      </c>
      <c r="L16" s="320">
        <f>IF(K16="","",IF(K16="Muy Baja",0.2,IF(K16="Baja",0.4,IF(K16="Media",0.6,IF(K16="Alta",0.8,IF(K16="Muy Alta",1,))))))</f>
        <v>0.6</v>
      </c>
      <c r="M16" s="323" t="s">
        <v>486</v>
      </c>
      <c r="N16" s="187" t="str">
        <f>IF(NOT(ISERROR(MATCH(M16,'Tabla Impacto'!$B$221:$B$223,0))),'Tabla Impacto'!$F$223&amp;"Por favor no seleccionar los criterios de impacto(Afectación Económica o presupuestal y Pérdida Reputacional)",M16)</f>
        <v xml:space="preserve"> El riesgo afecta la imagen de la entidad con algunos usuarios de relevancia frente al logro de los objetivos</v>
      </c>
      <c r="O16" s="317" t="str">
        <f>IF(OR(N16='Tabla Impacto'!$C$11,N16='Tabla Impacto'!$D$11),"Leve",IF(OR(N16='Tabla Impacto'!$C$12,N16='Tabla Impacto'!$D$12),"Menor",IF(OR(N16='Tabla Impacto'!$C$13,N16='Tabla Impacto'!$D$13),"Moderado",IF(OR(N16='Tabla Impacto'!$C$14,N16='Tabla Impacto'!$D$14),"Mayor",IF(OR(N16='Tabla Impacto'!$C$15,N16='Tabla Impacto'!$D$15),"Catastrófico","")))))</f>
        <v>Moderado</v>
      </c>
      <c r="P16" s="320">
        <f>IF(O16="","",IF(O16="Leve",0.2,IF(O16="Menor",0.4,IF(O16="Moderado",0.6,IF(O16="Mayor",0.8,IF(O16="Catastrófico",1,))))))</f>
        <v>0.6</v>
      </c>
      <c r="Q16" s="325" t="str">
        <f>IF(OR(AND(K16="Muy Baja",O16="Leve"),AND(K16="Muy Baja",O16="Menor"),AND(K16="Baja",O16="Leve")),"Bajo",IF(OR(AND(K16="Muy baja",O16="Moderado"),AND(K16="Baja",O16="Menor"),AND(K16="Baja",O16="Moderado"),AND(K16="Media",O16="Leve"),AND(K16="Media",O16="Menor"),AND(K16="Media",O16="Moderado"),AND(K16="Alta",O16="Leve"),AND(K16="Alta",O16="Menor")),"Moderado",IF(OR(AND(K16="Muy Baja",O16="Mayor"),AND(K16="Baja",O16="Mayor"),AND(K16="Media",O16="Mayor"),AND(K16="Alta",O16="Moderado"),AND(K16="Alta",O16="Mayor"),AND(K16="Muy Alta",O16="Leve"),AND(K16="Muy Alta",O16="Menor"),AND(K16="Muy Alta",O16="Moderado"),AND(K16="Muy Alta",O16="Mayor")),"Alto",IF(OR(AND(K16="Muy Baja",O16="Catastrófico"),AND(K16="Baja",O16="Catastrófico"),AND(K16="Media",O16="Catastrófico"),AND(K16="Alta",O16="Catastrófico"),AND(K16="Muy Alta",O16="Catastrófico")),"Extremo",""))))</f>
        <v>Moderado</v>
      </c>
      <c r="R16" s="189">
        <v>1</v>
      </c>
      <c r="S16" s="122" t="s">
        <v>556</v>
      </c>
      <c r="T16" s="190" t="str">
        <f t="shared" ref="T16:T106" si="25">IF(OR(U16="Preventivo",U16="Detectivo"),"Probabilidad",IF(U16="Correctivo","Impacto",""))</f>
        <v>Probabilidad</v>
      </c>
      <c r="U16" s="191" t="s">
        <v>15</v>
      </c>
      <c r="V16" s="191" t="s">
        <v>9</v>
      </c>
      <c r="W16" s="192" t="str">
        <f t="shared" ref="W16:W106" si="26">IF(AND(U16="Preventivo",V16="Automático"),"50%",IF(AND(U16="Preventivo",V16="Manual"),"40%",IF(AND(U16="Detectivo",V16="Automático"),"40%",IF(AND(U16="Detectivo",V16="Manual"),"30%",IF(AND(U16="Correctivo",V16="Automático"),"35%",IF(AND(U16="Correctivo",V16="Manual"),"25%",""))))))</f>
        <v>30%</v>
      </c>
      <c r="X16" s="191" t="s">
        <v>19</v>
      </c>
      <c r="Y16" s="191" t="s">
        <v>22</v>
      </c>
      <c r="Z16" s="191" t="s">
        <v>110</v>
      </c>
      <c r="AA16" s="144">
        <f t="shared" ref="AA16:AA106" si="27">IFERROR(IF(T16="Probabilidad",(L16-(+L16*W16)),IF(T16="Impacto",L16,"")),"")</f>
        <v>0.42</v>
      </c>
      <c r="AB16" s="193" t="str">
        <f t="shared" ref="AB16:AB106" si="28">IFERROR(IF(AA16="","",IF(AA16&lt;=0.2,"Muy Baja",IF(AA16&lt;=0.4,"Baja",IF(AA16&lt;=0.6,"Media",IF(AA16&lt;=0.8,"Alta","Muy Alta"))))),"")</f>
        <v>Media</v>
      </c>
      <c r="AC16" s="194">
        <f t="shared" ref="AC16:AC106" si="29">+AA16</f>
        <v>0.42</v>
      </c>
      <c r="AD16" s="193" t="str">
        <f t="shared" ref="AD16:AD106" si="30">IFERROR(IF(AE16="","",IF(AE16&lt;=0.2,"Leve",IF(AE16&lt;=0.4,"Menor",IF(AE16&lt;=0.6,"Moderado",IF(AE16&lt;=0.8,"Mayor","Catastrófico"))))),"")</f>
        <v>Moderado</v>
      </c>
      <c r="AE16" s="194">
        <f t="shared" ref="AE16:AE106" si="31">IFERROR(IF(T16="Impacto",(P16-(+P16*W16)),IF(T16="Probabilidad",P16,"")),"")</f>
        <v>0.6</v>
      </c>
      <c r="AF16" s="195" t="str">
        <f t="shared" ref="AF16:AF106" si="32">IFERROR(IF(OR(AND(AB16="Muy Baja",AD16="Leve"),AND(AB16="Muy Baja",AD16="Menor"),AND(AB16="Baja",AD16="Leve")),"Bajo",IF(OR(AND(AB16="Muy baja",AD16="Moderado"),AND(AB16="Baja",AD16="Menor"),AND(AB16="Baja",AD16="Moderado"),AND(AB16="Media",AD16="Leve"),AND(AB16="Media",AD16="Menor"),AND(AB16="Media",AD16="Moderado"),AND(AB16="Alta",AD16="Leve"),AND(AB16="Alta",AD16="Menor")),"Moderado",IF(OR(AND(AB16="Muy Baja",AD16="Mayor"),AND(AB16="Baja",AD16="Mayor"),AND(AB16="Media",AD16="Mayor"),AND(AB16="Alta",AD16="Moderado"),AND(AB16="Alta",AD16="Mayor"),AND(AB16="Muy Alta",AD16="Leve"),AND(AB16="Muy Alta",AD16="Menor"),AND(AB16="Muy Alta",AD16="Moderado"),AND(AB16="Muy Alta",AD16="Mayor")),"Alto",IF(OR(AND(AB16="Muy Baja",AD16="Catastrófico"),AND(AB16="Baja",AD16="Catastrófico"),AND(AB16="Media",AD16="Catastrófico"),AND(AB16="Alta",AD16="Catastrófico"),AND(AB16="Muy Alta",AD16="Catastrófico")),"Extremo","")))),"")</f>
        <v>Moderado</v>
      </c>
      <c r="AG16" s="196" t="s">
        <v>122</v>
      </c>
      <c r="AH16" s="122" t="s">
        <v>553</v>
      </c>
      <c r="AI16" s="139" t="s">
        <v>260</v>
      </c>
      <c r="AJ16" s="124" t="s">
        <v>199</v>
      </c>
      <c r="AK16" s="124" t="s">
        <v>199</v>
      </c>
      <c r="AL16" s="122" t="s">
        <v>557</v>
      </c>
      <c r="AM16" s="219" t="s">
        <v>634</v>
      </c>
      <c r="AN16" s="220" t="s">
        <v>635</v>
      </c>
      <c r="AO16" s="218">
        <v>1</v>
      </c>
      <c r="AP16" s="219" t="s">
        <v>636</v>
      </c>
      <c r="AQ16" s="219" t="s">
        <v>857</v>
      </c>
      <c r="AR16" s="218">
        <v>1</v>
      </c>
      <c r="AS16" s="137"/>
      <c r="AT16" s="232" t="s">
        <v>629</v>
      </c>
      <c r="AU16" s="137" t="s">
        <v>630</v>
      </c>
      <c r="AV16" s="137" t="s">
        <v>630</v>
      </c>
      <c r="AW16" s="137" t="s">
        <v>630</v>
      </c>
      <c r="AX16" s="95"/>
    </row>
    <row r="17" spans="1:50" s="209" customFormat="1" ht="151.5" hidden="1" customHeight="1" x14ac:dyDescent="0.25">
      <c r="A17" s="328"/>
      <c r="B17" s="330"/>
      <c r="C17" s="333"/>
      <c r="D17" s="333"/>
      <c r="E17" s="335"/>
      <c r="F17" s="335"/>
      <c r="G17" s="335"/>
      <c r="H17" s="335"/>
      <c r="I17" s="335"/>
      <c r="J17" s="316"/>
      <c r="K17" s="318"/>
      <c r="L17" s="321"/>
      <c r="M17" s="324"/>
      <c r="N17" s="188"/>
      <c r="O17" s="318"/>
      <c r="P17" s="321"/>
      <c r="Q17" s="326"/>
      <c r="R17" s="189">
        <v>2</v>
      </c>
      <c r="S17" s="122"/>
      <c r="T17" s="190" t="str">
        <f t="shared" ref="T17:T18" si="33">IF(OR(U17="Preventivo",U17="Detectivo"),"Probabilidad",IF(U17="Correctivo","Impacto",""))</f>
        <v/>
      </c>
      <c r="U17" s="191"/>
      <c r="V17" s="191"/>
      <c r="W17" s="192"/>
      <c r="X17" s="191"/>
      <c r="Y17" s="191"/>
      <c r="Z17" s="191"/>
      <c r="AA17" s="144" t="str">
        <f>IFERROR(IF(T17="Probabilidad",(AA16-(+AA16*W17)),IF(T17="Impacto",L17,"")),"")</f>
        <v/>
      </c>
      <c r="AB17" s="193" t="str">
        <f t="shared" ref="AB17:AB18" si="34">IFERROR(IF(AA17="","",IF(AA17&lt;=0.2,"Muy Baja",IF(AA17&lt;=0.4,"Baja",IF(AA17&lt;=0.6,"Media",IF(AA17&lt;=0.8,"Alta","Muy Alta"))))),"")</f>
        <v/>
      </c>
      <c r="AC17" s="194" t="str">
        <f t="shared" ref="AC17:AC18" si="35">+AA17</f>
        <v/>
      </c>
      <c r="AD17" s="193" t="str">
        <f t="shared" ref="AD17:AD18" si="36">IFERROR(IF(AE17="","",IF(AE17&lt;=0.2,"Leve",IF(AE17&lt;=0.4,"Menor",IF(AE17&lt;=0.6,"Moderado",IF(AE17&lt;=0.8,"Mayor","Catastrófico"))))),"")</f>
        <v/>
      </c>
      <c r="AE17" s="194" t="str">
        <f t="shared" ref="AE17:AE18" si="37">IFERROR(IF(T17="Impacto",(P17-(+P17*W17)),IF(T17="Probabilidad",P17,"")),"")</f>
        <v/>
      </c>
      <c r="AF17" s="195" t="str">
        <f t="shared" ref="AF17:AF18" si="38">IFERROR(IF(OR(AND(AB17="Muy Baja",AD17="Leve"),AND(AB17="Muy Baja",AD17="Menor"),AND(AB17="Baja",AD17="Leve")),"Bajo",IF(OR(AND(AB17="Muy baja",AD17="Moderado"),AND(AB17="Baja",AD17="Menor"),AND(AB17="Baja",AD17="Moderado"),AND(AB17="Media",AD17="Leve"),AND(AB17="Media",AD17="Menor"),AND(AB17="Media",AD17="Moderado"),AND(AB17="Alta",AD17="Leve"),AND(AB17="Alta",AD17="Menor")),"Moderado",IF(OR(AND(AB17="Muy Baja",AD17="Mayor"),AND(AB17="Baja",AD17="Mayor"),AND(AB17="Media",AD17="Mayor"),AND(AB17="Alta",AD17="Moderado"),AND(AB17="Alta",AD17="Mayor"),AND(AB17="Muy Alta",AD17="Leve"),AND(AB17="Muy Alta",AD17="Menor"),AND(AB17="Muy Alta",AD17="Moderado"),AND(AB17="Muy Alta",AD17="Mayor")),"Alto",IF(OR(AND(AB17="Muy Baja",AD17="Catastrófico"),AND(AB17="Baja",AD17="Catastrófico"),AND(AB17="Media",AD17="Catastrófico"),AND(AB17="Alta",AD17="Catastrófico"),AND(AB17="Muy Alta",AD17="Catastrófico")),"Extremo","")))),"")</f>
        <v/>
      </c>
      <c r="AG17" s="196"/>
      <c r="AH17" s="122"/>
      <c r="AI17" s="117"/>
      <c r="AJ17" s="124"/>
      <c r="AK17" s="124"/>
      <c r="AL17" s="122"/>
      <c r="AM17" s="95"/>
      <c r="AN17" s="95"/>
      <c r="AO17" s="137"/>
      <c r="AP17" s="95"/>
      <c r="AQ17" s="95"/>
      <c r="AR17" s="218">
        <v>1</v>
      </c>
      <c r="AS17" s="95"/>
      <c r="AT17" s="232" t="s">
        <v>629</v>
      </c>
      <c r="AU17" s="137" t="s">
        <v>630</v>
      </c>
      <c r="AV17" s="137" t="s">
        <v>630</v>
      </c>
      <c r="AW17" s="137" t="s">
        <v>630</v>
      </c>
      <c r="AX17" s="95"/>
    </row>
    <row r="18" spans="1:50" s="209" customFormat="1" ht="151.5" hidden="1" customHeight="1" x14ac:dyDescent="0.25">
      <c r="A18" s="328"/>
      <c r="B18" s="331"/>
      <c r="C18" s="333"/>
      <c r="D18" s="333"/>
      <c r="E18" s="335"/>
      <c r="F18" s="335"/>
      <c r="G18" s="335"/>
      <c r="H18" s="335"/>
      <c r="I18" s="335"/>
      <c r="J18" s="316"/>
      <c r="K18" s="319"/>
      <c r="L18" s="322"/>
      <c r="M18" s="324"/>
      <c r="N18" s="188"/>
      <c r="O18" s="319"/>
      <c r="P18" s="322"/>
      <c r="Q18" s="327"/>
      <c r="R18" s="189">
        <v>3</v>
      </c>
      <c r="S18" s="122"/>
      <c r="T18" s="190" t="str">
        <f t="shared" si="33"/>
        <v/>
      </c>
      <c r="U18" s="191"/>
      <c r="V18" s="191"/>
      <c r="W18" s="192"/>
      <c r="X18" s="191"/>
      <c r="Y18" s="191"/>
      <c r="Z18" s="191"/>
      <c r="AA18" s="144" t="str">
        <f>IFERROR(IF(T18="Probabilidad",(AA17-(+AA17*W18)),IF(T18="Impacto",L18,"")),"")</f>
        <v/>
      </c>
      <c r="AB18" s="193" t="str">
        <f t="shared" si="34"/>
        <v/>
      </c>
      <c r="AC18" s="194" t="str">
        <f t="shared" si="35"/>
        <v/>
      </c>
      <c r="AD18" s="193" t="str">
        <f t="shared" si="36"/>
        <v/>
      </c>
      <c r="AE18" s="194" t="str">
        <f t="shared" si="37"/>
        <v/>
      </c>
      <c r="AF18" s="195" t="str">
        <f t="shared" si="38"/>
        <v/>
      </c>
      <c r="AG18" s="196"/>
      <c r="AH18" s="122"/>
      <c r="AI18" s="117"/>
      <c r="AJ18" s="124"/>
      <c r="AK18" s="124"/>
      <c r="AL18" s="122"/>
      <c r="AM18" s="95"/>
      <c r="AN18" s="95"/>
      <c r="AO18" s="137"/>
      <c r="AP18" s="95"/>
      <c r="AQ18" s="95"/>
      <c r="AR18" s="218">
        <v>1</v>
      </c>
      <c r="AS18" s="95"/>
      <c r="AT18" s="232" t="s">
        <v>629</v>
      </c>
      <c r="AU18" s="137" t="s">
        <v>630</v>
      </c>
      <c r="AV18" s="137" t="s">
        <v>630</v>
      </c>
      <c r="AW18" s="137" t="s">
        <v>630</v>
      </c>
      <c r="AX18" s="95"/>
    </row>
    <row r="19" spans="1:50" s="209" customFormat="1" ht="151.5" customHeight="1" x14ac:dyDescent="0.25">
      <c r="A19" s="372">
        <v>5</v>
      </c>
      <c r="B19" s="373" t="s">
        <v>206</v>
      </c>
      <c r="C19" s="376" t="s">
        <v>207</v>
      </c>
      <c r="D19" s="376" t="s">
        <v>375</v>
      </c>
      <c r="E19" s="339" t="s">
        <v>118</v>
      </c>
      <c r="F19" s="339" t="s">
        <v>208</v>
      </c>
      <c r="G19" s="339" t="s">
        <v>209</v>
      </c>
      <c r="H19" s="334" t="s">
        <v>548</v>
      </c>
      <c r="I19" s="339" t="s">
        <v>115</v>
      </c>
      <c r="J19" s="341">
        <v>1</v>
      </c>
      <c r="K19" s="343" t="str">
        <f>IF(J19&lt;=0,"",IF(J19&lt;=2,"Muy Baja",IF(J19&lt;=24,"Baja",IF(J19&lt;=500,"Media",IF(J19&lt;=5000,"Alta","Muy Alta")))))</f>
        <v>Muy Baja</v>
      </c>
      <c r="L19" s="346">
        <f>IF(K19="","",IF(K19="Muy Baja",0.2,IF(K19="Baja",0.4,IF(K19="Media",0.6,IF(K19="Alta",0.8,IF(K19="Muy Alta",1,))))))</f>
        <v>0.2</v>
      </c>
      <c r="M19" s="349" t="s">
        <v>486</v>
      </c>
      <c r="N19" s="187" t="str">
        <f>IF(NOT(ISERROR(MATCH(M19,'Tabla Impacto'!$B$221:$B$223,0))),'Tabla Impacto'!$F$223&amp;"Por favor no seleccionar los criterios de impacto(Afectación Económica o presupuestal y Pérdida Reputacional)",M19)</f>
        <v xml:space="preserve"> El riesgo afecta la imagen de la entidad con algunos usuarios de relevancia frente al logro de los objetivos</v>
      </c>
      <c r="O19" s="343" t="str">
        <f>IF(OR(N19='Tabla Impacto'!$C$11,N19='Tabla Impacto'!$D$11),"Leve",IF(OR(N19='Tabla Impacto'!$C$12,N19='Tabla Impacto'!$D$12),"Menor",IF(OR(N19='Tabla Impacto'!$C$13,N19='Tabla Impacto'!$D$13),"Moderado",IF(OR(N19='Tabla Impacto'!$C$14,N19='Tabla Impacto'!$D$14),"Mayor",IF(OR(N19='Tabla Impacto'!$C$15,N19='Tabla Impacto'!$D$15),"Catastrófico","")))))</f>
        <v>Moderado</v>
      </c>
      <c r="P19" s="346">
        <f>IF(O19="","",IF(O19="Leve",0.2,IF(O19="Menor",0.4,IF(O19="Moderado",0.6,IF(O19="Mayor",0.8,IF(O19="Catastrófico",1,))))))</f>
        <v>0.6</v>
      </c>
      <c r="Q19" s="336" t="str">
        <f>IF(OR(AND(K19="Muy Baja",O19="Leve"),AND(K19="Muy Baja",O19="Menor"),AND(K19="Baja",O19="Leve")),"Bajo",IF(OR(AND(K19="Muy baja",O19="Moderado"),AND(K19="Baja",O19="Menor"),AND(K19="Baja",O19="Moderado"),AND(K19="Media",O19="Leve"),AND(K19="Media",O19="Menor"),AND(K19="Media",O19="Moderado"),AND(K19="Alta",O19="Leve"),AND(K19="Alta",O19="Menor")),"Moderado",IF(OR(AND(K19="Muy Baja",O19="Mayor"),AND(K19="Baja",O19="Mayor"),AND(K19="Media",O19="Mayor"),AND(K19="Alta",O19="Moderado"),AND(K19="Alta",O19="Mayor"),AND(K19="Muy Alta",O19="Leve"),AND(K19="Muy Alta",O19="Menor"),AND(K19="Muy Alta",O19="Moderado"),AND(K19="Muy Alta",O19="Mayor")),"Alto",IF(OR(AND(K19="Muy Baja",O19="Catastrófico"),AND(K19="Baja",O19="Catastrófico"),AND(K19="Media",O19="Catastrófico"),AND(K19="Alta",O19="Catastrófico"),AND(K19="Muy Alta",O19="Catastrófico")),"Extremo",""))))</f>
        <v>Moderado</v>
      </c>
      <c r="R19" s="189">
        <v>1</v>
      </c>
      <c r="S19" s="122" t="s">
        <v>210</v>
      </c>
      <c r="T19" s="190" t="str">
        <f t="shared" si="25"/>
        <v>Probabilidad</v>
      </c>
      <c r="U19" s="191" t="s">
        <v>14</v>
      </c>
      <c r="V19" s="191" t="s">
        <v>9</v>
      </c>
      <c r="W19" s="192" t="str">
        <f t="shared" si="26"/>
        <v>40%</v>
      </c>
      <c r="X19" s="191" t="s">
        <v>19</v>
      </c>
      <c r="Y19" s="191" t="s">
        <v>22</v>
      </c>
      <c r="Z19" s="191" t="s">
        <v>110</v>
      </c>
      <c r="AA19" s="144">
        <f t="shared" si="27"/>
        <v>0.12</v>
      </c>
      <c r="AB19" s="193" t="str">
        <f t="shared" si="28"/>
        <v>Muy Baja</v>
      </c>
      <c r="AC19" s="194">
        <f t="shared" si="29"/>
        <v>0.12</v>
      </c>
      <c r="AD19" s="193" t="str">
        <f t="shared" si="30"/>
        <v>Moderado</v>
      </c>
      <c r="AE19" s="194">
        <f t="shared" si="31"/>
        <v>0.6</v>
      </c>
      <c r="AF19" s="195" t="str">
        <f t="shared" si="32"/>
        <v>Moderado</v>
      </c>
      <c r="AG19" s="196" t="s">
        <v>122</v>
      </c>
      <c r="AH19" s="122" t="s">
        <v>211</v>
      </c>
      <c r="AI19" s="117" t="s">
        <v>212</v>
      </c>
      <c r="AJ19" s="124">
        <v>44562</v>
      </c>
      <c r="AK19" s="124" t="s">
        <v>373</v>
      </c>
      <c r="AL19" s="122" t="s">
        <v>213</v>
      </c>
      <c r="AM19" s="95" t="s">
        <v>648</v>
      </c>
      <c r="AN19" s="137" t="s">
        <v>630</v>
      </c>
      <c r="AO19" s="137" t="s">
        <v>630</v>
      </c>
      <c r="AP19" s="95" t="s">
        <v>649</v>
      </c>
      <c r="AQ19" s="137" t="s">
        <v>630</v>
      </c>
      <c r="AR19" s="218">
        <v>1</v>
      </c>
      <c r="AS19" s="95"/>
      <c r="AT19" s="232" t="s">
        <v>629</v>
      </c>
      <c r="AU19" s="137" t="s">
        <v>630</v>
      </c>
      <c r="AV19" s="137" t="s">
        <v>630</v>
      </c>
      <c r="AW19" s="137" t="s">
        <v>630</v>
      </c>
      <c r="AX19" s="95"/>
    </row>
    <row r="20" spans="1:50" s="209" customFormat="1" ht="151.5" hidden="1" customHeight="1" x14ac:dyDescent="0.25">
      <c r="A20" s="372"/>
      <c r="B20" s="374"/>
      <c r="C20" s="381"/>
      <c r="D20" s="377"/>
      <c r="E20" s="340"/>
      <c r="F20" s="340"/>
      <c r="G20" s="340"/>
      <c r="H20" s="335"/>
      <c r="I20" s="340"/>
      <c r="J20" s="342"/>
      <c r="K20" s="344"/>
      <c r="L20" s="347"/>
      <c r="M20" s="350"/>
      <c r="N20" s="188"/>
      <c r="O20" s="344"/>
      <c r="P20" s="347"/>
      <c r="Q20" s="337"/>
      <c r="R20" s="189">
        <v>2</v>
      </c>
      <c r="S20" s="122"/>
      <c r="T20" s="190" t="str">
        <f t="shared" ref="T20:T21" si="39">IF(OR(U20="Preventivo",U20="Detectivo"),"Probabilidad",IF(U20="Correctivo","Impacto",""))</f>
        <v/>
      </c>
      <c r="U20" s="191"/>
      <c r="V20" s="191"/>
      <c r="W20" s="192"/>
      <c r="X20" s="191"/>
      <c r="Y20" s="191"/>
      <c r="Z20" s="191"/>
      <c r="AA20" s="145" t="str">
        <f>IFERROR(IF(T20="Probabilidad",(AA19-(+AA19*W20)),IF(T20="Impacto",L20,"")),"")</f>
        <v/>
      </c>
      <c r="AB20" s="193" t="str">
        <f t="shared" ref="AB20:AB21" si="40">IFERROR(IF(AA20="","",IF(AA20&lt;=0.2,"Muy Baja",IF(AA20&lt;=0.4,"Baja",IF(AA20&lt;=0.6,"Media",IF(AA20&lt;=0.8,"Alta","Muy Alta"))))),"")</f>
        <v/>
      </c>
      <c r="AC20" s="194" t="str">
        <f t="shared" ref="AC20:AC21" si="41">+AA20</f>
        <v/>
      </c>
      <c r="AD20" s="193" t="str">
        <f t="shared" ref="AD20:AD21" si="42">IFERROR(IF(AE20="","",IF(AE20&lt;=0.2,"Leve",IF(AE20&lt;=0.4,"Menor",IF(AE20&lt;=0.6,"Moderado",IF(AE20&lt;=0.8,"Mayor","Catastrófico"))))),"")</f>
        <v/>
      </c>
      <c r="AE20" s="194" t="str">
        <f t="shared" ref="AE20:AE21" si="43">IFERROR(IF(T20="Impacto",(P20-(+P20*W20)),IF(T20="Probabilidad",P20,"")),"")</f>
        <v/>
      </c>
      <c r="AF20" s="195" t="str">
        <f t="shared" ref="AF20:AF21" si="44">IFERROR(IF(OR(AND(AB20="Muy Baja",AD20="Leve"),AND(AB20="Muy Baja",AD20="Menor"),AND(AB20="Baja",AD20="Leve")),"Bajo",IF(OR(AND(AB20="Muy baja",AD20="Moderado"),AND(AB20="Baja",AD20="Menor"),AND(AB20="Baja",AD20="Moderado"),AND(AB20="Media",AD20="Leve"),AND(AB20="Media",AD20="Menor"),AND(AB20="Media",AD20="Moderado"),AND(AB20="Alta",AD20="Leve"),AND(AB20="Alta",AD20="Menor")),"Moderado",IF(OR(AND(AB20="Muy Baja",AD20="Mayor"),AND(AB20="Baja",AD20="Mayor"),AND(AB20="Media",AD20="Mayor"),AND(AB20="Alta",AD20="Moderado"),AND(AB20="Alta",AD20="Mayor"),AND(AB20="Muy Alta",AD20="Leve"),AND(AB20="Muy Alta",AD20="Menor"),AND(AB20="Muy Alta",AD20="Moderado"),AND(AB20="Muy Alta",AD20="Mayor")),"Alto",IF(OR(AND(AB20="Muy Baja",AD20="Catastrófico"),AND(AB20="Baja",AD20="Catastrófico"),AND(AB20="Media",AD20="Catastrófico"),AND(AB20="Alta",AD20="Catastrófico"),AND(AB20="Muy Alta",AD20="Catastrófico")),"Extremo","")))),"")</f>
        <v/>
      </c>
      <c r="AG20" s="196"/>
      <c r="AH20" s="122"/>
      <c r="AI20" s="117"/>
      <c r="AJ20" s="124"/>
      <c r="AK20" s="124"/>
      <c r="AL20" s="122"/>
      <c r="AM20" s="95"/>
      <c r="AN20" s="95"/>
      <c r="AO20" s="137" t="s">
        <v>630</v>
      </c>
      <c r="AP20" s="95"/>
      <c r="AQ20" s="95"/>
      <c r="AR20" s="218">
        <v>1</v>
      </c>
      <c r="AS20" s="95"/>
      <c r="AT20" s="232" t="s">
        <v>629</v>
      </c>
      <c r="AU20" s="137" t="s">
        <v>630</v>
      </c>
      <c r="AV20" s="137" t="s">
        <v>630</v>
      </c>
      <c r="AW20" s="137" t="s">
        <v>630</v>
      </c>
      <c r="AX20" s="95"/>
    </row>
    <row r="21" spans="1:50" s="147" customFormat="1" ht="151.5" hidden="1" customHeight="1" x14ac:dyDescent="0.25">
      <c r="A21" s="382"/>
      <c r="B21" s="375"/>
      <c r="C21" s="381"/>
      <c r="D21" s="377"/>
      <c r="E21" s="340"/>
      <c r="F21" s="340"/>
      <c r="G21" s="340"/>
      <c r="H21" s="335"/>
      <c r="I21" s="340"/>
      <c r="J21" s="342"/>
      <c r="K21" s="345"/>
      <c r="L21" s="348"/>
      <c r="M21" s="350"/>
      <c r="N21" s="136"/>
      <c r="O21" s="345"/>
      <c r="P21" s="348"/>
      <c r="Q21" s="338"/>
      <c r="R21" s="126">
        <v>3</v>
      </c>
      <c r="S21" s="95"/>
      <c r="T21" s="127" t="str">
        <f t="shared" si="39"/>
        <v/>
      </c>
      <c r="U21" s="128"/>
      <c r="V21" s="128"/>
      <c r="W21" s="129"/>
      <c r="X21" s="128"/>
      <c r="Y21" s="128"/>
      <c r="Z21" s="128"/>
      <c r="AA21" s="140" t="str">
        <f>IFERROR(IF(T21="Probabilidad",(AA20-(+AA20*W21)),IF(T21="Impacto",L21,"")),"")</f>
        <v/>
      </c>
      <c r="AB21" s="131" t="str">
        <f t="shared" si="40"/>
        <v/>
      </c>
      <c r="AC21" s="132" t="str">
        <f t="shared" si="41"/>
        <v/>
      </c>
      <c r="AD21" s="131" t="str">
        <f t="shared" si="42"/>
        <v/>
      </c>
      <c r="AE21" s="132" t="str">
        <f t="shared" si="43"/>
        <v/>
      </c>
      <c r="AF21" s="133" t="str">
        <f t="shared" si="44"/>
        <v/>
      </c>
      <c r="AG21" s="134"/>
      <c r="AH21" s="95"/>
      <c r="AI21" s="123"/>
      <c r="AJ21" s="135"/>
      <c r="AK21" s="135"/>
      <c r="AL21" s="95"/>
      <c r="AM21" s="95"/>
      <c r="AN21" s="95"/>
      <c r="AO21" s="137" t="s">
        <v>630</v>
      </c>
      <c r="AP21" s="95"/>
      <c r="AQ21" s="95"/>
      <c r="AR21" s="218">
        <v>1</v>
      </c>
      <c r="AS21" s="95"/>
      <c r="AT21" s="232" t="s">
        <v>629</v>
      </c>
      <c r="AU21" s="137" t="s">
        <v>630</v>
      </c>
      <c r="AV21" s="137" t="s">
        <v>630</v>
      </c>
      <c r="AW21" s="137" t="s">
        <v>630</v>
      </c>
      <c r="AX21" s="95"/>
    </row>
    <row r="22" spans="1:50" s="147" customFormat="1" ht="171.95" customHeight="1" x14ac:dyDescent="0.25">
      <c r="A22" s="380">
        <v>6</v>
      </c>
      <c r="B22" s="373" t="s">
        <v>206</v>
      </c>
      <c r="C22" s="376" t="s">
        <v>207</v>
      </c>
      <c r="D22" s="376" t="s">
        <v>375</v>
      </c>
      <c r="E22" s="339" t="s">
        <v>119</v>
      </c>
      <c r="F22" s="387" t="s">
        <v>214</v>
      </c>
      <c r="G22" s="339" t="s">
        <v>215</v>
      </c>
      <c r="H22" s="334" t="s">
        <v>339</v>
      </c>
      <c r="I22" s="339" t="s">
        <v>328</v>
      </c>
      <c r="J22" s="341">
        <v>1</v>
      </c>
      <c r="K22" s="343" t="str">
        <f>IF(J22&lt;=0,"",IF(J22&lt;=2,"Muy Baja",IF(J22&lt;=24,"Baja",IF(J22&lt;=500,"Media",IF(J22&lt;=5000,"Alta","Muy Alta")))))</f>
        <v>Muy Baja</v>
      </c>
      <c r="L22" s="346">
        <f>IF(K22="","",IF(K22="Muy Baja",0.2,IF(K22="Baja",0.4,IF(K22="Media",0.6,IF(K22="Alta",0.8,IF(K22="Muy Alta",1,))))))</f>
        <v>0.2</v>
      </c>
      <c r="M22" s="349" t="s">
        <v>485</v>
      </c>
      <c r="N22" s="125" t="str">
        <f>IF(NOT(ISERROR(MATCH(M22,'Tabla Impacto'!$B$221:$B$223,0))),'Tabla Impacto'!$F$223&amp;"Por favor no seleccionar los criterios de impacto(Afectación Económica o presupuestal y Pérdida Reputacional)",M22)</f>
        <v xml:space="preserve"> Entre 50 y 100 SMLMV </v>
      </c>
      <c r="O22" s="343" t="str">
        <f>IF(OR(N22='Tabla Impacto'!$C$11,N22='Tabla Impacto'!$D$11),"Leve",IF(OR(N22='Tabla Impacto'!$C$12,N22='Tabla Impacto'!$D$12),"Menor",IF(OR(N22='Tabla Impacto'!$C$13,N22='Tabla Impacto'!$D$13),"Moderado",IF(OR(N22='Tabla Impacto'!$C$14,N22='Tabla Impacto'!$D$14),"Mayor",IF(OR(N22='Tabla Impacto'!$C$15,N22='Tabla Impacto'!$D$15),"Catastrófico","")))))</f>
        <v>Moderado</v>
      </c>
      <c r="P22" s="346">
        <f>IF(O22="","",IF(O22="Leve",0.2,IF(O22="Menor",0.4,IF(O22="Moderado",0.6,IF(O22="Mayor",0.8,IF(O22="Catastrófico",1,))))))</f>
        <v>0.6</v>
      </c>
      <c r="Q22" s="336" t="str">
        <f>IF(OR(AND(K22="Muy Baja",O22="Leve"),AND(K22="Muy Baja",O22="Menor"),AND(K22="Baja",O22="Leve")),"Bajo",IF(OR(AND(K22="Muy baja",O22="Moderado"),AND(K22="Baja",O22="Menor"),AND(K22="Baja",O22="Moderado"),AND(K22="Media",O22="Leve"),AND(K22="Media",O22="Menor"),AND(K22="Media",O22="Moderado"),AND(K22="Alta",O22="Leve"),AND(K22="Alta",O22="Menor")),"Moderado",IF(OR(AND(K22="Muy Baja",O22="Mayor"),AND(K22="Baja",O22="Mayor"),AND(K22="Media",O22="Mayor"),AND(K22="Alta",O22="Moderado"),AND(K22="Alta",O22="Mayor"),AND(K22="Muy Alta",O22="Leve"),AND(K22="Muy Alta",O22="Menor"),AND(K22="Muy Alta",O22="Moderado"),AND(K22="Muy Alta",O22="Mayor")),"Alto",IF(OR(AND(K22="Muy Baja",O22="Catastrófico"),AND(K22="Baja",O22="Catastrófico"),AND(K22="Media",O22="Catastrófico"),AND(K22="Alta",O22="Catastrófico"),AND(K22="Muy Alta",O22="Catastrófico")),"Extremo",""))))</f>
        <v>Moderado</v>
      </c>
      <c r="R22" s="126">
        <v>1</v>
      </c>
      <c r="S22" s="95" t="s">
        <v>216</v>
      </c>
      <c r="T22" s="127" t="str">
        <f t="shared" si="25"/>
        <v>Probabilidad</v>
      </c>
      <c r="U22" s="128" t="s">
        <v>15</v>
      </c>
      <c r="V22" s="128" t="s">
        <v>9</v>
      </c>
      <c r="W22" s="129" t="str">
        <f t="shared" si="26"/>
        <v>30%</v>
      </c>
      <c r="X22" s="128" t="s">
        <v>20</v>
      </c>
      <c r="Y22" s="128" t="s">
        <v>23</v>
      </c>
      <c r="Z22" s="128" t="s">
        <v>111</v>
      </c>
      <c r="AA22" s="130">
        <f t="shared" si="27"/>
        <v>0.14000000000000001</v>
      </c>
      <c r="AB22" s="131" t="str">
        <f t="shared" si="28"/>
        <v>Muy Baja</v>
      </c>
      <c r="AC22" s="132">
        <f t="shared" si="29"/>
        <v>0.14000000000000001</v>
      </c>
      <c r="AD22" s="131" t="str">
        <f t="shared" si="30"/>
        <v>Moderado</v>
      </c>
      <c r="AE22" s="132">
        <f t="shared" si="31"/>
        <v>0.6</v>
      </c>
      <c r="AF22" s="133" t="str">
        <f t="shared" si="32"/>
        <v>Moderado</v>
      </c>
      <c r="AG22" s="134" t="s">
        <v>122</v>
      </c>
      <c r="AH22" s="95" t="s">
        <v>217</v>
      </c>
      <c r="AI22" s="123" t="s">
        <v>203</v>
      </c>
      <c r="AJ22" s="124">
        <v>44562</v>
      </c>
      <c r="AK22" s="124" t="s">
        <v>373</v>
      </c>
      <c r="AL22" s="122" t="s">
        <v>329</v>
      </c>
      <c r="AM22" s="95" t="s">
        <v>650</v>
      </c>
      <c r="AN22" s="137" t="s">
        <v>630</v>
      </c>
      <c r="AO22" s="137" t="s">
        <v>630</v>
      </c>
      <c r="AP22" s="95" t="s">
        <v>650</v>
      </c>
      <c r="AQ22" s="137" t="s">
        <v>630</v>
      </c>
      <c r="AR22" s="218" t="s">
        <v>630</v>
      </c>
      <c r="AS22" s="95"/>
      <c r="AT22" s="232" t="s">
        <v>629</v>
      </c>
      <c r="AU22" s="137" t="s">
        <v>630</v>
      </c>
      <c r="AV22" s="137" t="s">
        <v>630</v>
      </c>
      <c r="AW22" s="137" t="s">
        <v>630</v>
      </c>
      <c r="AX22" s="95"/>
    </row>
    <row r="23" spans="1:50" s="147" customFormat="1" ht="151.5" hidden="1" customHeight="1" x14ac:dyDescent="0.25">
      <c r="A23" s="372"/>
      <c r="B23" s="374"/>
      <c r="C23" s="381"/>
      <c r="D23" s="377"/>
      <c r="E23" s="340"/>
      <c r="F23" s="340"/>
      <c r="G23" s="340"/>
      <c r="H23" s="335"/>
      <c r="I23" s="340"/>
      <c r="J23" s="342"/>
      <c r="K23" s="344"/>
      <c r="L23" s="347"/>
      <c r="M23" s="350"/>
      <c r="N23" s="136"/>
      <c r="O23" s="344"/>
      <c r="P23" s="347"/>
      <c r="Q23" s="337"/>
      <c r="R23" s="126">
        <v>2</v>
      </c>
      <c r="S23" s="95"/>
      <c r="T23" s="127" t="str">
        <f t="shared" ref="T23:T45" si="45">IF(OR(U23="Preventivo",U23="Detectivo"),"Probabilidad",IF(U23="Correctivo","Impacto",""))</f>
        <v/>
      </c>
      <c r="U23" s="128"/>
      <c r="V23" s="128"/>
      <c r="W23" s="129" t="str">
        <f t="shared" ref="W23:W44" si="46">IF(AND(U23="Preventivo",V23="Automático"),"50%",IF(AND(U23="Preventivo",V23="Manual"),"40%",IF(AND(U23="Detectivo",V23="Automático"),"40%",IF(AND(U23="Detectivo",V23="Manual"),"30%",IF(AND(U23="Correctivo",V23="Automático"),"35%",IF(AND(U23="Correctivo",V23="Manual"),"25%",""))))))</f>
        <v/>
      </c>
      <c r="X23" s="128"/>
      <c r="Y23" s="128"/>
      <c r="Z23" s="128"/>
      <c r="AA23" s="130" t="str">
        <f>IFERROR(IF(T23="Probabilidad",(AA22-(+AA22*W23)),IF(T23="Impacto",L23,"")),"")</f>
        <v/>
      </c>
      <c r="AB23" s="131" t="str">
        <f t="shared" ref="AB23:AB45" si="47">IFERROR(IF(AA23="","",IF(AA23&lt;=0.2,"Muy Baja",IF(AA23&lt;=0.4,"Baja",IF(AA23&lt;=0.6,"Media",IF(AA23&lt;=0.8,"Alta","Muy Alta"))))),"")</f>
        <v/>
      </c>
      <c r="AC23" s="132" t="str">
        <f t="shared" ref="AC23:AC45" si="48">+AA23</f>
        <v/>
      </c>
      <c r="AD23" s="131" t="str">
        <f t="shared" ref="AD23:AD45" si="49">IFERROR(IF(AE23="","",IF(AE23&lt;=0.2,"Leve",IF(AE23&lt;=0.4,"Menor",IF(AE23&lt;=0.6,"Moderado",IF(AE23&lt;=0.8,"Mayor","Catastrófico"))))),"")</f>
        <v/>
      </c>
      <c r="AE23" s="132" t="str">
        <f t="shared" ref="AE23:AE45" si="50">IFERROR(IF(T23="Impacto",(P23-(+P23*W23)),IF(T23="Probabilidad",P23,"")),"")</f>
        <v/>
      </c>
      <c r="AF23" s="133" t="str">
        <f t="shared" ref="AF23:AF45" si="51">IFERROR(IF(OR(AND(AB23="Muy Baja",AD23="Leve"),AND(AB23="Muy Baja",AD23="Menor"),AND(AB23="Baja",AD23="Leve")),"Bajo",IF(OR(AND(AB23="Muy baja",AD23="Moderado"),AND(AB23="Baja",AD23="Menor"),AND(AB23="Baja",AD23="Moderado"),AND(AB23="Media",AD23="Leve"),AND(AB23="Media",AD23="Menor"),AND(AB23="Media",AD23="Moderado"),AND(AB23="Alta",AD23="Leve"),AND(AB23="Alta",AD23="Menor")),"Moderado",IF(OR(AND(AB23="Muy Baja",AD23="Mayor"),AND(AB23="Baja",AD23="Mayor"),AND(AB23="Media",AD23="Mayor"),AND(AB23="Alta",AD23="Moderado"),AND(AB23="Alta",AD23="Mayor"),AND(AB23="Muy Alta",AD23="Leve"),AND(AB23="Muy Alta",AD23="Menor"),AND(AB23="Muy Alta",AD23="Moderado"),AND(AB23="Muy Alta",AD23="Mayor")),"Alto",IF(OR(AND(AB23="Muy Baja",AD23="Catastrófico"),AND(AB23="Baja",AD23="Catastrófico"),AND(AB23="Media",AD23="Catastrófico"),AND(AB23="Alta",AD23="Catastrófico"),AND(AB23="Muy Alta",AD23="Catastrófico")),"Extremo","")))),"")</f>
        <v/>
      </c>
      <c r="AG23" s="134"/>
      <c r="AH23" s="95"/>
      <c r="AI23" s="123"/>
      <c r="AJ23" s="135"/>
      <c r="AK23" s="135"/>
      <c r="AL23" s="95"/>
      <c r="AM23" s="95"/>
      <c r="AN23" s="95"/>
      <c r="AO23" s="137"/>
      <c r="AP23" s="95"/>
      <c r="AQ23" s="95"/>
      <c r="AR23" s="137"/>
      <c r="AS23" s="95"/>
      <c r="AT23" s="232" t="s">
        <v>629</v>
      </c>
      <c r="AU23" s="137" t="s">
        <v>630</v>
      </c>
      <c r="AV23" s="137" t="s">
        <v>630</v>
      </c>
      <c r="AW23" s="137" t="s">
        <v>630</v>
      </c>
      <c r="AX23" s="95"/>
    </row>
    <row r="24" spans="1:50" s="147" customFormat="1" ht="151.5" hidden="1" customHeight="1" x14ac:dyDescent="0.25">
      <c r="A24" s="372"/>
      <c r="B24" s="375"/>
      <c r="C24" s="381"/>
      <c r="D24" s="377"/>
      <c r="E24" s="340"/>
      <c r="F24" s="340"/>
      <c r="G24" s="340"/>
      <c r="H24" s="335"/>
      <c r="I24" s="340"/>
      <c r="J24" s="342"/>
      <c r="K24" s="345"/>
      <c r="L24" s="348"/>
      <c r="M24" s="350"/>
      <c r="N24" s="136"/>
      <c r="O24" s="345"/>
      <c r="P24" s="348"/>
      <c r="Q24" s="338"/>
      <c r="R24" s="126">
        <v>3</v>
      </c>
      <c r="S24" s="95"/>
      <c r="T24" s="127" t="str">
        <f t="shared" si="45"/>
        <v/>
      </c>
      <c r="U24" s="128"/>
      <c r="V24" s="128"/>
      <c r="W24" s="129" t="str">
        <f t="shared" si="46"/>
        <v/>
      </c>
      <c r="X24" s="128"/>
      <c r="Y24" s="128"/>
      <c r="Z24" s="128"/>
      <c r="AA24" s="130" t="str">
        <f>IFERROR(IF(T24="Probabilidad",(AA23-(+AA23*W24)),IF(T24="Impacto",L24,"")),"")</f>
        <v/>
      </c>
      <c r="AB24" s="131" t="str">
        <f t="shared" si="47"/>
        <v/>
      </c>
      <c r="AC24" s="132" t="str">
        <f t="shared" si="48"/>
        <v/>
      </c>
      <c r="AD24" s="131" t="str">
        <f t="shared" si="49"/>
        <v/>
      </c>
      <c r="AE24" s="132" t="str">
        <f t="shared" si="50"/>
        <v/>
      </c>
      <c r="AF24" s="133" t="str">
        <f t="shared" si="51"/>
        <v/>
      </c>
      <c r="AG24" s="134"/>
      <c r="AH24" s="95"/>
      <c r="AI24" s="123"/>
      <c r="AJ24" s="135"/>
      <c r="AK24" s="135"/>
      <c r="AL24" s="95"/>
      <c r="AM24" s="95"/>
      <c r="AN24" s="95"/>
      <c r="AO24" s="137"/>
      <c r="AP24" s="95"/>
      <c r="AQ24" s="95"/>
      <c r="AR24" s="137"/>
      <c r="AS24" s="95"/>
      <c r="AT24" s="232" t="s">
        <v>629</v>
      </c>
      <c r="AU24" s="137" t="s">
        <v>630</v>
      </c>
      <c r="AV24" s="137" t="s">
        <v>630</v>
      </c>
      <c r="AW24" s="137" t="s">
        <v>630</v>
      </c>
      <c r="AX24" s="95"/>
    </row>
    <row r="25" spans="1:50" s="147" customFormat="1" ht="226.5" customHeight="1" x14ac:dyDescent="0.25">
      <c r="A25" s="372">
        <v>7</v>
      </c>
      <c r="B25" s="373" t="s">
        <v>218</v>
      </c>
      <c r="C25" s="376" t="s">
        <v>219</v>
      </c>
      <c r="D25" s="376" t="s">
        <v>220</v>
      </c>
      <c r="E25" s="339" t="s">
        <v>120</v>
      </c>
      <c r="F25" s="387" t="s">
        <v>221</v>
      </c>
      <c r="G25" s="339" t="s">
        <v>222</v>
      </c>
      <c r="H25" s="334" t="s">
        <v>583</v>
      </c>
      <c r="I25" s="339" t="s">
        <v>115</v>
      </c>
      <c r="J25" s="341">
        <v>1460</v>
      </c>
      <c r="K25" s="343" t="str">
        <f>IF(J25&lt;=0,"",IF(J25&lt;=2,"Muy Baja",IF(J25&lt;=24,"Baja",IF(J25&lt;=500,"Media",IF(J25&lt;=5000,"Alta","Muy Alta")))))</f>
        <v>Alta</v>
      </c>
      <c r="L25" s="346">
        <f>IF(K25="","",IF(K25="Muy Baja",0.2,IF(K25="Baja",0.4,IF(K25="Media",0.6,IF(K25="Alta",0.8,IF(K25="Muy Alta",1,))))))</f>
        <v>0.8</v>
      </c>
      <c r="M25" s="349" t="s">
        <v>486</v>
      </c>
      <c r="N25" s="125" t="str">
        <f>IF(NOT(ISERROR(MATCH(M25,'Tabla Impacto'!$B$221:$B$223,0))),'Tabla Impacto'!$F$223&amp;"Por favor no seleccionar los criterios de impacto(Afectación Económica o presupuestal y Pérdida Reputacional)",M25)</f>
        <v xml:space="preserve"> El riesgo afecta la imagen de la entidad con algunos usuarios de relevancia frente al logro de los objetivos</v>
      </c>
      <c r="O25" s="343" t="str">
        <f>IF(OR(N25='Tabla Impacto'!$C$11,N25='Tabla Impacto'!$D$11),"Leve",IF(OR(N25='Tabla Impacto'!$C$12,N25='Tabla Impacto'!$D$12),"Menor",IF(OR(N25='Tabla Impacto'!$C$13,N25='Tabla Impacto'!$D$13),"Moderado",IF(OR(N25='Tabla Impacto'!$C$14,N25='Tabla Impacto'!$D$14),"Mayor",IF(OR(N25='Tabla Impacto'!$C$15,N25='Tabla Impacto'!$D$15),"Catastrófico","")))))</f>
        <v>Moderado</v>
      </c>
      <c r="P25" s="346">
        <f>IF(O25="","",IF(O25="Leve",0.2,IF(O25="Menor",0.4,IF(O25="Moderado",0.6,IF(O25="Mayor",0.8,IF(O25="Catastrófico",1,))))))</f>
        <v>0.6</v>
      </c>
      <c r="Q25" s="336" t="str">
        <f>IF(OR(AND(K25="Muy Baja",O25="Leve"),AND(K25="Muy Baja",O25="Menor"),AND(K25="Baja",O25="Leve")),"Bajo",IF(OR(AND(K25="Muy baja",O25="Moderado"),AND(K25="Baja",O25="Menor"),AND(K25="Baja",O25="Moderado"),AND(K25="Media",O25="Leve"),AND(K25="Media",O25="Menor"),AND(K25="Media",O25="Moderado"),AND(K25="Alta",O25="Leve"),AND(K25="Alta",O25="Menor")),"Moderado",IF(OR(AND(K25="Muy Baja",O25="Mayor"),AND(K25="Baja",O25="Mayor"),AND(K25="Media",O25="Mayor"),AND(K25="Alta",O25="Moderado"),AND(K25="Alta",O25="Mayor"),AND(K25="Muy Alta",O25="Leve"),AND(K25="Muy Alta",O25="Menor"),AND(K25="Muy Alta",O25="Moderado"),AND(K25="Muy Alta",O25="Mayor")),"Alto",IF(OR(AND(K25="Muy Baja",O25="Catastrófico"),AND(K25="Baja",O25="Catastrófico"),AND(K25="Media",O25="Catastrófico"),AND(K25="Alta",O25="Catastrófico"),AND(K25="Muy Alta",O25="Catastrófico")),"Extremo",""))))</f>
        <v>Alto</v>
      </c>
      <c r="R25" s="126">
        <v>1</v>
      </c>
      <c r="S25" s="95" t="s">
        <v>584</v>
      </c>
      <c r="T25" s="127" t="str">
        <f t="shared" si="45"/>
        <v>Probabilidad</v>
      </c>
      <c r="U25" s="128" t="s">
        <v>14</v>
      </c>
      <c r="V25" s="128" t="s">
        <v>9</v>
      </c>
      <c r="W25" s="129" t="str">
        <f t="shared" si="46"/>
        <v>40%</v>
      </c>
      <c r="X25" s="128" t="s">
        <v>19</v>
      </c>
      <c r="Y25" s="128" t="s">
        <v>22</v>
      </c>
      <c r="Z25" s="128" t="s">
        <v>110</v>
      </c>
      <c r="AA25" s="130">
        <f t="shared" ref="AA25:AA43" si="52">IFERROR(IF(T25="Probabilidad",(L25-(+L25*W25)),IF(T25="Impacto",L25,"")),"")</f>
        <v>0.48</v>
      </c>
      <c r="AB25" s="131" t="str">
        <f t="shared" si="47"/>
        <v>Media</v>
      </c>
      <c r="AC25" s="132">
        <f t="shared" si="48"/>
        <v>0.48</v>
      </c>
      <c r="AD25" s="131" t="str">
        <f t="shared" si="49"/>
        <v>Moderado</v>
      </c>
      <c r="AE25" s="132">
        <f t="shared" si="50"/>
        <v>0.6</v>
      </c>
      <c r="AF25" s="133" t="str">
        <f t="shared" si="51"/>
        <v>Moderado</v>
      </c>
      <c r="AG25" s="134" t="s">
        <v>122</v>
      </c>
      <c r="AH25" s="116" t="s">
        <v>223</v>
      </c>
      <c r="AI25" s="141" t="s">
        <v>212</v>
      </c>
      <c r="AJ25" s="124">
        <v>44562</v>
      </c>
      <c r="AK25" s="124" t="s">
        <v>373</v>
      </c>
      <c r="AL25" s="116" t="s">
        <v>585</v>
      </c>
      <c r="AM25" s="95" t="s">
        <v>651</v>
      </c>
      <c r="AN25" s="146" t="s">
        <v>652</v>
      </c>
      <c r="AO25" s="218">
        <v>1</v>
      </c>
      <c r="AP25" s="95" t="s">
        <v>858</v>
      </c>
      <c r="AQ25" s="95" t="s">
        <v>653</v>
      </c>
      <c r="AR25" s="218">
        <v>1</v>
      </c>
      <c r="AS25" s="95"/>
      <c r="AT25" s="232" t="s">
        <v>629</v>
      </c>
      <c r="AU25" s="137" t="s">
        <v>630</v>
      </c>
      <c r="AV25" s="137" t="s">
        <v>630</v>
      </c>
      <c r="AW25" s="137" t="s">
        <v>630</v>
      </c>
      <c r="AX25" s="95"/>
    </row>
    <row r="26" spans="1:50" s="147" customFormat="1" ht="151.5" hidden="1" customHeight="1" x14ac:dyDescent="0.25">
      <c r="A26" s="372"/>
      <c r="B26" s="374"/>
      <c r="C26" s="381"/>
      <c r="D26" s="377"/>
      <c r="E26" s="340"/>
      <c r="F26" s="340"/>
      <c r="G26" s="340"/>
      <c r="H26" s="335"/>
      <c r="I26" s="340"/>
      <c r="J26" s="342"/>
      <c r="K26" s="344"/>
      <c r="L26" s="347"/>
      <c r="M26" s="350"/>
      <c r="N26" s="136"/>
      <c r="O26" s="344"/>
      <c r="P26" s="347"/>
      <c r="Q26" s="337"/>
      <c r="R26" s="126">
        <v>2</v>
      </c>
      <c r="S26" s="95"/>
      <c r="T26" s="127" t="str">
        <f t="shared" si="45"/>
        <v/>
      </c>
      <c r="U26" s="128"/>
      <c r="V26" s="128"/>
      <c r="W26" s="129"/>
      <c r="X26" s="128"/>
      <c r="Y26" s="128"/>
      <c r="Z26" s="128"/>
      <c r="AA26" s="130" t="str">
        <f>IFERROR(IF(T26="Probabilidad",(AA25-(+AA25*W26)),IF(T26="Impacto",L26,"")),"")</f>
        <v/>
      </c>
      <c r="AB26" s="131" t="str">
        <f t="shared" si="47"/>
        <v/>
      </c>
      <c r="AC26" s="132" t="str">
        <f t="shared" si="48"/>
        <v/>
      </c>
      <c r="AD26" s="131" t="str">
        <f t="shared" si="49"/>
        <v/>
      </c>
      <c r="AE26" s="132" t="str">
        <f t="shared" si="50"/>
        <v/>
      </c>
      <c r="AF26" s="133" t="str">
        <f t="shared" si="51"/>
        <v/>
      </c>
      <c r="AG26" s="134"/>
      <c r="AH26" s="95"/>
      <c r="AI26" s="123"/>
      <c r="AJ26" s="135"/>
      <c r="AK26" s="135"/>
      <c r="AL26" s="95"/>
      <c r="AM26" s="95"/>
      <c r="AN26" s="95"/>
      <c r="AO26" s="137"/>
      <c r="AP26" s="95"/>
      <c r="AQ26" s="95"/>
      <c r="AR26" s="137"/>
      <c r="AS26" s="95"/>
      <c r="AT26" s="232" t="s">
        <v>629</v>
      </c>
      <c r="AU26" s="137" t="s">
        <v>630</v>
      </c>
      <c r="AV26" s="137" t="s">
        <v>630</v>
      </c>
      <c r="AW26" s="137" t="s">
        <v>630</v>
      </c>
      <c r="AX26" s="95"/>
    </row>
    <row r="27" spans="1:50" s="147" customFormat="1" ht="151.5" hidden="1" customHeight="1" x14ac:dyDescent="0.25">
      <c r="A27" s="372"/>
      <c r="B27" s="375"/>
      <c r="C27" s="381"/>
      <c r="D27" s="377"/>
      <c r="E27" s="340"/>
      <c r="F27" s="340"/>
      <c r="G27" s="340"/>
      <c r="H27" s="335"/>
      <c r="I27" s="340"/>
      <c r="J27" s="342"/>
      <c r="K27" s="345"/>
      <c r="L27" s="348"/>
      <c r="M27" s="350"/>
      <c r="N27" s="136"/>
      <c r="O27" s="345"/>
      <c r="P27" s="348"/>
      <c r="Q27" s="338"/>
      <c r="R27" s="126">
        <v>3</v>
      </c>
      <c r="S27" s="95"/>
      <c r="T27" s="127" t="str">
        <f t="shared" si="45"/>
        <v/>
      </c>
      <c r="U27" s="128"/>
      <c r="V27" s="128"/>
      <c r="W27" s="129"/>
      <c r="X27" s="128"/>
      <c r="Y27" s="128"/>
      <c r="Z27" s="128"/>
      <c r="AA27" s="130" t="str">
        <f>IFERROR(IF(T27="Probabilidad",(AA26-(+AA26*W27)),IF(T27="Impacto",L27,"")),"")</f>
        <v/>
      </c>
      <c r="AB27" s="131" t="str">
        <f t="shared" si="47"/>
        <v/>
      </c>
      <c r="AC27" s="132" t="str">
        <f t="shared" si="48"/>
        <v/>
      </c>
      <c r="AD27" s="131" t="str">
        <f t="shared" si="49"/>
        <v/>
      </c>
      <c r="AE27" s="132" t="str">
        <f t="shared" si="50"/>
        <v/>
      </c>
      <c r="AF27" s="133" t="str">
        <f t="shared" si="51"/>
        <v/>
      </c>
      <c r="AG27" s="134"/>
      <c r="AH27" s="95"/>
      <c r="AI27" s="123"/>
      <c r="AJ27" s="135"/>
      <c r="AK27" s="135"/>
      <c r="AL27" s="95"/>
      <c r="AM27" s="95"/>
      <c r="AN27" s="95"/>
      <c r="AO27" s="137"/>
      <c r="AP27" s="95"/>
      <c r="AQ27" s="95"/>
      <c r="AR27" s="137"/>
      <c r="AS27" s="95"/>
      <c r="AT27" s="232" t="s">
        <v>629</v>
      </c>
      <c r="AU27" s="137" t="s">
        <v>630</v>
      </c>
      <c r="AV27" s="137" t="s">
        <v>630</v>
      </c>
      <c r="AW27" s="137" t="s">
        <v>630</v>
      </c>
      <c r="AX27" s="95"/>
    </row>
    <row r="28" spans="1:50" s="147" customFormat="1" ht="286.5" customHeight="1" x14ac:dyDescent="0.25">
      <c r="A28" s="372">
        <v>8</v>
      </c>
      <c r="B28" s="373" t="s">
        <v>224</v>
      </c>
      <c r="C28" s="376" t="s">
        <v>219</v>
      </c>
      <c r="D28" s="376" t="s">
        <v>220</v>
      </c>
      <c r="E28" s="339" t="s">
        <v>118</v>
      </c>
      <c r="F28" s="339" t="s">
        <v>225</v>
      </c>
      <c r="G28" s="339" t="s">
        <v>439</v>
      </c>
      <c r="H28" s="334" t="s">
        <v>226</v>
      </c>
      <c r="I28" s="339" t="s">
        <v>328</v>
      </c>
      <c r="J28" s="341">
        <v>1460</v>
      </c>
      <c r="K28" s="343" t="str">
        <f>IF(J28&lt;=0,"",IF(J28&lt;=2,"Muy Baja",IF(J28&lt;=24,"Baja",IF(J28&lt;=500,"Media",IF(J28&lt;=5000,"Alta","Muy Alta")))))</f>
        <v>Alta</v>
      </c>
      <c r="L28" s="346">
        <f>IF(K28="","",IF(K28="Muy Baja",0.2,IF(K28="Baja",0.4,IF(K28="Media",0.6,IF(K28="Alta",0.8,IF(K28="Muy Alta",1,))))))</f>
        <v>0.8</v>
      </c>
      <c r="M28" s="349" t="s">
        <v>493</v>
      </c>
      <c r="N28" s="125" t="str">
        <f>IF(NOT(ISERROR(MATCH(M28,'Tabla Impacto'!$B$221:$B$223,0))),'Tabla Impacto'!$F$223&amp;"Por favor no seleccionar los criterios de impacto(Afectación Económica o presupuestal y Pérdida Reputacional)",M28)</f>
        <v xml:space="preserve"> El riesgo afecta la imagen de la entidad con efecto publicitario sostenido a nivel de sector administrativo, nivel departamental o municipal</v>
      </c>
      <c r="O28" s="343" t="str">
        <f>IF(OR(N28='Tabla Impacto'!$C$11,N28='Tabla Impacto'!$D$11),"Leve",IF(OR(N28='Tabla Impacto'!$C$12,N28='Tabla Impacto'!$D$12),"Menor",IF(OR(N28='Tabla Impacto'!$C$13,N28='Tabla Impacto'!$D$13),"Moderado",IF(OR(N28='Tabla Impacto'!$C$14,N28='Tabla Impacto'!$D$14),"Mayor",IF(OR(N28='Tabla Impacto'!$C$15,N28='Tabla Impacto'!$D$15),"Catastrófico","")))))</f>
        <v>Mayor</v>
      </c>
      <c r="P28" s="346">
        <f>IF(O28="","",IF(O28="Leve",0.2,IF(O28="Menor",0.4,IF(O28="Moderado",0.6,IF(O28="Mayor",0.8,IF(O28="Catastrófico",1,))))))</f>
        <v>0.8</v>
      </c>
      <c r="Q28" s="336" t="str">
        <f>IF(OR(AND(K28="Muy Baja",O28="Leve"),AND(K28="Muy Baja",O28="Menor"),AND(K28="Baja",O28="Leve")),"Bajo",IF(OR(AND(K28="Muy baja",O28="Moderado"),AND(K28="Baja",O28="Menor"),AND(K28="Baja",O28="Moderado"),AND(K28="Media",O28="Leve"),AND(K28="Media",O28="Menor"),AND(K28="Media",O28="Moderado"),AND(K28="Alta",O28="Leve"),AND(K28="Alta",O28="Menor")),"Moderado",IF(OR(AND(K28="Muy Baja",O28="Mayor"),AND(K28="Baja",O28="Mayor"),AND(K28="Media",O28="Mayor"),AND(K28="Alta",O28="Moderado"),AND(K28="Alta",O28="Mayor"),AND(K28="Muy Alta",O28="Leve"),AND(K28="Muy Alta",O28="Menor"),AND(K28="Muy Alta",O28="Moderado"),AND(K28="Muy Alta",O28="Mayor")),"Alto",IF(OR(AND(K28="Muy Baja",O28="Catastrófico"),AND(K28="Baja",O28="Catastrófico"),AND(K28="Media",O28="Catastrófico"),AND(K28="Alta",O28="Catastrófico"),AND(K28="Muy Alta",O28="Catastrófico")),"Extremo",""))))</f>
        <v>Alto</v>
      </c>
      <c r="R28" s="549">
        <v>1</v>
      </c>
      <c r="S28" s="550" t="s">
        <v>227</v>
      </c>
      <c r="T28" s="551" t="str">
        <f t="shared" si="45"/>
        <v>Probabilidad</v>
      </c>
      <c r="U28" s="552" t="s">
        <v>14</v>
      </c>
      <c r="V28" s="552" t="s">
        <v>9</v>
      </c>
      <c r="W28" s="553" t="str">
        <f t="shared" si="46"/>
        <v>40%</v>
      </c>
      <c r="X28" s="552" t="s">
        <v>19</v>
      </c>
      <c r="Y28" s="552" t="s">
        <v>22</v>
      </c>
      <c r="Z28" s="552" t="s">
        <v>110</v>
      </c>
      <c r="AA28" s="140">
        <f t="shared" si="52"/>
        <v>0.48</v>
      </c>
      <c r="AB28" s="554" t="str">
        <f t="shared" si="47"/>
        <v>Media</v>
      </c>
      <c r="AC28" s="555">
        <f t="shared" si="48"/>
        <v>0.48</v>
      </c>
      <c r="AD28" s="554" t="str">
        <f t="shared" si="49"/>
        <v>Mayor</v>
      </c>
      <c r="AE28" s="555">
        <f t="shared" si="50"/>
        <v>0.8</v>
      </c>
      <c r="AF28" s="556" t="str">
        <f t="shared" si="51"/>
        <v>Alto</v>
      </c>
      <c r="AG28" s="557" t="s">
        <v>122</v>
      </c>
      <c r="AH28" s="550" t="s">
        <v>229</v>
      </c>
      <c r="AI28" s="558" t="s">
        <v>212</v>
      </c>
      <c r="AJ28" s="559">
        <v>44562</v>
      </c>
      <c r="AK28" s="559" t="s">
        <v>373</v>
      </c>
      <c r="AL28" s="550" t="s">
        <v>230</v>
      </c>
      <c r="AM28" s="540" t="s">
        <v>654</v>
      </c>
      <c r="AN28" s="560" t="s">
        <v>655</v>
      </c>
      <c r="AO28" s="542">
        <v>1</v>
      </c>
      <c r="AP28" s="540" t="s">
        <v>656</v>
      </c>
      <c r="AQ28" s="540" t="s">
        <v>657</v>
      </c>
      <c r="AR28" s="542">
        <v>1</v>
      </c>
      <c r="AS28" s="540"/>
      <c r="AT28" s="544" t="s">
        <v>629</v>
      </c>
      <c r="AU28" s="538" t="s">
        <v>630</v>
      </c>
      <c r="AV28" s="538" t="s">
        <v>630</v>
      </c>
      <c r="AW28" s="538" t="s">
        <v>630</v>
      </c>
      <c r="AX28" s="540" t="s">
        <v>865</v>
      </c>
    </row>
    <row r="29" spans="1:50" s="147" customFormat="1" ht="151.5" customHeight="1" x14ac:dyDescent="0.25">
      <c r="A29" s="372"/>
      <c r="B29" s="374"/>
      <c r="C29" s="381"/>
      <c r="D29" s="377"/>
      <c r="E29" s="340"/>
      <c r="F29" s="340"/>
      <c r="G29" s="340"/>
      <c r="H29" s="335"/>
      <c r="I29" s="340"/>
      <c r="J29" s="342"/>
      <c r="K29" s="344"/>
      <c r="L29" s="347"/>
      <c r="M29" s="350"/>
      <c r="N29" s="136"/>
      <c r="O29" s="344"/>
      <c r="P29" s="347"/>
      <c r="Q29" s="337"/>
      <c r="R29" s="126">
        <v>2</v>
      </c>
      <c r="S29" s="116" t="s">
        <v>228</v>
      </c>
      <c r="T29" s="127" t="str">
        <f t="shared" si="45"/>
        <v>Probabilidad</v>
      </c>
      <c r="U29" s="128" t="s">
        <v>14</v>
      </c>
      <c r="V29" s="128" t="s">
        <v>9</v>
      </c>
      <c r="W29" s="129" t="str">
        <f t="shared" si="46"/>
        <v>40%</v>
      </c>
      <c r="X29" s="128" t="s">
        <v>19</v>
      </c>
      <c r="Y29" s="128" t="s">
        <v>22</v>
      </c>
      <c r="Z29" s="128" t="s">
        <v>110</v>
      </c>
      <c r="AA29" s="130">
        <f>IFERROR(IF(T29="Probabilidad",(AA28-(+AA28*W29)),IF(T29="Impacto",L29,"")),"")</f>
        <v>0.28799999999999998</v>
      </c>
      <c r="AB29" s="131" t="str">
        <f t="shared" si="47"/>
        <v>Baja</v>
      </c>
      <c r="AC29" s="132">
        <f t="shared" si="48"/>
        <v>0.28799999999999998</v>
      </c>
      <c r="AD29" s="131" t="str">
        <f t="shared" si="49"/>
        <v>Mayor</v>
      </c>
      <c r="AE29" s="132">
        <v>0.8</v>
      </c>
      <c r="AF29" s="133" t="str">
        <f t="shared" si="51"/>
        <v>Alto</v>
      </c>
      <c r="AG29" s="134" t="s">
        <v>122</v>
      </c>
      <c r="AH29" s="116" t="s">
        <v>231</v>
      </c>
      <c r="AI29" s="141" t="s">
        <v>212</v>
      </c>
      <c r="AJ29" s="124">
        <v>44562</v>
      </c>
      <c r="AK29" s="124" t="s">
        <v>373</v>
      </c>
      <c r="AL29" s="116" t="s">
        <v>230</v>
      </c>
      <c r="AM29" s="95" t="s">
        <v>658</v>
      </c>
      <c r="AN29" s="95" t="s">
        <v>659</v>
      </c>
      <c r="AO29" s="218">
        <v>1</v>
      </c>
      <c r="AP29" s="95" t="s">
        <v>656</v>
      </c>
      <c r="AQ29" s="95" t="s">
        <v>660</v>
      </c>
      <c r="AR29" s="218">
        <v>1</v>
      </c>
      <c r="AS29" s="95"/>
      <c r="AT29" s="232" t="s">
        <v>629</v>
      </c>
      <c r="AU29" s="137" t="s">
        <v>630</v>
      </c>
      <c r="AV29" s="137" t="s">
        <v>630</v>
      </c>
      <c r="AW29" s="137" t="s">
        <v>630</v>
      </c>
      <c r="AX29" s="95"/>
    </row>
    <row r="30" spans="1:50" s="147" customFormat="1" ht="151.5" hidden="1" customHeight="1" x14ac:dyDescent="0.25">
      <c r="A30" s="372"/>
      <c r="B30" s="375"/>
      <c r="C30" s="381"/>
      <c r="D30" s="377"/>
      <c r="E30" s="340"/>
      <c r="F30" s="340"/>
      <c r="G30" s="340"/>
      <c r="H30" s="335"/>
      <c r="I30" s="340"/>
      <c r="J30" s="342"/>
      <c r="K30" s="345"/>
      <c r="L30" s="348"/>
      <c r="M30" s="350"/>
      <c r="N30" s="136"/>
      <c r="O30" s="345"/>
      <c r="P30" s="348"/>
      <c r="Q30" s="338"/>
      <c r="R30" s="126">
        <v>3</v>
      </c>
      <c r="S30" s="95"/>
      <c r="T30" s="127" t="str">
        <f t="shared" si="45"/>
        <v/>
      </c>
      <c r="U30" s="128"/>
      <c r="V30" s="128"/>
      <c r="W30" s="129"/>
      <c r="X30" s="128"/>
      <c r="Y30" s="128"/>
      <c r="Z30" s="128"/>
      <c r="AA30" s="130" t="str">
        <f>IFERROR(IF(T30="Probabilidad",(AA29-(+AA29*W30)),IF(T30="Impacto",L30,"")),"")</f>
        <v/>
      </c>
      <c r="AB30" s="131" t="str">
        <f t="shared" si="47"/>
        <v/>
      </c>
      <c r="AC30" s="132" t="str">
        <f t="shared" si="48"/>
        <v/>
      </c>
      <c r="AD30" s="131" t="str">
        <f t="shared" si="49"/>
        <v/>
      </c>
      <c r="AE30" s="132" t="str">
        <f t="shared" si="50"/>
        <v/>
      </c>
      <c r="AF30" s="133" t="str">
        <f t="shared" si="51"/>
        <v/>
      </c>
      <c r="AG30" s="134"/>
      <c r="AH30" s="95"/>
      <c r="AI30" s="123"/>
      <c r="AJ30" s="135"/>
      <c r="AK30" s="135"/>
      <c r="AL30" s="95"/>
      <c r="AM30" s="95"/>
      <c r="AN30" s="95"/>
      <c r="AO30" s="137"/>
      <c r="AP30" s="95"/>
      <c r="AQ30" s="95" t="e">
        <v>#NAME?</v>
      </c>
      <c r="AR30" s="137"/>
      <c r="AS30" s="95"/>
      <c r="AT30" s="232" t="s">
        <v>629</v>
      </c>
      <c r="AU30" s="137" t="s">
        <v>630</v>
      </c>
      <c r="AV30" s="137" t="s">
        <v>630</v>
      </c>
      <c r="AW30" s="137" t="s">
        <v>630</v>
      </c>
      <c r="AX30" s="95"/>
    </row>
    <row r="31" spans="1:50" s="147" customFormat="1" ht="304.5" customHeight="1" x14ac:dyDescent="0.25">
      <c r="A31" s="372">
        <v>9</v>
      </c>
      <c r="B31" s="373" t="s">
        <v>224</v>
      </c>
      <c r="C31" s="376" t="s">
        <v>219</v>
      </c>
      <c r="D31" s="376" t="s">
        <v>220</v>
      </c>
      <c r="E31" s="339" t="s">
        <v>120</v>
      </c>
      <c r="F31" s="339" t="s">
        <v>511</v>
      </c>
      <c r="G31" s="339" t="s">
        <v>232</v>
      </c>
      <c r="H31" s="334" t="s">
        <v>233</v>
      </c>
      <c r="I31" s="339" t="s">
        <v>328</v>
      </c>
      <c r="J31" s="341">
        <v>1460</v>
      </c>
      <c r="K31" s="343" t="str">
        <f>IF(J31&lt;=0,"",IF(J31&lt;=2,"Muy Baja",IF(J31&lt;=24,"Baja",IF(J31&lt;=500,"Media",IF(J31&lt;=5000,"Alta","Muy Alta")))))</f>
        <v>Alta</v>
      </c>
      <c r="L31" s="346">
        <f>IF(K31="","",IF(K31="Muy Baja",0.2,IF(K31="Baja",0.4,IF(K31="Media",0.6,IF(K31="Alta",0.8,IF(K31="Muy Alta",1,))))))</f>
        <v>0.8</v>
      </c>
      <c r="M31" s="349" t="s">
        <v>486</v>
      </c>
      <c r="N31" s="125" t="str">
        <f>IF(NOT(ISERROR(MATCH(M31,'Tabla Impacto'!$B$221:$B$223,0))),'Tabla Impacto'!$F$223&amp;"Por favor no seleccionar los criterios de impacto(Afectación Económica o presupuestal y Pérdida Reputacional)",M31)</f>
        <v xml:space="preserve"> El riesgo afecta la imagen de la entidad con algunos usuarios de relevancia frente al logro de los objetivos</v>
      </c>
      <c r="O31" s="343" t="str">
        <f>IF(OR(N31='Tabla Impacto'!$C$11,N31='Tabla Impacto'!$D$11),"Leve",IF(OR(N31='Tabla Impacto'!$C$12,N31='Tabla Impacto'!$D$12),"Menor",IF(OR(N31='Tabla Impacto'!$C$13,N31='Tabla Impacto'!$D$13),"Moderado",IF(OR(N31='Tabla Impacto'!$C$14,N31='Tabla Impacto'!$D$14),"Mayor",IF(OR(N31='Tabla Impacto'!$C$15,N31='Tabla Impacto'!$D$15),"Catastrófico","")))))</f>
        <v>Moderado</v>
      </c>
      <c r="P31" s="346">
        <f>IF(O31="","",IF(O31="Leve",0.2,IF(O31="Menor",0.4,IF(O31="Moderado",0.6,IF(O31="Mayor",0.8,IF(O31="Catastrófico",1,))))))</f>
        <v>0.6</v>
      </c>
      <c r="Q31" s="336" t="str">
        <f>IF(OR(AND(K31="Muy Baja",O31="Leve"),AND(K31="Muy Baja",O31="Menor"),AND(K31="Baja",O31="Leve")),"Bajo",IF(OR(AND(K31="Muy baja",O31="Moderado"),AND(K31="Baja",O31="Menor"),AND(K31="Baja",O31="Moderado"),AND(K31="Media",O31="Leve"),AND(K31="Media",O31="Menor"),AND(K31="Media",O31="Moderado"),AND(K31="Alta",O31="Leve"),AND(K31="Alta",O31="Menor")),"Moderado",IF(OR(AND(K31="Muy Baja",O31="Mayor"),AND(K31="Baja",O31="Mayor"),AND(K31="Media",O31="Mayor"),AND(K31="Alta",O31="Moderado"),AND(K31="Alta",O31="Mayor"),AND(K31="Muy Alta",O31="Leve"),AND(K31="Muy Alta",O31="Menor"),AND(K31="Muy Alta",O31="Moderado"),AND(K31="Muy Alta",O31="Mayor")),"Alto",IF(OR(AND(K31="Muy Baja",O31="Catastrófico"),AND(K31="Baja",O31="Catastrófico"),AND(K31="Media",O31="Catastrófico"),AND(K31="Alta",O31="Catastrófico"),AND(K31="Muy Alta",O31="Catastrófico")),"Extremo",""))))</f>
        <v>Alto</v>
      </c>
      <c r="R31" s="126">
        <v>1</v>
      </c>
      <c r="S31" s="95" t="s">
        <v>227</v>
      </c>
      <c r="T31" s="127" t="str">
        <f t="shared" si="45"/>
        <v>Probabilidad</v>
      </c>
      <c r="U31" s="128" t="s">
        <v>14</v>
      </c>
      <c r="V31" s="128" t="s">
        <v>9</v>
      </c>
      <c r="W31" s="129" t="str">
        <f t="shared" si="46"/>
        <v>40%</v>
      </c>
      <c r="X31" s="128" t="s">
        <v>19</v>
      </c>
      <c r="Y31" s="128" t="s">
        <v>23</v>
      </c>
      <c r="Z31" s="128" t="s">
        <v>110</v>
      </c>
      <c r="AA31" s="130">
        <f t="shared" si="52"/>
        <v>0.48</v>
      </c>
      <c r="AB31" s="131" t="str">
        <f t="shared" si="47"/>
        <v>Media</v>
      </c>
      <c r="AC31" s="132">
        <f t="shared" si="48"/>
        <v>0.48</v>
      </c>
      <c r="AD31" s="131" t="str">
        <f t="shared" si="49"/>
        <v>Moderado</v>
      </c>
      <c r="AE31" s="132">
        <f t="shared" si="50"/>
        <v>0.6</v>
      </c>
      <c r="AF31" s="133" t="str">
        <f t="shared" si="51"/>
        <v>Moderado</v>
      </c>
      <c r="AG31" s="134" t="s">
        <v>122</v>
      </c>
      <c r="AH31" s="116" t="s">
        <v>236</v>
      </c>
      <c r="AI31" s="141" t="s">
        <v>212</v>
      </c>
      <c r="AJ31" s="124">
        <v>44562</v>
      </c>
      <c r="AK31" s="124" t="s">
        <v>373</v>
      </c>
      <c r="AL31" s="116" t="s">
        <v>235</v>
      </c>
      <c r="AM31" s="95" t="s">
        <v>661</v>
      </c>
      <c r="AN31" s="146" t="s">
        <v>655</v>
      </c>
      <c r="AO31" s="218">
        <v>1</v>
      </c>
      <c r="AP31" s="95" t="s">
        <v>662</v>
      </c>
      <c r="AQ31" s="95" t="s">
        <v>663</v>
      </c>
      <c r="AR31" s="218">
        <v>1</v>
      </c>
      <c r="AS31" s="95"/>
      <c r="AT31" s="232" t="s">
        <v>629</v>
      </c>
      <c r="AU31" s="137" t="s">
        <v>630</v>
      </c>
      <c r="AV31" s="137" t="s">
        <v>630</v>
      </c>
      <c r="AW31" s="137" t="s">
        <v>630</v>
      </c>
      <c r="AX31" s="95"/>
    </row>
    <row r="32" spans="1:50" s="147" customFormat="1" ht="151.5" customHeight="1" x14ac:dyDescent="0.25">
      <c r="A32" s="372"/>
      <c r="B32" s="374"/>
      <c r="C32" s="381"/>
      <c r="D32" s="377"/>
      <c r="E32" s="340"/>
      <c r="F32" s="340"/>
      <c r="G32" s="340"/>
      <c r="H32" s="335"/>
      <c r="I32" s="340"/>
      <c r="J32" s="342"/>
      <c r="K32" s="344"/>
      <c r="L32" s="347"/>
      <c r="M32" s="350"/>
      <c r="N32" s="136"/>
      <c r="O32" s="344"/>
      <c r="P32" s="347"/>
      <c r="Q32" s="337"/>
      <c r="R32" s="126">
        <v>2</v>
      </c>
      <c r="S32" s="95" t="s">
        <v>228</v>
      </c>
      <c r="T32" s="127" t="str">
        <f t="shared" si="45"/>
        <v>Probabilidad</v>
      </c>
      <c r="U32" s="128" t="s">
        <v>14</v>
      </c>
      <c r="V32" s="128" t="s">
        <v>9</v>
      </c>
      <c r="W32" s="129" t="str">
        <f t="shared" si="46"/>
        <v>40%</v>
      </c>
      <c r="X32" s="128" t="s">
        <v>19</v>
      </c>
      <c r="Y32" s="128" t="s">
        <v>23</v>
      </c>
      <c r="Z32" s="128" t="s">
        <v>111</v>
      </c>
      <c r="AA32" s="130">
        <f>IFERROR(IF(T32="Probabilidad",(AA31-(+AA31*W32)),IF(T32="Impacto",L32,"")),"")</f>
        <v>0.28799999999999998</v>
      </c>
      <c r="AB32" s="131" t="str">
        <f t="shared" si="47"/>
        <v>Baja</v>
      </c>
      <c r="AC32" s="132">
        <f t="shared" si="48"/>
        <v>0.28799999999999998</v>
      </c>
      <c r="AD32" s="131" t="str">
        <f t="shared" si="49"/>
        <v>Moderado</v>
      </c>
      <c r="AE32" s="132">
        <v>0.6</v>
      </c>
      <c r="AF32" s="133" t="str">
        <f t="shared" si="51"/>
        <v>Moderado</v>
      </c>
      <c r="AG32" s="134" t="s">
        <v>122</v>
      </c>
      <c r="AH32" s="116" t="s">
        <v>236</v>
      </c>
      <c r="AI32" s="141" t="s">
        <v>212</v>
      </c>
      <c r="AJ32" s="124">
        <v>44562</v>
      </c>
      <c r="AK32" s="124" t="s">
        <v>373</v>
      </c>
      <c r="AL32" s="116" t="s">
        <v>235</v>
      </c>
      <c r="AM32" s="95" t="s">
        <v>658</v>
      </c>
      <c r="AN32" s="146" t="s">
        <v>664</v>
      </c>
      <c r="AO32" s="218">
        <v>1</v>
      </c>
      <c r="AP32" s="95" t="s">
        <v>662</v>
      </c>
      <c r="AQ32" s="95" t="s">
        <v>663</v>
      </c>
      <c r="AR32" s="218">
        <v>1</v>
      </c>
      <c r="AS32" s="95"/>
      <c r="AT32" s="232" t="s">
        <v>629</v>
      </c>
      <c r="AU32" s="137" t="s">
        <v>630</v>
      </c>
      <c r="AV32" s="137" t="s">
        <v>630</v>
      </c>
      <c r="AW32" s="137" t="s">
        <v>630</v>
      </c>
      <c r="AX32" s="95"/>
    </row>
    <row r="33" spans="1:51" s="147" customFormat="1" ht="151.5" customHeight="1" x14ac:dyDescent="0.25">
      <c r="A33" s="372"/>
      <c r="B33" s="375"/>
      <c r="C33" s="381"/>
      <c r="D33" s="377"/>
      <c r="E33" s="340"/>
      <c r="F33" s="340"/>
      <c r="G33" s="340"/>
      <c r="H33" s="335"/>
      <c r="I33" s="340"/>
      <c r="J33" s="342"/>
      <c r="K33" s="345"/>
      <c r="L33" s="348"/>
      <c r="M33" s="350"/>
      <c r="N33" s="136"/>
      <c r="O33" s="345"/>
      <c r="P33" s="348"/>
      <c r="Q33" s="338"/>
      <c r="R33" s="126">
        <v>3</v>
      </c>
      <c r="S33" s="95" t="s">
        <v>234</v>
      </c>
      <c r="T33" s="127" t="str">
        <f t="shared" si="45"/>
        <v>Probabilidad</v>
      </c>
      <c r="U33" s="128" t="s">
        <v>15</v>
      </c>
      <c r="V33" s="128" t="s">
        <v>9</v>
      </c>
      <c r="W33" s="129" t="str">
        <f t="shared" si="46"/>
        <v>30%</v>
      </c>
      <c r="X33" s="128" t="s">
        <v>19</v>
      </c>
      <c r="Y33" s="128" t="s">
        <v>22</v>
      </c>
      <c r="Z33" s="128" t="s">
        <v>110</v>
      </c>
      <c r="AA33" s="130">
        <f>IFERROR(IF(T33="Probabilidad",(AA32-(+AA32*W33)),IF(T33="Impacto",L33,"")),"")</f>
        <v>0.2016</v>
      </c>
      <c r="AB33" s="131" t="str">
        <f t="shared" si="47"/>
        <v>Baja</v>
      </c>
      <c r="AC33" s="132">
        <f t="shared" si="48"/>
        <v>0.2016</v>
      </c>
      <c r="AD33" s="131" t="str">
        <f t="shared" si="49"/>
        <v>Moderado</v>
      </c>
      <c r="AE33" s="132">
        <v>0.6</v>
      </c>
      <c r="AF33" s="133" t="str">
        <f t="shared" si="51"/>
        <v>Moderado</v>
      </c>
      <c r="AG33" s="134" t="s">
        <v>122</v>
      </c>
      <c r="AH33" s="116" t="s">
        <v>236</v>
      </c>
      <c r="AI33" s="141" t="s">
        <v>212</v>
      </c>
      <c r="AJ33" s="124">
        <v>44562</v>
      </c>
      <c r="AK33" s="124" t="s">
        <v>373</v>
      </c>
      <c r="AL33" s="116" t="s">
        <v>235</v>
      </c>
      <c r="AM33" s="95" t="s">
        <v>665</v>
      </c>
      <c r="AN33" s="146" t="s">
        <v>666</v>
      </c>
      <c r="AO33" s="218">
        <v>1</v>
      </c>
      <c r="AP33" s="95" t="s">
        <v>662</v>
      </c>
      <c r="AQ33" s="95" t="s">
        <v>663</v>
      </c>
      <c r="AR33" s="218">
        <v>1</v>
      </c>
      <c r="AS33" s="95"/>
      <c r="AT33" s="232" t="s">
        <v>629</v>
      </c>
      <c r="AU33" s="137" t="s">
        <v>630</v>
      </c>
      <c r="AV33" s="137" t="s">
        <v>630</v>
      </c>
      <c r="AW33" s="137" t="s">
        <v>630</v>
      </c>
      <c r="AX33" s="95"/>
    </row>
    <row r="34" spans="1:51" s="147" customFormat="1" ht="285" customHeight="1" x14ac:dyDescent="0.25">
      <c r="A34" s="372">
        <v>10</v>
      </c>
      <c r="B34" s="373" t="s">
        <v>237</v>
      </c>
      <c r="C34" s="376" t="s">
        <v>355</v>
      </c>
      <c r="D34" s="376" t="s">
        <v>383</v>
      </c>
      <c r="E34" s="339" t="s">
        <v>118</v>
      </c>
      <c r="F34" s="387" t="s">
        <v>364</v>
      </c>
      <c r="G34" s="387" t="s">
        <v>365</v>
      </c>
      <c r="H34" s="334" t="s">
        <v>544</v>
      </c>
      <c r="I34" s="339" t="s">
        <v>115</v>
      </c>
      <c r="J34" s="341">
        <v>20</v>
      </c>
      <c r="K34" s="343" t="str">
        <f>IF(J34&lt;=0,"",IF(J34&lt;=2,"Muy Baja",IF(J34&lt;=24,"Baja",IF(J34&lt;=500,"Media",IF(J34&lt;=5000,"Alta","Muy Alta")))))</f>
        <v>Baja</v>
      </c>
      <c r="L34" s="346">
        <f>IF(K34="","",IF(K34="Muy Baja",0.2,IF(K34="Baja",0.4,IF(K34="Media",0.6,IF(K34="Alta",0.8,IF(K34="Muy Alta",1,))))))</f>
        <v>0.4</v>
      </c>
      <c r="M34" s="349" t="s">
        <v>493</v>
      </c>
      <c r="N34" s="125" t="str">
        <f>IF(NOT(ISERROR(MATCH(M34,'Tabla Impacto'!$B$221:$B$223,0))),'Tabla Impacto'!$F$223&amp;"Por favor no seleccionar los criterios de impacto(Afectación Económica o presupuestal y Pérdida Reputacional)",M34)</f>
        <v xml:space="preserve"> El riesgo afecta la imagen de la entidad con efecto publicitario sostenido a nivel de sector administrativo, nivel departamental o municipal</v>
      </c>
      <c r="O34" s="343" t="str">
        <f>IF(OR(N34='Tabla Impacto'!$C$11,N34='Tabla Impacto'!$D$11),"Leve",IF(OR(N34='Tabla Impacto'!$C$12,N34='Tabla Impacto'!$D$12),"Menor",IF(OR(N34='Tabla Impacto'!$C$13,N34='Tabla Impacto'!$D$13),"Moderado",IF(OR(N34='Tabla Impacto'!$C$14,N34='Tabla Impacto'!$D$14),"Mayor",IF(OR(N34='Tabla Impacto'!$C$15,N34='Tabla Impacto'!$D$15),"Catastrófico","")))))</f>
        <v>Mayor</v>
      </c>
      <c r="P34" s="346">
        <f>IF(O34="","",IF(O34="Leve",0.2,IF(O34="Menor",0.4,IF(O34="Moderado",0.6,IF(O34="Mayor",0.8,IF(O34="Catastrófico",1,))))))</f>
        <v>0.8</v>
      </c>
      <c r="Q34" s="336" t="str">
        <f>IF(OR(AND(K34="Muy Baja",O34="Leve"),AND(K34="Muy Baja",O34="Menor"),AND(K34="Baja",O34="Leve")),"Bajo",IF(OR(AND(K34="Muy baja",O34="Moderado"),AND(K34="Baja",O34="Menor"),AND(K34="Baja",O34="Moderado"),AND(K34="Media",O34="Leve"),AND(K34="Media",O34="Menor"),AND(K34="Media",O34="Moderado"),AND(K34="Alta",O34="Leve"),AND(K34="Alta",O34="Menor")),"Moderado",IF(OR(AND(K34="Muy Baja",O34="Mayor"),AND(K34="Baja",O34="Mayor"),AND(K34="Media",O34="Mayor"),AND(K34="Alta",O34="Moderado"),AND(K34="Alta",O34="Mayor"),AND(K34="Muy Alta",O34="Leve"),AND(K34="Muy Alta",O34="Menor"),AND(K34="Muy Alta",O34="Moderado"),AND(K34="Muy Alta",O34="Mayor")),"Alto",IF(OR(AND(K34="Muy Baja",O34="Catastrófico"),AND(K34="Baja",O34="Catastrófico"),AND(K34="Media",O34="Catastrófico"),AND(K34="Alta",O34="Catastrófico"),AND(K34="Muy Alta",O34="Catastrófico")),"Extremo",""))))</f>
        <v>Alto</v>
      </c>
      <c r="R34" s="126">
        <v>1</v>
      </c>
      <c r="S34" s="95" t="s">
        <v>581</v>
      </c>
      <c r="T34" s="127" t="str">
        <f t="shared" si="45"/>
        <v>Probabilidad</v>
      </c>
      <c r="U34" s="128" t="s">
        <v>14</v>
      </c>
      <c r="V34" s="128" t="s">
        <v>9</v>
      </c>
      <c r="W34" s="129" t="str">
        <f t="shared" si="46"/>
        <v>40%</v>
      </c>
      <c r="X34" s="128" t="s">
        <v>19</v>
      </c>
      <c r="Y34" s="128" t="s">
        <v>22</v>
      </c>
      <c r="Z34" s="128" t="s">
        <v>110</v>
      </c>
      <c r="AA34" s="130">
        <f t="shared" si="52"/>
        <v>0.24</v>
      </c>
      <c r="AB34" s="131" t="str">
        <f t="shared" si="47"/>
        <v>Baja</v>
      </c>
      <c r="AC34" s="132">
        <f t="shared" si="48"/>
        <v>0.24</v>
      </c>
      <c r="AD34" s="131" t="str">
        <f t="shared" si="49"/>
        <v>Mayor</v>
      </c>
      <c r="AE34" s="132">
        <f t="shared" si="50"/>
        <v>0.8</v>
      </c>
      <c r="AF34" s="133" t="str">
        <f t="shared" si="51"/>
        <v>Alto</v>
      </c>
      <c r="AG34" s="134" t="s">
        <v>122</v>
      </c>
      <c r="AH34" s="116" t="s">
        <v>582</v>
      </c>
      <c r="AI34" s="117" t="s">
        <v>198</v>
      </c>
      <c r="AJ34" s="124" t="s">
        <v>286</v>
      </c>
      <c r="AK34" s="124" t="s">
        <v>287</v>
      </c>
      <c r="AL34" s="95" t="s">
        <v>366</v>
      </c>
      <c r="AM34" s="224" t="s">
        <v>859</v>
      </c>
      <c r="AN34" s="225" t="s">
        <v>860</v>
      </c>
      <c r="AO34" s="218">
        <v>1</v>
      </c>
      <c r="AP34" s="224" t="s">
        <v>667</v>
      </c>
      <c r="AQ34" s="221" t="s">
        <v>668</v>
      </c>
      <c r="AR34" s="218">
        <v>0.9</v>
      </c>
      <c r="AS34" s="95"/>
      <c r="AT34" s="232" t="s">
        <v>629</v>
      </c>
      <c r="AU34" s="137" t="s">
        <v>630</v>
      </c>
      <c r="AV34" s="137" t="s">
        <v>630</v>
      </c>
      <c r="AW34" s="137" t="s">
        <v>630</v>
      </c>
      <c r="AX34" s="95" t="s">
        <v>866</v>
      </c>
    </row>
    <row r="35" spans="1:51" s="147" customFormat="1" ht="151.5" hidden="1" customHeight="1" x14ac:dyDescent="0.25">
      <c r="A35" s="372"/>
      <c r="B35" s="374"/>
      <c r="C35" s="377"/>
      <c r="D35" s="377"/>
      <c r="E35" s="340"/>
      <c r="F35" s="340"/>
      <c r="G35" s="340"/>
      <c r="H35" s="335"/>
      <c r="I35" s="340"/>
      <c r="J35" s="342"/>
      <c r="K35" s="344"/>
      <c r="L35" s="347"/>
      <c r="M35" s="350"/>
      <c r="N35" s="136"/>
      <c r="O35" s="344"/>
      <c r="P35" s="347"/>
      <c r="Q35" s="337"/>
      <c r="R35" s="126">
        <v>2</v>
      </c>
      <c r="S35" s="95"/>
      <c r="T35" s="127" t="str">
        <f t="shared" si="45"/>
        <v/>
      </c>
      <c r="U35" s="128"/>
      <c r="V35" s="128"/>
      <c r="W35" s="129"/>
      <c r="X35" s="128"/>
      <c r="Y35" s="128"/>
      <c r="Z35" s="128"/>
      <c r="AA35" s="130" t="str">
        <f>IFERROR(IF(T35="Probabilidad",(AA34-(+AA34*W35)),IF(T35="Impacto",L35,"")),"")</f>
        <v/>
      </c>
      <c r="AB35" s="131" t="str">
        <f t="shared" si="47"/>
        <v/>
      </c>
      <c r="AC35" s="132" t="str">
        <f t="shared" si="48"/>
        <v/>
      </c>
      <c r="AD35" s="131" t="str">
        <f t="shared" si="49"/>
        <v/>
      </c>
      <c r="AE35" s="132" t="str">
        <f t="shared" si="50"/>
        <v/>
      </c>
      <c r="AF35" s="133" t="str">
        <f t="shared" si="51"/>
        <v/>
      </c>
      <c r="AG35" s="134"/>
      <c r="AH35" s="95"/>
      <c r="AI35" s="123"/>
      <c r="AJ35" s="135"/>
      <c r="AK35" s="135"/>
      <c r="AL35" s="95"/>
      <c r="AM35" s="95"/>
      <c r="AN35" s="95"/>
      <c r="AO35" s="137"/>
      <c r="AP35" s="95"/>
      <c r="AQ35" s="95"/>
      <c r="AR35" s="137"/>
      <c r="AS35" s="95"/>
      <c r="AT35" s="232" t="s">
        <v>629</v>
      </c>
      <c r="AU35" s="137" t="s">
        <v>630</v>
      </c>
      <c r="AV35" s="137" t="s">
        <v>630</v>
      </c>
      <c r="AW35" s="137" t="s">
        <v>630</v>
      </c>
      <c r="AX35" s="95"/>
    </row>
    <row r="36" spans="1:51" s="147" customFormat="1" ht="151.5" hidden="1" customHeight="1" x14ac:dyDescent="0.25">
      <c r="A36" s="372"/>
      <c r="B36" s="375"/>
      <c r="C36" s="377"/>
      <c r="D36" s="377"/>
      <c r="E36" s="340"/>
      <c r="F36" s="340"/>
      <c r="G36" s="340"/>
      <c r="H36" s="335"/>
      <c r="I36" s="340"/>
      <c r="J36" s="342"/>
      <c r="K36" s="345"/>
      <c r="L36" s="348"/>
      <c r="M36" s="350"/>
      <c r="N36" s="136"/>
      <c r="O36" s="345"/>
      <c r="P36" s="348"/>
      <c r="Q36" s="338"/>
      <c r="R36" s="126">
        <v>3</v>
      </c>
      <c r="S36" s="95"/>
      <c r="T36" s="127" t="str">
        <f t="shared" si="45"/>
        <v/>
      </c>
      <c r="U36" s="128"/>
      <c r="V36" s="128"/>
      <c r="W36" s="129"/>
      <c r="X36" s="128"/>
      <c r="Y36" s="128"/>
      <c r="Z36" s="128"/>
      <c r="AA36" s="130" t="str">
        <f>IFERROR(IF(T36="Probabilidad",(AA35-(+AA35*W36)),IF(T36="Impacto",L36,"")),"")</f>
        <v/>
      </c>
      <c r="AB36" s="131" t="str">
        <f t="shared" si="47"/>
        <v/>
      </c>
      <c r="AC36" s="132" t="str">
        <f t="shared" si="48"/>
        <v/>
      </c>
      <c r="AD36" s="131" t="str">
        <f t="shared" si="49"/>
        <v/>
      </c>
      <c r="AE36" s="132" t="str">
        <f t="shared" si="50"/>
        <v/>
      </c>
      <c r="AF36" s="133" t="str">
        <f t="shared" si="51"/>
        <v/>
      </c>
      <c r="AG36" s="134"/>
      <c r="AH36" s="95"/>
      <c r="AI36" s="123"/>
      <c r="AJ36" s="135"/>
      <c r="AK36" s="135"/>
      <c r="AL36" s="95"/>
      <c r="AM36" s="95"/>
      <c r="AN36" s="95"/>
      <c r="AO36" s="137"/>
      <c r="AP36" s="95"/>
      <c r="AQ36" s="95"/>
      <c r="AR36" s="137"/>
      <c r="AS36" s="95"/>
      <c r="AT36" s="232" t="s">
        <v>629</v>
      </c>
      <c r="AU36" s="137" t="s">
        <v>630</v>
      </c>
      <c r="AV36" s="137" t="s">
        <v>630</v>
      </c>
      <c r="AW36" s="137" t="s">
        <v>630</v>
      </c>
      <c r="AX36" s="95"/>
    </row>
    <row r="37" spans="1:51" s="147" customFormat="1" ht="176.25" customHeight="1" x14ac:dyDescent="0.25">
      <c r="A37" s="372">
        <v>11</v>
      </c>
      <c r="B37" s="373" t="s">
        <v>237</v>
      </c>
      <c r="C37" s="376" t="s">
        <v>355</v>
      </c>
      <c r="D37" s="376" t="s">
        <v>383</v>
      </c>
      <c r="E37" s="339" t="s">
        <v>120</v>
      </c>
      <c r="F37" s="387" t="s">
        <v>367</v>
      </c>
      <c r="G37" s="387" t="s">
        <v>365</v>
      </c>
      <c r="H37" s="334" t="s">
        <v>238</v>
      </c>
      <c r="I37" s="339" t="s">
        <v>115</v>
      </c>
      <c r="J37" s="341">
        <v>20</v>
      </c>
      <c r="K37" s="343" t="str">
        <f>IF(J37&lt;=0,"",IF(J37&lt;=2,"Muy Baja",IF(J37&lt;=24,"Baja",IF(J37&lt;=500,"Media",IF(J37&lt;=5000,"Alta","Muy Alta")))))</f>
        <v>Baja</v>
      </c>
      <c r="L37" s="346">
        <f>IF(K37="","",IF(K37="Muy Baja",0.2,IF(K37="Baja",0.4,IF(K37="Media",0.6,IF(K37="Alta",0.8,IF(K37="Muy Alta",1,))))))</f>
        <v>0.4</v>
      </c>
      <c r="M37" s="349" t="s">
        <v>486</v>
      </c>
      <c r="N37" s="125" t="str">
        <f>IF(NOT(ISERROR(MATCH(M37,'Tabla Impacto'!$B$221:$B$223,0))),'Tabla Impacto'!$F$223&amp;"Por favor no seleccionar los criterios de impacto(Afectación Económica o presupuestal y Pérdida Reputacional)",M37)</f>
        <v xml:space="preserve"> El riesgo afecta la imagen de la entidad con algunos usuarios de relevancia frente al logro de los objetivos</v>
      </c>
      <c r="O37" s="343" t="str">
        <f>IF(OR(N37='Tabla Impacto'!$C$11,N37='Tabla Impacto'!$D$11),"Leve",IF(OR(N37='Tabla Impacto'!$C$12,N37='Tabla Impacto'!$D$12),"Menor",IF(OR(N37='Tabla Impacto'!$C$13,N37='Tabla Impacto'!$D$13),"Moderado",IF(OR(N37='Tabla Impacto'!$C$14,N37='Tabla Impacto'!$D$14),"Mayor",IF(OR(N37='Tabla Impacto'!$C$15,N37='Tabla Impacto'!$D$15),"Catastrófico","")))))</f>
        <v>Moderado</v>
      </c>
      <c r="P37" s="346">
        <f>IF(O37="","",IF(O37="Leve",0.2,IF(O37="Menor",0.4,IF(O37="Moderado",0.6,IF(O37="Mayor",0.8,IF(O37="Catastrófico",1,))))))</f>
        <v>0.6</v>
      </c>
      <c r="Q37" s="336" t="str">
        <f>IF(OR(AND(K37="Muy Baja",O37="Leve"),AND(K37="Muy Baja",O37="Menor"),AND(K37="Baja",O37="Leve")),"Bajo",IF(OR(AND(K37="Muy baja",O37="Moderado"),AND(K37="Baja",O37="Menor"),AND(K37="Baja",O37="Moderado"),AND(K37="Media",O37="Leve"),AND(K37="Media",O37="Menor"),AND(K37="Media",O37="Moderado"),AND(K37="Alta",O37="Leve"),AND(K37="Alta",O37="Menor")),"Moderado",IF(OR(AND(K37="Muy Baja",O37="Mayor"),AND(K37="Baja",O37="Mayor"),AND(K37="Media",O37="Mayor"),AND(K37="Alta",O37="Moderado"),AND(K37="Alta",O37="Mayor"),AND(K37="Muy Alta",O37="Leve"),AND(K37="Muy Alta",O37="Menor"),AND(K37="Muy Alta",O37="Moderado"),AND(K37="Muy Alta",O37="Mayor")),"Alto",IF(OR(AND(K37="Muy Baja",O37="Catastrófico"),AND(K37="Baja",O37="Catastrófico"),AND(K37="Media",O37="Catastrófico"),AND(K37="Alta",O37="Catastrófico"),AND(K37="Muy Alta",O37="Catastrófico")),"Extremo",""))))</f>
        <v>Moderado</v>
      </c>
      <c r="R37" s="126">
        <v>1</v>
      </c>
      <c r="S37" s="95" t="s">
        <v>545</v>
      </c>
      <c r="T37" s="127" t="str">
        <f t="shared" si="45"/>
        <v>Probabilidad</v>
      </c>
      <c r="U37" s="128" t="s">
        <v>14</v>
      </c>
      <c r="V37" s="128" t="s">
        <v>9</v>
      </c>
      <c r="W37" s="129" t="str">
        <f t="shared" si="46"/>
        <v>40%</v>
      </c>
      <c r="X37" s="128" t="s">
        <v>19</v>
      </c>
      <c r="Y37" s="128" t="s">
        <v>22</v>
      </c>
      <c r="Z37" s="128" t="s">
        <v>110</v>
      </c>
      <c r="AA37" s="130">
        <f t="shared" si="52"/>
        <v>0.24</v>
      </c>
      <c r="AB37" s="131" t="str">
        <f t="shared" si="47"/>
        <v>Baja</v>
      </c>
      <c r="AC37" s="132">
        <f t="shared" si="48"/>
        <v>0.24</v>
      </c>
      <c r="AD37" s="131" t="str">
        <f t="shared" si="49"/>
        <v>Moderado</v>
      </c>
      <c r="AE37" s="132">
        <f t="shared" si="50"/>
        <v>0.6</v>
      </c>
      <c r="AF37" s="133" t="str">
        <f t="shared" si="51"/>
        <v>Moderado</v>
      </c>
      <c r="AG37" s="134" t="s">
        <v>122</v>
      </c>
      <c r="AH37" s="95" t="s">
        <v>368</v>
      </c>
      <c r="AI37" s="123" t="s">
        <v>239</v>
      </c>
      <c r="AJ37" s="124">
        <v>44562</v>
      </c>
      <c r="AK37" s="124" t="s">
        <v>373</v>
      </c>
      <c r="AL37" s="95" t="s">
        <v>366</v>
      </c>
      <c r="AM37" s="95" t="s">
        <v>669</v>
      </c>
      <c r="AN37" s="95" t="s">
        <v>861</v>
      </c>
      <c r="AO37" s="218">
        <v>1</v>
      </c>
      <c r="AP37" s="95" t="s">
        <v>670</v>
      </c>
      <c r="AQ37" s="95" t="s">
        <v>671</v>
      </c>
      <c r="AR37" s="218">
        <v>1</v>
      </c>
      <c r="AS37" s="95"/>
      <c r="AT37" s="232" t="s">
        <v>629</v>
      </c>
      <c r="AU37" s="137" t="s">
        <v>630</v>
      </c>
      <c r="AV37" s="137" t="s">
        <v>630</v>
      </c>
      <c r="AW37" s="137" t="s">
        <v>630</v>
      </c>
      <c r="AX37" s="95"/>
    </row>
    <row r="38" spans="1:51" s="147" customFormat="1" ht="151.5" hidden="1" customHeight="1" x14ac:dyDescent="0.25">
      <c r="A38" s="372"/>
      <c r="B38" s="374"/>
      <c r="C38" s="377"/>
      <c r="D38" s="377"/>
      <c r="E38" s="340"/>
      <c r="F38" s="340"/>
      <c r="G38" s="340"/>
      <c r="H38" s="335"/>
      <c r="I38" s="340"/>
      <c r="J38" s="342"/>
      <c r="K38" s="344"/>
      <c r="L38" s="347"/>
      <c r="M38" s="350"/>
      <c r="N38" s="136"/>
      <c r="O38" s="344"/>
      <c r="P38" s="347"/>
      <c r="Q38" s="337"/>
      <c r="R38" s="126">
        <v>2</v>
      </c>
      <c r="S38" s="95"/>
      <c r="T38" s="127" t="str">
        <f t="shared" si="45"/>
        <v/>
      </c>
      <c r="U38" s="128"/>
      <c r="V38" s="128"/>
      <c r="W38" s="129"/>
      <c r="X38" s="128"/>
      <c r="Y38" s="128"/>
      <c r="Z38" s="128"/>
      <c r="AA38" s="130" t="str">
        <f>IFERROR(IF(T38="Probabilidad",(AA37-(+AA37*W38)),IF(T38="Impacto",L38,"")),"")</f>
        <v/>
      </c>
      <c r="AB38" s="131" t="str">
        <f t="shared" si="47"/>
        <v/>
      </c>
      <c r="AC38" s="132" t="str">
        <f t="shared" si="48"/>
        <v/>
      </c>
      <c r="AD38" s="131" t="str">
        <f t="shared" si="49"/>
        <v/>
      </c>
      <c r="AE38" s="132" t="str">
        <f t="shared" si="50"/>
        <v/>
      </c>
      <c r="AF38" s="133" t="str">
        <f t="shared" si="51"/>
        <v/>
      </c>
      <c r="AG38" s="134"/>
      <c r="AH38" s="95"/>
      <c r="AI38" s="123"/>
      <c r="AJ38" s="135"/>
      <c r="AK38" s="135"/>
      <c r="AL38" s="95"/>
      <c r="AM38" s="95"/>
      <c r="AN38" s="95"/>
      <c r="AO38" s="137"/>
      <c r="AP38" s="95"/>
      <c r="AQ38" s="95"/>
      <c r="AR38" s="137"/>
      <c r="AS38" s="95"/>
      <c r="AT38" s="232" t="s">
        <v>629</v>
      </c>
      <c r="AU38" s="137" t="s">
        <v>630</v>
      </c>
      <c r="AV38" s="137" t="s">
        <v>630</v>
      </c>
      <c r="AW38" s="137" t="s">
        <v>630</v>
      </c>
      <c r="AX38" s="95"/>
    </row>
    <row r="39" spans="1:51" s="147" customFormat="1" ht="151.5" hidden="1" customHeight="1" x14ac:dyDescent="0.25">
      <c r="A39" s="382"/>
      <c r="B39" s="375"/>
      <c r="C39" s="377"/>
      <c r="D39" s="377"/>
      <c r="E39" s="340"/>
      <c r="F39" s="340"/>
      <c r="G39" s="340"/>
      <c r="H39" s="335"/>
      <c r="I39" s="340"/>
      <c r="J39" s="342"/>
      <c r="K39" s="345"/>
      <c r="L39" s="348"/>
      <c r="M39" s="350"/>
      <c r="N39" s="136"/>
      <c r="O39" s="345"/>
      <c r="P39" s="348"/>
      <c r="Q39" s="338"/>
      <c r="R39" s="126">
        <v>3</v>
      </c>
      <c r="S39" s="95"/>
      <c r="T39" s="127" t="str">
        <f t="shared" si="45"/>
        <v/>
      </c>
      <c r="U39" s="128"/>
      <c r="V39" s="128"/>
      <c r="W39" s="129"/>
      <c r="X39" s="128"/>
      <c r="Y39" s="128"/>
      <c r="Z39" s="128"/>
      <c r="AA39" s="130" t="str">
        <f>IFERROR(IF(T39="Probabilidad",(AA38-(+AA38*W39)),IF(T39="Impacto",L39,"")),"")</f>
        <v/>
      </c>
      <c r="AB39" s="131" t="str">
        <f t="shared" si="47"/>
        <v/>
      </c>
      <c r="AC39" s="132" t="str">
        <f t="shared" si="48"/>
        <v/>
      </c>
      <c r="AD39" s="131" t="str">
        <f t="shared" si="49"/>
        <v/>
      </c>
      <c r="AE39" s="132" t="str">
        <f t="shared" si="50"/>
        <v/>
      </c>
      <c r="AF39" s="133" t="str">
        <f t="shared" si="51"/>
        <v/>
      </c>
      <c r="AG39" s="134"/>
      <c r="AH39" s="95"/>
      <c r="AI39" s="123"/>
      <c r="AJ39" s="135"/>
      <c r="AK39" s="135"/>
      <c r="AL39" s="95"/>
      <c r="AM39" s="95"/>
      <c r="AN39" s="95"/>
      <c r="AO39" s="137"/>
      <c r="AP39" s="95"/>
      <c r="AQ39" s="95"/>
      <c r="AR39" s="137"/>
      <c r="AS39" s="95"/>
      <c r="AT39" s="232" t="s">
        <v>629</v>
      </c>
      <c r="AU39" s="137" t="s">
        <v>630</v>
      </c>
      <c r="AV39" s="137" t="s">
        <v>630</v>
      </c>
      <c r="AW39" s="137" t="s">
        <v>630</v>
      </c>
      <c r="AX39" s="95"/>
    </row>
    <row r="40" spans="1:51" s="147" customFormat="1" ht="183.75" customHeight="1" x14ac:dyDescent="0.25">
      <c r="A40" s="380">
        <v>12</v>
      </c>
      <c r="B40" s="373" t="s">
        <v>237</v>
      </c>
      <c r="C40" s="376" t="s">
        <v>355</v>
      </c>
      <c r="D40" s="376" t="s">
        <v>383</v>
      </c>
      <c r="E40" s="339" t="s">
        <v>120</v>
      </c>
      <c r="F40" s="340" t="s">
        <v>440</v>
      </c>
      <c r="G40" s="340" t="s">
        <v>441</v>
      </c>
      <c r="H40" s="334" t="s">
        <v>442</v>
      </c>
      <c r="I40" s="339" t="s">
        <v>328</v>
      </c>
      <c r="J40" s="341">
        <v>2</v>
      </c>
      <c r="K40" s="343" t="str">
        <f>IF(J40&lt;=0,"",IF(J40&lt;=2,"Muy Baja",IF(J40&lt;=24,"Baja",IF(J40&lt;=500,"Media",IF(J40&lt;=5000,"Alta","Muy Alta")))))</f>
        <v>Muy Baja</v>
      </c>
      <c r="L40" s="346">
        <f>IF(K40="","",IF(K40="Muy Baja",0.2,IF(K40="Baja",0.4,IF(K40="Media",0.6,IF(K40="Alta",0.8,IF(K40="Muy Alta",1,))))))</f>
        <v>0.2</v>
      </c>
      <c r="M40" s="349" t="s">
        <v>486</v>
      </c>
      <c r="N40" s="125" t="str">
        <f>IF(NOT(ISERROR(MATCH(M40,'Tabla Impacto'!$B$221:$B$223,0))),'Tabla Impacto'!$F$223&amp;"Por favor no seleccionar los criterios de impacto(Afectación Económica o presupuestal y Pérdida Reputacional)",M40)</f>
        <v xml:space="preserve"> El riesgo afecta la imagen de la entidad con algunos usuarios de relevancia frente al logro de los objetivos</v>
      </c>
      <c r="O40" s="343" t="str">
        <f>IF(OR(N40='Tabla Impacto'!$C$11,N40='Tabla Impacto'!$D$11),"Leve",IF(OR(N40='Tabla Impacto'!$C$12,N40='Tabla Impacto'!$D$12),"Menor",IF(OR(N40='Tabla Impacto'!$C$13,N40='Tabla Impacto'!$D$13),"Moderado",IF(OR(N40='Tabla Impacto'!$C$14,N40='Tabla Impacto'!$D$14),"Mayor",IF(OR(N40='Tabla Impacto'!$C$15,N40='Tabla Impacto'!$D$15),"Catastrófico","")))))</f>
        <v>Moderado</v>
      </c>
      <c r="P40" s="346">
        <f>IF(O40="","",IF(O40="Leve",0.2,IF(O40="Menor",0.4,IF(O40="Moderado",0.6,IF(O40="Mayor",0.8,IF(O40="Catastrófico",1,))))))</f>
        <v>0.6</v>
      </c>
      <c r="Q40" s="336" t="str">
        <f>IF(OR(AND(K40="Muy Baja",O40="Leve"),AND(K40="Muy Baja",O40="Menor"),AND(K40="Baja",O40="Leve")),"Bajo",IF(OR(AND(K40="Muy baja",O40="Moderado"),AND(K40="Baja",O40="Menor"),AND(K40="Baja",O40="Moderado"),AND(K40="Media",O40="Leve"),AND(K40="Media",O40="Menor"),AND(K40="Media",O40="Moderado"),AND(K40="Alta",O40="Leve"),AND(K40="Alta",O40="Menor")),"Moderado",IF(OR(AND(K40="Muy Baja",O40="Mayor"),AND(K40="Baja",O40="Mayor"),AND(K40="Media",O40="Mayor"),AND(K40="Alta",O40="Moderado"),AND(K40="Alta",O40="Mayor"),AND(K40="Muy Alta",O40="Leve"),AND(K40="Muy Alta",O40="Menor"),AND(K40="Muy Alta",O40="Moderado"),AND(K40="Muy Alta",O40="Mayor")),"Alto",IF(OR(AND(K40="Muy Baja",O40="Catastrófico"),AND(K40="Baja",O40="Catastrófico"),AND(K40="Media",O40="Catastrófico"),AND(K40="Alta",O40="Catastrófico"),AND(K40="Muy Alta",O40="Catastrófico")),"Extremo",""))))</f>
        <v>Moderado</v>
      </c>
      <c r="R40" s="126">
        <v>1</v>
      </c>
      <c r="S40" s="95" t="s">
        <v>369</v>
      </c>
      <c r="T40" s="127" t="str">
        <f t="shared" si="45"/>
        <v>Probabilidad</v>
      </c>
      <c r="U40" s="128" t="s">
        <v>14</v>
      </c>
      <c r="V40" s="128" t="s">
        <v>9</v>
      </c>
      <c r="W40" s="129" t="str">
        <f t="shared" si="46"/>
        <v>40%</v>
      </c>
      <c r="X40" s="128" t="s">
        <v>19</v>
      </c>
      <c r="Y40" s="128" t="s">
        <v>22</v>
      </c>
      <c r="Z40" s="128" t="s">
        <v>110</v>
      </c>
      <c r="AA40" s="130">
        <f t="shared" si="52"/>
        <v>0.12</v>
      </c>
      <c r="AB40" s="131" t="str">
        <f t="shared" si="47"/>
        <v>Muy Baja</v>
      </c>
      <c r="AC40" s="132">
        <f t="shared" si="48"/>
        <v>0.12</v>
      </c>
      <c r="AD40" s="131" t="str">
        <f t="shared" si="49"/>
        <v>Moderado</v>
      </c>
      <c r="AE40" s="132">
        <f t="shared" si="50"/>
        <v>0.6</v>
      </c>
      <c r="AF40" s="133" t="str">
        <f t="shared" si="51"/>
        <v>Moderado</v>
      </c>
      <c r="AG40" s="134" t="s">
        <v>122</v>
      </c>
      <c r="AH40" s="95" t="s">
        <v>370</v>
      </c>
      <c r="AI40" s="123" t="s">
        <v>239</v>
      </c>
      <c r="AJ40" s="124">
        <v>44562</v>
      </c>
      <c r="AK40" s="124" t="s">
        <v>373</v>
      </c>
      <c r="AL40" s="95" t="s">
        <v>371</v>
      </c>
      <c r="AM40" s="95" t="s">
        <v>672</v>
      </c>
      <c r="AN40" s="95" t="s">
        <v>673</v>
      </c>
      <c r="AO40" s="218">
        <v>1</v>
      </c>
      <c r="AP40" s="95" t="s">
        <v>674</v>
      </c>
      <c r="AQ40" s="95" t="s">
        <v>675</v>
      </c>
      <c r="AR40" s="218">
        <v>1</v>
      </c>
      <c r="AS40" s="95"/>
      <c r="AT40" s="232" t="s">
        <v>629</v>
      </c>
      <c r="AU40" s="137" t="s">
        <v>630</v>
      </c>
      <c r="AV40" s="137" t="s">
        <v>630</v>
      </c>
      <c r="AW40" s="137" t="s">
        <v>630</v>
      </c>
      <c r="AX40" s="95"/>
    </row>
    <row r="41" spans="1:51" s="147" customFormat="1" ht="151.5" hidden="1" customHeight="1" x14ac:dyDescent="0.25">
      <c r="A41" s="372"/>
      <c r="B41" s="374"/>
      <c r="C41" s="377"/>
      <c r="D41" s="377"/>
      <c r="E41" s="340"/>
      <c r="F41" s="340" t="s">
        <v>240</v>
      </c>
      <c r="G41" s="340" t="s">
        <v>241</v>
      </c>
      <c r="H41" s="335"/>
      <c r="I41" s="340"/>
      <c r="J41" s="342"/>
      <c r="K41" s="344"/>
      <c r="L41" s="347"/>
      <c r="M41" s="350"/>
      <c r="N41" s="136"/>
      <c r="O41" s="344"/>
      <c r="P41" s="347"/>
      <c r="Q41" s="337"/>
      <c r="R41" s="126">
        <v>2</v>
      </c>
      <c r="S41" s="95"/>
      <c r="T41" s="127" t="str">
        <f t="shared" si="45"/>
        <v/>
      </c>
      <c r="U41" s="128"/>
      <c r="V41" s="128"/>
      <c r="W41" s="129"/>
      <c r="X41" s="128"/>
      <c r="Y41" s="128"/>
      <c r="Z41" s="128"/>
      <c r="AA41" s="130"/>
      <c r="AB41" s="131"/>
      <c r="AC41" s="132"/>
      <c r="AD41" s="131"/>
      <c r="AE41" s="132"/>
      <c r="AF41" s="133"/>
      <c r="AG41" s="134"/>
      <c r="AH41" s="95"/>
      <c r="AI41" s="123"/>
      <c r="AJ41" s="135"/>
      <c r="AK41" s="135"/>
      <c r="AL41" s="95"/>
      <c r="AM41" s="95"/>
      <c r="AN41" s="95"/>
      <c r="AO41" s="137"/>
      <c r="AP41" s="95"/>
      <c r="AQ41" s="95"/>
      <c r="AR41" s="137"/>
      <c r="AS41" s="95"/>
      <c r="AT41" s="232" t="s">
        <v>629</v>
      </c>
      <c r="AU41" s="137" t="s">
        <v>630</v>
      </c>
      <c r="AV41" s="137" t="s">
        <v>630</v>
      </c>
      <c r="AW41" s="137" t="s">
        <v>630</v>
      </c>
      <c r="AX41" s="95"/>
    </row>
    <row r="42" spans="1:51" s="147" customFormat="1" ht="151.5" hidden="1" customHeight="1" x14ac:dyDescent="0.25">
      <c r="A42" s="372"/>
      <c r="B42" s="375"/>
      <c r="C42" s="377"/>
      <c r="D42" s="377"/>
      <c r="E42" s="340"/>
      <c r="F42" s="340" t="s">
        <v>240</v>
      </c>
      <c r="G42" s="340" t="s">
        <v>241</v>
      </c>
      <c r="H42" s="335"/>
      <c r="I42" s="340"/>
      <c r="J42" s="342"/>
      <c r="K42" s="345"/>
      <c r="L42" s="348"/>
      <c r="M42" s="350"/>
      <c r="N42" s="136"/>
      <c r="O42" s="345"/>
      <c r="P42" s="348"/>
      <c r="Q42" s="338"/>
      <c r="R42" s="126">
        <v>3</v>
      </c>
      <c r="S42" s="95"/>
      <c r="T42" s="127" t="str">
        <f t="shared" si="45"/>
        <v/>
      </c>
      <c r="U42" s="128"/>
      <c r="V42" s="128"/>
      <c r="W42" s="129"/>
      <c r="X42" s="128"/>
      <c r="Y42" s="128"/>
      <c r="Z42" s="128"/>
      <c r="AA42" s="130"/>
      <c r="AB42" s="131"/>
      <c r="AC42" s="132"/>
      <c r="AD42" s="131"/>
      <c r="AE42" s="132"/>
      <c r="AF42" s="133"/>
      <c r="AG42" s="134"/>
      <c r="AH42" s="95"/>
      <c r="AI42" s="123"/>
      <c r="AJ42" s="135"/>
      <c r="AK42" s="135"/>
      <c r="AL42" s="95"/>
      <c r="AM42" s="95"/>
      <c r="AN42" s="95"/>
      <c r="AO42" s="137"/>
      <c r="AP42" s="95"/>
      <c r="AQ42" s="95"/>
      <c r="AR42" s="137"/>
      <c r="AS42" s="95"/>
      <c r="AT42" s="232" t="s">
        <v>629</v>
      </c>
      <c r="AU42" s="137" t="s">
        <v>630</v>
      </c>
      <c r="AV42" s="137" t="s">
        <v>630</v>
      </c>
      <c r="AW42" s="137" t="s">
        <v>630</v>
      </c>
      <c r="AX42" s="95"/>
    </row>
    <row r="43" spans="1:51" s="147" customFormat="1" ht="151.5" customHeight="1" x14ac:dyDescent="0.25">
      <c r="A43" s="372">
        <v>13</v>
      </c>
      <c r="B43" s="373" t="s">
        <v>242</v>
      </c>
      <c r="C43" s="376" t="s">
        <v>385</v>
      </c>
      <c r="D43" s="376" t="s">
        <v>249</v>
      </c>
      <c r="E43" s="339" t="s">
        <v>120</v>
      </c>
      <c r="F43" s="387" t="s">
        <v>243</v>
      </c>
      <c r="G43" s="387" t="s">
        <v>244</v>
      </c>
      <c r="H43" s="334" t="s">
        <v>384</v>
      </c>
      <c r="I43" s="339" t="s">
        <v>328</v>
      </c>
      <c r="J43" s="341">
        <v>12</v>
      </c>
      <c r="K43" s="343" t="str">
        <f>IF(J43&lt;=0,"",IF(J43&lt;=2,"Muy Baja",IF(J43&lt;=24,"Baja",IF(J43&lt;=500,"Media",IF(J43&lt;=5000,"Alta","Muy Alta")))))</f>
        <v>Baja</v>
      </c>
      <c r="L43" s="346">
        <f>IF(K43="","",IF(K43="Muy Baja",0.2,IF(K43="Baja",0.4,IF(K43="Media",0.6,IF(K43="Alta",0.8,IF(K43="Muy Alta",1,))))))</f>
        <v>0.4</v>
      </c>
      <c r="M43" s="349" t="s">
        <v>486</v>
      </c>
      <c r="N43" s="125" t="str">
        <f>IF(NOT(ISERROR(MATCH(M43,'Tabla Impacto'!$B$221:$B$223,0))),'Tabla Impacto'!$F$223&amp;"Por favor no seleccionar los criterios de impacto(Afectación Económica o presupuestal y Pérdida Reputacional)",M43)</f>
        <v xml:space="preserve"> El riesgo afecta la imagen de la entidad con algunos usuarios de relevancia frente al logro de los objetivos</v>
      </c>
      <c r="O43" s="343" t="str">
        <f>IF(OR(N43='Tabla Impacto'!$C$11,N43='Tabla Impacto'!$D$11),"Leve",IF(OR(N43='Tabla Impacto'!$C$12,N43='Tabla Impacto'!$D$12),"Menor",IF(OR(N43='Tabla Impacto'!$C$13,N43='Tabla Impacto'!$D$13),"Moderado",IF(OR(N43='Tabla Impacto'!$C$14,N43='Tabla Impacto'!$D$14),"Mayor",IF(OR(N43='Tabla Impacto'!$C$15,N43='Tabla Impacto'!$D$15),"Catastrófico","")))))</f>
        <v>Moderado</v>
      </c>
      <c r="P43" s="346">
        <f>IF(O43="","",IF(O43="Leve",0.2,IF(O43="Menor",0.4,IF(O43="Moderado",0.6,IF(O43="Mayor",0.8,IF(O43="Catastrófico",1,))))))</f>
        <v>0.6</v>
      </c>
      <c r="Q43" s="336" t="str">
        <f>IF(OR(AND(K43="Muy Baja",O43="Leve"),AND(K43="Muy Baja",O43="Menor"),AND(K43="Baja",O43="Leve")),"Bajo",IF(OR(AND(K43="Muy baja",O43="Moderado"),AND(K43="Baja",O43="Menor"),AND(K43="Baja",O43="Moderado"),AND(K43="Media",O43="Leve"),AND(K43="Media",O43="Menor"),AND(K43="Media",O43="Moderado"),AND(K43="Alta",O43="Leve"),AND(K43="Alta",O43="Menor")),"Moderado",IF(OR(AND(K43="Muy Baja",O43="Mayor"),AND(K43="Baja",O43="Mayor"),AND(K43="Media",O43="Mayor"),AND(K43="Alta",O43="Moderado"),AND(K43="Alta",O43="Mayor"),AND(K43="Muy Alta",O43="Leve"),AND(K43="Muy Alta",O43="Menor"),AND(K43="Muy Alta",O43="Moderado"),AND(K43="Muy Alta",O43="Mayor")),"Alto",IF(OR(AND(K43="Muy Baja",O43="Catastrófico"),AND(K43="Baja",O43="Catastrófico"),AND(K43="Media",O43="Catastrófico"),AND(K43="Alta",O43="Catastrófico"),AND(K43="Muy Alta",O43="Catastrófico")),"Extremo",""))))</f>
        <v>Moderado</v>
      </c>
      <c r="R43" s="126">
        <v>1</v>
      </c>
      <c r="S43" s="540" t="s">
        <v>245</v>
      </c>
      <c r="T43" s="551" t="str">
        <f t="shared" si="45"/>
        <v>Probabilidad</v>
      </c>
      <c r="U43" s="552" t="s">
        <v>14</v>
      </c>
      <c r="V43" s="552" t="s">
        <v>9</v>
      </c>
      <c r="W43" s="553" t="str">
        <f t="shared" si="46"/>
        <v>40%</v>
      </c>
      <c r="X43" s="552" t="s">
        <v>19</v>
      </c>
      <c r="Y43" s="552" t="s">
        <v>22</v>
      </c>
      <c r="Z43" s="552" t="s">
        <v>110</v>
      </c>
      <c r="AA43" s="140">
        <f t="shared" si="52"/>
        <v>0.24</v>
      </c>
      <c r="AB43" s="554" t="str">
        <f t="shared" si="47"/>
        <v>Baja</v>
      </c>
      <c r="AC43" s="555">
        <f t="shared" si="48"/>
        <v>0.24</v>
      </c>
      <c r="AD43" s="554" t="str">
        <f t="shared" si="49"/>
        <v>Moderado</v>
      </c>
      <c r="AE43" s="555">
        <f t="shared" si="50"/>
        <v>0.6</v>
      </c>
      <c r="AF43" s="556" t="str">
        <f t="shared" si="51"/>
        <v>Moderado</v>
      </c>
      <c r="AG43" s="557" t="s">
        <v>122</v>
      </c>
      <c r="AH43" s="540" t="s">
        <v>246</v>
      </c>
      <c r="AI43" s="561" t="s">
        <v>203</v>
      </c>
      <c r="AJ43" s="539">
        <v>44562</v>
      </c>
      <c r="AK43" s="539">
        <v>44926</v>
      </c>
      <c r="AL43" s="540" t="s">
        <v>247</v>
      </c>
      <c r="AM43" s="540" t="s">
        <v>775</v>
      </c>
      <c r="AN43" s="540" t="s">
        <v>776</v>
      </c>
      <c r="AO43" s="542">
        <v>1</v>
      </c>
      <c r="AP43" s="540" t="s">
        <v>777</v>
      </c>
      <c r="AQ43" s="540" t="s">
        <v>778</v>
      </c>
      <c r="AR43" s="542">
        <v>0.66</v>
      </c>
      <c r="AS43" s="540"/>
      <c r="AT43" s="544" t="s">
        <v>629</v>
      </c>
      <c r="AU43" s="538" t="s">
        <v>630</v>
      </c>
      <c r="AV43" s="538" t="s">
        <v>630</v>
      </c>
      <c r="AW43" s="538" t="s">
        <v>630</v>
      </c>
      <c r="AX43" s="540" t="s">
        <v>862</v>
      </c>
    </row>
    <row r="44" spans="1:51" s="147" customFormat="1" ht="151.5" customHeight="1" x14ac:dyDescent="0.25">
      <c r="A44" s="372"/>
      <c r="B44" s="374"/>
      <c r="C44" s="377"/>
      <c r="D44" s="381"/>
      <c r="E44" s="340"/>
      <c r="F44" s="340"/>
      <c r="G44" s="340"/>
      <c r="H44" s="335"/>
      <c r="I44" s="340"/>
      <c r="J44" s="342"/>
      <c r="K44" s="344"/>
      <c r="L44" s="347"/>
      <c r="M44" s="350"/>
      <c r="N44" s="136"/>
      <c r="O44" s="344"/>
      <c r="P44" s="347"/>
      <c r="Q44" s="337"/>
      <c r="R44" s="126">
        <v>2</v>
      </c>
      <c r="S44" s="95" t="s">
        <v>205</v>
      </c>
      <c r="T44" s="127" t="str">
        <f t="shared" si="45"/>
        <v>Probabilidad</v>
      </c>
      <c r="U44" s="128" t="s">
        <v>14</v>
      </c>
      <c r="V44" s="128" t="s">
        <v>9</v>
      </c>
      <c r="W44" s="129" t="str">
        <f t="shared" si="46"/>
        <v>40%</v>
      </c>
      <c r="X44" s="128" t="s">
        <v>19</v>
      </c>
      <c r="Y44" s="128" t="s">
        <v>22</v>
      </c>
      <c r="Z44" s="128" t="s">
        <v>110</v>
      </c>
      <c r="AA44" s="142">
        <f>IFERROR(IF(T44="Probabilidad",(AA43-(+AA43*W44)),IF(T44="Impacto",L44,"")),"")</f>
        <v>0.14399999999999999</v>
      </c>
      <c r="AB44" s="131" t="str">
        <f t="shared" si="47"/>
        <v>Muy Baja</v>
      </c>
      <c r="AC44" s="132">
        <f t="shared" si="48"/>
        <v>0.14399999999999999</v>
      </c>
      <c r="AD44" s="131" t="str">
        <f t="shared" si="49"/>
        <v>Moderado</v>
      </c>
      <c r="AE44" s="132">
        <v>0.6</v>
      </c>
      <c r="AF44" s="133" t="str">
        <f t="shared" si="51"/>
        <v>Moderado</v>
      </c>
      <c r="AG44" s="134" t="s">
        <v>122</v>
      </c>
      <c r="AH44" s="95" t="s">
        <v>248</v>
      </c>
      <c r="AI44" s="123" t="s">
        <v>203</v>
      </c>
      <c r="AJ44" s="135">
        <v>44562</v>
      </c>
      <c r="AK44" s="135">
        <v>44926</v>
      </c>
      <c r="AL44" s="95" t="s">
        <v>247</v>
      </c>
      <c r="AM44" s="95" t="s">
        <v>775</v>
      </c>
      <c r="AN44" s="540" t="s">
        <v>776</v>
      </c>
      <c r="AO44" s="542">
        <v>1</v>
      </c>
      <c r="AP44" s="540" t="s">
        <v>777</v>
      </c>
      <c r="AQ44" s="540" t="s">
        <v>778</v>
      </c>
      <c r="AR44" s="542">
        <v>0.66</v>
      </c>
      <c r="AS44" s="540"/>
      <c r="AT44" s="544" t="s">
        <v>629</v>
      </c>
      <c r="AU44" s="538" t="s">
        <v>630</v>
      </c>
      <c r="AV44" s="538" t="s">
        <v>630</v>
      </c>
      <c r="AW44" s="538" t="s">
        <v>630</v>
      </c>
      <c r="AX44" s="540" t="s">
        <v>862</v>
      </c>
      <c r="AY44" s="543"/>
    </row>
    <row r="45" spans="1:51" s="147" customFormat="1" ht="151.5" hidden="1" customHeight="1" x14ac:dyDescent="0.25">
      <c r="A45" s="372"/>
      <c r="B45" s="375"/>
      <c r="C45" s="377"/>
      <c r="D45" s="381"/>
      <c r="E45" s="340"/>
      <c r="F45" s="340"/>
      <c r="G45" s="340"/>
      <c r="H45" s="335"/>
      <c r="I45" s="340"/>
      <c r="J45" s="342"/>
      <c r="K45" s="345"/>
      <c r="L45" s="348"/>
      <c r="M45" s="350"/>
      <c r="N45" s="136"/>
      <c r="O45" s="345"/>
      <c r="P45" s="348"/>
      <c r="Q45" s="338"/>
      <c r="R45" s="126">
        <v>3</v>
      </c>
      <c r="S45" s="95"/>
      <c r="T45" s="127" t="str">
        <f t="shared" si="45"/>
        <v/>
      </c>
      <c r="U45" s="128"/>
      <c r="V45" s="128"/>
      <c r="W45" s="129"/>
      <c r="X45" s="128"/>
      <c r="Y45" s="128"/>
      <c r="Z45" s="128"/>
      <c r="AA45" s="130" t="str">
        <f>IFERROR(IF(T45="Probabilidad",(AA44-(+AA44*W45)),IF(T45="Impacto",L45,"")),"")</f>
        <v/>
      </c>
      <c r="AB45" s="131" t="str">
        <f t="shared" si="47"/>
        <v/>
      </c>
      <c r="AC45" s="132" t="str">
        <f t="shared" si="48"/>
        <v/>
      </c>
      <c r="AD45" s="131" t="str">
        <f t="shared" si="49"/>
        <v/>
      </c>
      <c r="AE45" s="132" t="str">
        <f t="shared" si="50"/>
        <v/>
      </c>
      <c r="AF45" s="133" t="str">
        <f t="shared" si="51"/>
        <v/>
      </c>
      <c r="AG45" s="134"/>
      <c r="AH45" s="95"/>
      <c r="AI45" s="123"/>
      <c r="AJ45" s="135"/>
      <c r="AK45" s="135"/>
      <c r="AL45" s="95"/>
      <c r="AM45" s="95"/>
      <c r="AN45" s="95"/>
      <c r="AO45" s="137"/>
      <c r="AP45" s="95"/>
      <c r="AQ45" s="95"/>
      <c r="AR45" s="137"/>
      <c r="AS45" s="95"/>
      <c r="AT45" s="232" t="s">
        <v>629</v>
      </c>
      <c r="AU45" s="137" t="s">
        <v>630</v>
      </c>
      <c r="AV45" s="137" t="s">
        <v>630</v>
      </c>
      <c r="AW45" s="137" t="s">
        <v>630</v>
      </c>
      <c r="AX45" s="95"/>
    </row>
    <row r="46" spans="1:51" s="147" customFormat="1" ht="151.5" customHeight="1" x14ac:dyDescent="0.25">
      <c r="A46" s="372">
        <v>14</v>
      </c>
      <c r="B46" s="373" t="s">
        <v>242</v>
      </c>
      <c r="C46" s="376" t="s">
        <v>385</v>
      </c>
      <c r="D46" s="376" t="s">
        <v>249</v>
      </c>
      <c r="E46" s="339" t="s">
        <v>120</v>
      </c>
      <c r="F46" s="339" t="s">
        <v>250</v>
      </c>
      <c r="G46" s="387" t="s">
        <v>251</v>
      </c>
      <c r="H46" s="334" t="s">
        <v>252</v>
      </c>
      <c r="I46" s="339" t="s">
        <v>328</v>
      </c>
      <c r="J46" s="341">
        <v>900</v>
      </c>
      <c r="K46" s="343" t="str">
        <f>IF(J46&lt;=0,"",IF(J46&lt;=2,"Muy Baja",IF(J46&lt;=24,"Baja",IF(J46&lt;=500,"Media",IF(J46&lt;=5000,"Alta","Muy Alta")))))</f>
        <v>Alta</v>
      </c>
      <c r="L46" s="346">
        <f>IF(K46="","",IF(K46="Muy Baja",0.2,IF(K46="Baja",0.4,IF(K46="Media",0.6,IF(K46="Alta",0.8,IF(K46="Muy Alta",1,))))))</f>
        <v>0.8</v>
      </c>
      <c r="M46" s="349" t="s">
        <v>486</v>
      </c>
      <c r="N46" s="125" t="str">
        <f>IF(NOT(ISERROR(MATCH(M46,'Tabla Impacto'!$B$221:$B$223,0))),'Tabla Impacto'!$F$223&amp;"Por favor no seleccionar los criterios de impacto(Afectación Económica o presupuestal y Pérdida Reputacional)",M46)</f>
        <v xml:space="preserve"> El riesgo afecta la imagen de la entidad con algunos usuarios de relevancia frente al logro de los objetivos</v>
      </c>
      <c r="O46" s="343" t="str">
        <f>IF(OR(N46='Tabla Impacto'!$C$11,N46='Tabla Impacto'!$D$11),"Leve",IF(OR(N46='Tabla Impacto'!$C$12,N46='Tabla Impacto'!$D$12),"Menor",IF(OR(N46='Tabla Impacto'!$C$13,N46='Tabla Impacto'!$D$13),"Moderado",IF(OR(N46='Tabla Impacto'!$C$14,N46='Tabla Impacto'!$D$14),"Mayor",IF(OR(N46='Tabla Impacto'!$C$15,N46='Tabla Impacto'!$D$15),"Catastrófico","")))))</f>
        <v>Moderado</v>
      </c>
      <c r="P46" s="346">
        <f>IF(O46="","",IF(O46="Leve",0.2,IF(O46="Menor",0.4,IF(O46="Moderado",0.6,IF(O46="Mayor",0.8,IF(O46="Catastrófico",1,))))))</f>
        <v>0.6</v>
      </c>
      <c r="Q46" s="336" t="str">
        <f>IF(OR(AND(K46="Muy Baja",O46="Leve"),AND(K46="Muy Baja",O46="Menor"),AND(K46="Baja",O46="Leve")),"Bajo",IF(OR(AND(K46="Muy baja",O46="Moderado"),AND(K46="Baja",O46="Menor"),AND(K46="Baja",O46="Moderado"),AND(K46="Media",O46="Leve"),AND(K46="Media",O46="Menor"),AND(K46="Media",O46="Moderado"),AND(K46="Alta",O46="Leve"),AND(K46="Alta",O46="Menor")),"Moderado",IF(OR(AND(K46="Muy Baja",O46="Mayor"),AND(K46="Baja",O46="Mayor"),AND(K46="Media",O46="Mayor"),AND(K46="Alta",O46="Moderado"),AND(K46="Alta",O46="Mayor"),AND(K46="Muy Alta",O46="Leve"),AND(K46="Muy Alta",O46="Menor"),AND(K46="Muy Alta",O46="Moderado"),AND(K46="Muy Alta",O46="Mayor")),"Alto",IF(OR(AND(K46="Muy Baja",O46="Catastrófico"),AND(K46="Baja",O46="Catastrófico"),AND(K46="Media",O46="Catastrófico"),AND(K46="Alta",O46="Catastrófico"),AND(K46="Muy Alta",O46="Catastrófico")),"Extremo",""))))</f>
        <v>Alto</v>
      </c>
      <c r="R46" s="126">
        <v>1</v>
      </c>
      <c r="S46" s="95" t="s">
        <v>253</v>
      </c>
      <c r="T46" s="127" t="str">
        <f t="shared" ref="T46:T48" si="53">IF(OR(U46="Preventivo",U46="Detectivo"),"Probabilidad",IF(U46="Correctivo","Impacto",""))</f>
        <v>Probabilidad</v>
      </c>
      <c r="U46" s="128" t="s">
        <v>14</v>
      </c>
      <c r="V46" s="128" t="s">
        <v>9</v>
      </c>
      <c r="W46" s="129" t="str">
        <f t="shared" ref="W46" si="54">IF(AND(U46="Preventivo",V46="Automático"),"50%",IF(AND(U46="Preventivo",V46="Manual"),"40%",IF(AND(U46="Detectivo",V46="Automático"),"40%",IF(AND(U46="Detectivo",V46="Manual"),"30%",IF(AND(U46="Correctivo",V46="Automático"),"35%",IF(AND(U46="Correctivo",V46="Manual"),"25%",""))))))</f>
        <v>40%</v>
      </c>
      <c r="X46" s="128" t="s">
        <v>19</v>
      </c>
      <c r="Y46" s="128" t="s">
        <v>22</v>
      </c>
      <c r="Z46" s="128" t="s">
        <v>110</v>
      </c>
      <c r="AA46" s="130">
        <f t="shared" ref="AA46" si="55">IFERROR(IF(T46="Probabilidad",(L46-(+L46*W46)),IF(T46="Impacto",L46,"")),"")</f>
        <v>0.48</v>
      </c>
      <c r="AB46" s="131" t="str">
        <f t="shared" ref="AB46:AB48" si="56">IFERROR(IF(AA46="","",IF(AA46&lt;=0.2,"Muy Baja",IF(AA46&lt;=0.4,"Baja",IF(AA46&lt;=0.6,"Media",IF(AA46&lt;=0.8,"Alta","Muy Alta"))))),"")</f>
        <v>Media</v>
      </c>
      <c r="AC46" s="132">
        <f t="shared" ref="AC46:AC48" si="57">+AA46</f>
        <v>0.48</v>
      </c>
      <c r="AD46" s="131" t="str">
        <f t="shared" ref="AD46:AD48" si="58">IFERROR(IF(AE46="","",IF(AE46&lt;=0.2,"Leve",IF(AE46&lt;=0.4,"Menor",IF(AE46&lt;=0.6,"Moderado",IF(AE46&lt;=0.8,"Mayor","Catastrófico"))))),"")</f>
        <v>Moderado</v>
      </c>
      <c r="AE46" s="132">
        <f t="shared" ref="AE46:AE48" si="59">IFERROR(IF(T46="Impacto",(P46-(+P46*W46)),IF(T46="Probabilidad",P46,"")),"")</f>
        <v>0.6</v>
      </c>
      <c r="AF46" s="133" t="str">
        <f t="shared" ref="AF46:AF48" si="60">IFERROR(IF(OR(AND(AB46="Muy Baja",AD46="Leve"),AND(AB46="Muy Baja",AD46="Menor"),AND(AB46="Baja",AD46="Leve")),"Bajo",IF(OR(AND(AB46="Muy baja",AD46="Moderado"),AND(AB46="Baja",AD46="Menor"),AND(AB46="Baja",AD46="Moderado"),AND(AB46="Media",AD46="Leve"),AND(AB46="Media",AD46="Menor"),AND(AB46="Media",AD46="Moderado"),AND(AB46="Alta",AD46="Leve"),AND(AB46="Alta",AD46="Menor")),"Moderado",IF(OR(AND(AB46="Muy Baja",AD46="Mayor"),AND(AB46="Baja",AD46="Mayor"),AND(AB46="Media",AD46="Mayor"),AND(AB46="Alta",AD46="Moderado"),AND(AB46="Alta",AD46="Mayor"),AND(AB46="Muy Alta",AD46="Leve"),AND(AB46="Muy Alta",AD46="Menor"),AND(AB46="Muy Alta",AD46="Moderado"),AND(AB46="Muy Alta",AD46="Mayor")),"Alto",IF(OR(AND(AB46="Muy Baja",AD46="Catastrófico"),AND(AB46="Baja",AD46="Catastrófico"),AND(AB46="Media",AD46="Catastrófico"),AND(AB46="Alta",AD46="Catastrófico"),AND(AB46="Muy Alta",AD46="Catastrófico")),"Extremo","")))),"")</f>
        <v>Moderado</v>
      </c>
      <c r="AG46" s="134" t="s">
        <v>122</v>
      </c>
      <c r="AH46" s="95" t="s">
        <v>254</v>
      </c>
      <c r="AI46" s="123" t="s">
        <v>203</v>
      </c>
      <c r="AJ46" s="135">
        <v>44562</v>
      </c>
      <c r="AK46" s="135">
        <v>44926</v>
      </c>
      <c r="AL46" s="95" t="s">
        <v>255</v>
      </c>
      <c r="AM46" s="95" t="s">
        <v>779</v>
      </c>
      <c r="AN46" s="95" t="s">
        <v>780</v>
      </c>
      <c r="AO46" s="218">
        <v>1</v>
      </c>
      <c r="AP46" s="216" t="s">
        <v>781</v>
      </c>
      <c r="AQ46" s="216" t="s">
        <v>782</v>
      </c>
      <c r="AR46" s="218">
        <v>1</v>
      </c>
      <c r="AS46" s="95"/>
      <c r="AT46" s="232" t="s">
        <v>629</v>
      </c>
      <c r="AU46" s="137" t="s">
        <v>630</v>
      </c>
      <c r="AV46" s="137" t="s">
        <v>630</v>
      </c>
      <c r="AW46" s="137" t="s">
        <v>630</v>
      </c>
      <c r="AX46" s="95"/>
    </row>
    <row r="47" spans="1:51" s="147" customFormat="1" ht="151.5" hidden="1" customHeight="1" x14ac:dyDescent="0.25">
      <c r="A47" s="372"/>
      <c r="B47" s="374"/>
      <c r="C47" s="377"/>
      <c r="D47" s="381"/>
      <c r="E47" s="340"/>
      <c r="F47" s="340"/>
      <c r="G47" s="340"/>
      <c r="H47" s="335"/>
      <c r="I47" s="340"/>
      <c r="J47" s="342"/>
      <c r="K47" s="344"/>
      <c r="L47" s="347"/>
      <c r="M47" s="350"/>
      <c r="N47" s="136"/>
      <c r="O47" s="344"/>
      <c r="P47" s="347"/>
      <c r="Q47" s="337"/>
      <c r="R47" s="126">
        <v>2</v>
      </c>
      <c r="S47" s="95"/>
      <c r="T47" s="127" t="str">
        <f t="shared" si="53"/>
        <v/>
      </c>
      <c r="U47" s="128"/>
      <c r="V47" s="128"/>
      <c r="W47" s="129"/>
      <c r="X47" s="128"/>
      <c r="Y47" s="128"/>
      <c r="Z47" s="128"/>
      <c r="AA47" s="130" t="str">
        <f>IFERROR(IF(T47="Probabilidad",(AA46-(+AA46*W47)),IF(T47="Impacto",L47,"")),"")</f>
        <v/>
      </c>
      <c r="AB47" s="131" t="str">
        <f t="shared" si="56"/>
        <v/>
      </c>
      <c r="AC47" s="132" t="str">
        <f t="shared" si="57"/>
        <v/>
      </c>
      <c r="AD47" s="131" t="str">
        <f t="shared" si="58"/>
        <v/>
      </c>
      <c r="AE47" s="132" t="str">
        <f t="shared" si="59"/>
        <v/>
      </c>
      <c r="AF47" s="133" t="str">
        <f t="shared" si="60"/>
        <v/>
      </c>
      <c r="AG47" s="134"/>
      <c r="AH47" s="95"/>
      <c r="AI47" s="123"/>
      <c r="AJ47" s="135"/>
      <c r="AK47" s="135"/>
      <c r="AL47" s="95"/>
      <c r="AM47" s="95"/>
      <c r="AN47" s="95"/>
      <c r="AO47" s="137"/>
      <c r="AP47" s="95"/>
      <c r="AQ47" s="95"/>
      <c r="AR47" s="137"/>
      <c r="AS47" s="95"/>
      <c r="AT47" s="95"/>
      <c r="AU47" s="137" t="s">
        <v>630</v>
      </c>
      <c r="AV47" s="137" t="s">
        <v>630</v>
      </c>
      <c r="AW47" s="137" t="s">
        <v>630</v>
      </c>
      <c r="AX47" s="95"/>
    </row>
    <row r="48" spans="1:51" s="147" customFormat="1" ht="151.5" hidden="1" customHeight="1" x14ac:dyDescent="0.25">
      <c r="A48" s="372"/>
      <c r="B48" s="375"/>
      <c r="C48" s="377"/>
      <c r="D48" s="381"/>
      <c r="E48" s="340"/>
      <c r="F48" s="340"/>
      <c r="G48" s="340"/>
      <c r="H48" s="335"/>
      <c r="I48" s="340"/>
      <c r="J48" s="342"/>
      <c r="K48" s="345"/>
      <c r="L48" s="348"/>
      <c r="M48" s="350"/>
      <c r="N48" s="136"/>
      <c r="O48" s="345"/>
      <c r="P48" s="348"/>
      <c r="Q48" s="338"/>
      <c r="R48" s="126">
        <v>3</v>
      </c>
      <c r="S48" s="95"/>
      <c r="T48" s="127" t="str">
        <f t="shared" si="53"/>
        <v/>
      </c>
      <c r="U48" s="128"/>
      <c r="V48" s="128"/>
      <c r="W48" s="129"/>
      <c r="X48" s="128"/>
      <c r="Y48" s="128"/>
      <c r="Z48" s="128"/>
      <c r="AA48" s="130" t="str">
        <f>IFERROR(IF(T48="Probabilidad",(AA47-(+AA47*W48)),IF(T48="Impacto",L48,"")),"")</f>
        <v/>
      </c>
      <c r="AB48" s="131" t="str">
        <f t="shared" si="56"/>
        <v/>
      </c>
      <c r="AC48" s="132" t="str">
        <f t="shared" si="57"/>
        <v/>
      </c>
      <c r="AD48" s="131" t="str">
        <f t="shared" si="58"/>
        <v/>
      </c>
      <c r="AE48" s="132" t="str">
        <f t="shared" si="59"/>
        <v/>
      </c>
      <c r="AF48" s="133" t="str">
        <f t="shared" si="60"/>
        <v/>
      </c>
      <c r="AG48" s="134"/>
      <c r="AH48" s="95"/>
      <c r="AI48" s="123"/>
      <c r="AJ48" s="135"/>
      <c r="AK48" s="135"/>
      <c r="AL48" s="95"/>
      <c r="AM48" s="95"/>
      <c r="AN48" s="95"/>
      <c r="AO48" s="137"/>
      <c r="AP48" s="95"/>
      <c r="AQ48" s="95"/>
      <c r="AR48" s="137"/>
      <c r="AS48" s="95"/>
      <c r="AT48" s="95"/>
      <c r="AU48" s="137" t="s">
        <v>630</v>
      </c>
      <c r="AV48" s="137" t="s">
        <v>630</v>
      </c>
      <c r="AW48" s="137" t="s">
        <v>630</v>
      </c>
      <c r="AX48" s="95"/>
    </row>
    <row r="49" spans="1:50" s="147" customFormat="1" ht="151.5" customHeight="1" x14ac:dyDescent="0.25">
      <c r="A49" s="372">
        <v>15</v>
      </c>
      <c r="B49" s="373" t="s">
        <v>242</v>
      </c>
      <c r="C49" s="376" t="s">
        <v>385</v>
      </c>
      <c r="D49" s="376" t="s">
        <v>249</v>
      </c>
      <c r="E49" s="339" t="s">
        <v>118</v>
      </c>
      <c r="F49" s="339" t="s">
        <v>256</v>
      </c>
      <c r="G49" s="339" t="s">
        <v>257</v>
      </c>
      <c r="H49" s="334" t="s">
        <v>549</v>
      </c>
      <c r="I49" s="339" t="s">
        <v>115</v>
      </c>
      <c r="J49" s="341">
        <v>40</v>
      </c>
      <c r="K49" s="343" t="str">
        <f>IF(J49&lt;=0,"",IF(J49&lt;=2,"Muy Baja",IF(J49&lt;=24,"Baja",IF(J49&lt;=500,"Media",IF(J49&lt;=5000,"Alta","Muy Alta")))))</f>
        <v>Media</v>
      </c>
      <c r="L49" s="346">
        <f>IF(K49="","",IF(K49="Muy Baja",0.2,IF(K49="Baja",0.4,IF(K49="Media",0.6,IF(K49="Alta",0.8,IF(K49="Muy Alta",1,))))))</f>
        <v>0.6</v>
      </c>
      <c r="M49" s="349" t="s">
        <v>486</v>
      </c>
      <c r="N49" s="125" t="str">
        <f>IF(NOT(ISERROR(MATCH(M49,'Tabla Impacto'!$B$221:$B$223,0))),'Tabla Impacto'!$F$223&amp;"Por favor no seleccionar los criterios de impacto(Afectación Económica o presupuestal y Pérdida Reputacional)",M49)</f>
        <v xml:space="preserve"> El riesgo afecta la imagen de la entidad con algunos usuarios de relevancia frente al logro de los objetivos</v>
      </c>
      <c r="O49" s="343" t="str">
        <f>IF(OR(N49='Tabla Impacto'!$C$11,N49='Tabla Impacto'!$D$11),"Leve",IF(OR(N49='Tabla Impacto'!$C$12,N49='Tabla Impacto'!$D$12),"Menor",IF(OR(N49='Tabla Impacto'!$C$13,N49='Tabla Impacto'!$D$13),"Moderado",IF(OR(N49='Tabla Impacto'!$C$14,N49='Tabla Impacto'!$D$14),"Mayor",IF(OR(N49='Tabla Impacto'!$C$15,N49='Tabla Impacto'!$D$15),"Catastrófico","")))))</f>
        <v>Moderado</v>
      </c>
      <c r="P49" s="346">
        <f>IF(O49="","",IF(O49="Leve",0.2,IF(O49="Menor",0.4,IF(O49="Moderado",0.6,IF(O49="Mayor",0.8,IF(O49="Catastrófico",1,))))))</f>
        <v>0.6</v>
      </c>
      <c r="Q49" s="336" t="str">
        <f>IF(OR(AND(K49="Muy Baja",O49="Leve"),AND(K49="Muy Baja",O49="Menor"),AND(K49="Baja",O49="Leve")),"Bajo",IF(OR(AND(K49="Muy baja",O49="Moderado"),AND(K49="Baja",O49="Menor"),AND(K49="Baja",O49="Moderado"),AND(K49="Media",O49="Leve"),AND(K49="Media",O49="Menor"),AND(K49="Media",O49="Moderado"),AND(K49="Alta",O49="Leve"),AND(K49="Alta",O49="Menor")),"Moderado",IF(OR(AND(K49="Muy Baja",O49="Mayor"),AND(K49="Baja",O49="Mayor"),AND(K49="Media",O49="Mayor"),AND(K49="Alta",O49="Moderado"),AND(K49="Alta",O49="Mayor"),AND(K49="Muy Alta",O49="Leve"),AND(K49="Muy Alta",O49="Menor"),AND(K49="Muy Alta",O49="Moderado"),AND(K49="Muy Alta",O49="Mayor")),"Alto",IF(OR(AND(K49="Muy Baja",O49="Catastrófico"),AND(K49="Baja",O49="Catastrófico"),AND(K49="Media",O49="Catastrófico"),AND(K49="Alta",O49="Catastrófico"),AND(K49="Muy Alta",O49="Catastrófico")),"Extremo",""))))</f>
        <v>Moderado</v>
      </c>
      <c r="R49" s="126">
        <v>1</v>
      </c>
      <c r="S49" s="95" t="s">
        <v>550</v>
      </c>
      <c r="T49" s="127" t="str">
        <f t="shared" si="25"/>
        <v>Probabilidad</v>
      </c>
      <c r="U49" s="128" t="s">
        <v>14</v>
      </c>
      <c r="V49" s="128" t="s">
        <v>9</v>
      </c>
      <c r="W49" s="129" t="str">
        <f t="shared" si="26"/>
        <v>40%</v>
      </c>
      <c r="X49" s="128" t="s">
        <v>19</v>
      </c>
      <c r="Y49" s="128" t="s">
        <v>22</v>
      </c>
      <c r="Z49" s="128" t="s">
        <v>110</v>
      </c>
      <c r="AA49" s="130">
        <f t="shared" si="27"/>
        <v>0.36</v>
      </c>
      <c r="AB49" s="131" t="str">
        <f t="shared" si="28"/>
        <v>Baja</v>
      </c>
      <c r="AC49" s="132">
        <f t="shared" si="29"/>
        <v>0.36</v>
      </c>
      <c r="AD49" s="131" t="str">
        <f t="shared" si="30"/>
        <v>Moderado</v>
      </c>
      <c r="AE49" s="132">
        <f t="shared" si="31"/>
        <v>0.6</v>
      </c>
      <c r="AF49" s="133" t="str">
        <f t="shared" si="32"/>
        <v>Moderado</v>
      </c>
      <c r="AG49" s="134" t="s">
        <v>122</v>
      </c>
      <c r="AH49" s="122" t="s">
        <v>259</v>
      </c>
      <c r="AI49" s="123" t="s">
        <v>260</v>
      </c>
      <c r="AJ49" s="135">
        <v>44562</v>
      </c>
      <c r="AK49" s="135">
        <v>44926</v>
      </c>
      <c r="AL49" s="95" t="s">
        <v>255</v>
      </c>
      <c r="AM49" s="95" t="s">
        <v>783</v>
      </c>
      <c r="AN49" s="216" t="s">
        <v>784</v>
      </c>
      <c r="AO49" s="218">
        <v>1</v>
      </c>
      <c r="AP49" s="95" t="s">
        <v>785</v>
      </c>
      <c r="AQ49" s="95" t="s">
        <v>786</v>
      </c>
      <c r="AR49" s="218">
        <v>1</v>
      </c>
      <c r="AS49" s="95"/>
      <c r="AT49" s="232" t="s">
        <v>629</v>
      </c>
      <c r="AU49" s="137" t="s">
        <v>630</v>
      </c>
      <c r="AV49" s="137" t="s">
        <v>630</v>
      </c>
      <c r="AW49" s="137" t="s">
        <v>630</v>
      </c>
      <c r="AX49" s="95"/>
    </row>
    <row r="50" spans="1:50" s="147" customFormat="1" ht="151.5" hidden="1" customHeight="1" x14ac:dyDescent="0.25">
      <c r="A50" s="372"/>
      <c r="B50" s="374"/>
      <c r="C50" s="377"/>
      <c r="D50" s="381"/>
      <c r="E50" s="340"/>
      <c r="F50" s="340"/>
      <c r="G50" s="340"/>
      <c r="H50" s="335"/>
      <c r="I50" s="340"/>
      <c r="J50" s="342"/>
      <c r="K50" s="344"/>
      <c r="L50" s="347"/>
      <c r="M50" s="350"/>
      <c r="N50" s="136"/>
      <c r="O50" s="344"/>
      <c r="P50" s="347"/>
      <c r="Q50" s="337"/>
      <c r="R50" s="126">
        <v>2</v>
      </c>
      <c r="S50" s="95"/>
      <c r="T50" s="127" t="str">
        <f t="shared" ref="T50:T51" si="61">IF(OR(U50="Preventivo",U50="Detectivo"),"Probabilidad",IF(U50="Correctivo","Impacto",""))</f>
        <v/>
      </c>
      <c r="U50" s="128"/>
      <c r="V50" s="128"/>
      <c r="W50" s="129"/>
      <c r="X50" s="128"/>
      <c r="Y50" s="128"/>
      <c r="Z50" s="128"/>
      <c r="AA50" s="130" t="str">
        <f>IFERROR(IF(T50="Probabilidad",(AA49-(+AA49*W50)),IF(T50="Impacto",L50,"")),"")</f>
        <v/>
      </c>
      <c r="AB50" s="131" t="str">
        <f t="shared" ref="AB50:AB51" si="62">IFERROR(IF(AA50="","",IF(AA50&lt;=0.2,"Muy Baja",IF(AA50&lt;=0.4,"Baja",IF(AA50&lt;=0.6,"Media",IF(AA50&lt;=0.8,"Alta","Muy Alta"))))),"")</f>
        <v/>
      </c>
      <c r="AC50" s="132" t="str">
        <f t="shared" ref="AC50:AC51" si="63">+AA50</f>
        <v/>
      </c>
      <c r="AD50" s="131" t="str">
        <f t="shared" ref="AD50:AD51" si="64">IFERROR(IF(AE50="","",IF(AE50&lt;=0.2,"Leve",IF(AE50&lt;=0.4,"Menor",IF(AE50&lt;=0.6,"Moderado",IF(AE50&lt;=0.8,"Mayor","Catastrófico"))))),"")</f>
        <v/>
      </c>
      <c r="AE50" s="132" t="str">
        <f t="shared" ref="AE50:AE51" si="65">IFERROR(IF(T50="Impacto",(P50-(+P50*W50)),IF(T50="Probabilidad",P50,"")),"")</f>
        <v/>
      </c>
      <c r="AF50" s="133" t="str">
        <f t="shared" ref="AF50:AF51" si="66">IFERROR(IF(OR(AND(AB50="Muy Baja",AD50="Leve"),AND(AB50="Muy Baja",AD50="Menor"),AND(AB50="Baja",AD50="Leve")),"Bajo",IF(OR(AND(AB50="Muy baja",AD50="Moderado"),AND(AB50="Baja",AD50="Menor"),AND(AB50="Baja",AD50="Moderado"),AND(AB50="Media",AD50="Leve"),AND(AB50="Media",AD50="Menor"),AND(AB50="Media",AD50="Moderado"),AND(AB50="Alta",AD50="Leve"),AND(AB50="Alta",AD50="Menor")),"Moderado",IF(OR(AND(AB50="Muy Baja",AD50="Mayor"),AND(AB50="Baja",AD50="Mayor"),AND(AB50="Media",AD50="Mayor"),AND(AB50="Alta",AD50="Moderado"),AND(AB50="Alta",AD50="Mayor"),AND(AB50="Muy Alta",AD50="Leve"),AND(AB50="Muy Alta",AD50="Menor"),AND(AB50="Muy Alta",AD50="Moderado"),AND(AB50="Muy Alta",AD50="Mayor")),"Alto",IF(OR(AND(AB50="Muy Baja",AD50="Catastrófico"),AND(AB50="Baja",AD50="Catastrófico"),AND(AB50="Media",AD50="Catastrófico"),AND(AB50="Alta",AD50="Catastrófico"),AND(AB50="Muy Alta",AD50="Catastrófico")),"Extremo","")))),"")</f>
        <v/>
      </c>
      <c r="AG50" s="134"/>
      <c r="AH50" s="95"/>
      <c r="AI50" s="123"/>
      <c r="AJ50" s="135"/>
      <c r="AK50" s="135"/>
      <c r="AL50" s="95"/>
      <c r="AM50" s="95"/>
      <c r="AN50" s="95"/>
      <c r="AO50" s="137"/>
      <c r="AP50" s="95"/>
      <c r="AQ50" s="95"/>
      <c r="AR50" s="137"/>
      <c r="AS50" s="95"/>
      <c r="AT50" s="232" t="s">
        <v>629</v>
      </c>
      <c r="AU50" s="137" t="s">
        <v>630</v>
      </c>
      <c r="AV50" s="137" t="s">
        <v>630</v>
      </c>
      <c r="AW50" s="137" t="s">
        <v>630</v>
      </c>
      <c r="AX50" s="95"/>
    </row>
    <row r="51" spans="1:50" s="147" customFormat="1" ht="151.5" hidden="1" customHeight="1" x14ac:dyDescent="0.25">
      <c r="A51" s="372"/>
      <c r="B51" s="375"/>
      <c r="C51" s="377"/>
      <c r="D51" s="381"/>
      <c r="E51" s="340"/>
      <c r="F51" s="340"/>
      <c r="G51" s="340"/>
      <c r="H51" s="335"/>
      <c r="I51" s="340"/>
      <c r="J51" s="342"/>
      <c r="K51" s="345"/>
      <c r="L51" s="348"/>
      <c r="M51" s="350"/>
      <c r="N51" s="136"/>
      <c r="O51" s="345"/>
      <c r="P51" s="348"/>
      <c r="Q51" s="338"/>
      <c r="R51" s="126">
        <v>3</v>
      </c>
      <c r="S51" s="95"/>
      <c r="T51" s="127" t="str">
        <f t="shared" si="61"/>
        <v/>
      </c>
      <c r="U51" s="128"/>
      <c r="V51" s="128"/>
      <c r="W51" s="129"/>
      <c r="X51" s="128"/>
      <c r="Y51" s="128"/>
      <c r="Z51" s="128"/>
      <c r="AA51" s="130" t="str">
        <f>IFERROR(IF(T51="Probabilidad",(AA50-(+AA50*W51)),IF(T51="Impacto",L51,"")),"")</f>
        <v/>
      </c>
      <c r="AB51" s="131" t="str">
        <f t="shared" si="62"/>
        <v/>
      </c>
      <c r="AC51" s="132" t="str">
        <f t="shared" si="63"/>
        <v/>
      </c>
      <c r="AD51" s="131" t="str">
        <f t="shared" si="64"/>
        <v/>
      </c>
      <c r="AE51" s="132" t="str">
        <f t="shared" si="65"/>
        <v/>
      </c>
      <c r="AF51" s="133" t="str">
        <f t="shared" si="66"/>
        <v/>
      </c>
      <c r="AG51" s="134"/>
      <c r="AH51" s="95"/>
      <c r="AI51" s="123"/>
      <c r="AJ51" s="135"/>
      <c r="AK51" s="135"/>
      <c r="AL51" s="95"/>
      <c r="AM51" s="95"/>
      <c r="AN51" s="95"/>
      <c r="AO51" s="137"/>
      <c r="AP51" s="95"/>
      <c r="AQ51" s="95"/>
      <c r="AR51" s="137"/>
      <c r="AS51" s="95"/>
      <c r="AT51" s="232" t="s">
        <v>629</v>
      </c>
      <c r="AU51" s="137" t="s">
        <v>630</v>
      </c>
      <c r="AV51" s="137" t="s">
        <v>630</v>
      </c>
      <c r="AW51" s="137" t="s">
        <v>630</v>
      </c>
      <c r="AX51" s="95"/>
    </row>
    <row r="52" spans="1:50" s="147" customFormat="1" ht="151.5" customHeight="1" x14ac:dyDescent="0.25">
      <c r="A52" s="372">
        <v>16</v>
      </c>
      <c r="B52" s="373" t="s">
        <v>242</v>
      </c>
      <c r="C52" s="376" t="s">
        <v>385</v>
      </c>
      <c r="D52" s="376" t="s">
        <v>249</v>
      </c>
      <c r="E52" s="339" t="s">
        <v>120</v>
      </c>
      <c r="F52" s="339" t="s">
        <v>443</v>
      </c>
      <c r="G52" s="339" t="s">
        <v>262</v>
      </c>
      <c r="H52" s="334" t="s">
        <v>261</v>
      </c>
      <c r="I52" s="339" t="s">
        <v>328</v>
      </c>
      <c r="J52" s="341" t="s">
        <v>258</v>
      </c>
      <c r="K52" s="343" t="str">
        <f>IF(J52&lt;=0,"",IF(J52&lt;=2,"Muy Baja",IF(J52&lt;=24,"Baja",IF(J52&lt;=500,"Media",IF(J52&lt;=5000,"Alta","Muy Alta")))))</f>
        <v>Muy Alta</v>
      </c>
      <c r="L52" s="346">
        <f>IF(K52="","",IF(K52="Muy Baja",0.2,IF(K52="Baja",0.4,IF(K52="Media",0.6,IF(K52="Alta",0.8,IF(K52="Muy Alta",1,))))))</f>
        <v>1</v>
      </c>
      <c r="M52" s="349" t="s">
        <v>493</v>
      </c>
      <c r="N52" s="125" t="str">
        <f>IF(NOT(ISERROR(MATCH(M52,'Tabla Impacto'!$B$221:$B$223,0))),'Tabla Impacto'!$F$223&amp;"Por favor no seleccionar los criterios de impacto(Afectación Económica o presupuestal y Pérdida Reputacional)",M52)</f>
        <v xml:space="preserve"> El riesgo afecta la imagen de la entidad con efecto publicitario sostenido a nivel de sector administrativo, nivel departamental o municipal</v>
      </c>
      <c r="O52" s="343" t="str">
        <f>IF(OR(N52='Tabla Impacto'!$C$11,N52='Tabla Impacto'!$D$11),"Leve",IF(OR(N52='Tabla Impacto'!$C$12,N52='Tabla Impacto'!$D$12),"Menor",IF(OR(N52='Tabla Impacto'!$C$13,N52='Tabla Impacto'!$D$13),"Moderado",IF(OR(N52='Tabla Impacto'!$C$14,N52='Tabla Impacto'!$D$14),"Mayor",IF(OR(N52='Tabla Impacto'!$C$15,N52='Tabla Impacto'!$D$15),"Catastrófico","")))))</f>
        <v>Mayor</v>
      </c>
      <c r="P52" s="346">
        <f>IF(O52="","",IF(O52="Leve",0.2,IF(O52="Menor",0.4,IF(O52="Moderado",0.6,IF(O52="Mayor",0.8,IF(O52="Catastrófico",1,))))))</f>
        <v>0.8</v>
      </c>
      <c r="Q52" s="336" t="str">
        <f>IF(OR(AND(K52="Muy Baja",O52="Leve"),AND(K52="Muy Baja",O52="Menor"),AND(K52="Baja",O52="Leve")),"Bajo",IF(OR(AND(K52="Muy baja",O52="Moderado"),AND(K52="Baja",O52="Menor"),AND(K52="Baja",O52="Moderado"),AND(K52="Media",O52="Leve"),AND(K52="Media",O52="Menor"),AND(K52="Media",O52="Moderado"),AND(K52="Alta",O52="Leve"),AND(K52="Alta",O52="Menor")),"Moderado",IF(OR(AND(K52="Muy Baja",O52="Mayor"),AND(K52="Baja",O52="Mayor"),AND(K52="Media",O52="Mayor"),AND(K52="Alta",O52="Moderado"),AND(K52="Alta",O52="Mayor"),AND(K52="Muy Alta",O52="Leve"),AND(K52="Muy Alta",O52="Menor"),AND(K52="Muy Alta",O52="Moderado"),AND(K52="Muy Alta",O52="Mayor")),"Alto",IF(OR(AND(K52="Muy Baja",O52="Catastrófico"),AND(K52="Baja",O52="Catastrófico"),AND(K52="Media",O52="Catastrófico"),AND(K52="Alta",O52="Catastrófico"),AND(K52="Muy Alta",O52="Catastrófico")),"Extremo",""))))</f>
        <v>Alto</v>
      </c>
      <c r="R52" s="126">
        <v>1</v>
      </c>
      <c r="S52" s="95" t="s">
        <v>263</v>
      </c>
      <c r="T52" s="127" t="str">
        <f t="shared" ref="T52:T54" si="67">IF(OR(U52="Preventivo",U52="Detectivo"),"Probabilidad",IF(U52="Correctivo","Impacto",""))</f>
        <v>Probabilidad</v>
      </c>
      <c r="U52" s="128" t="s">
        <v>14</v>
      </c>
      <c r="V52" s="128" t="s">
        <v>9</v>
      </c>
      <c r="W52" s="129" t="str">
        <f t="shared" ref="W52" si="68">IF(AND(U52="Preventivo",V52="Automático"),"50%",IF(AND(U52="Preventivo",V52="Manual"),"40%",IF(AND(U52="Detectivo",V52="Automático"),"40%",IF(AND(U52="Detectivo",V52="Manual"),"30%",IF(AND(U52="Correctivo",V52="Automático"),"35%",IF(AND(U52="Correctivo",V52="Manual"),"25%",""))))))</f>
        <v>40%</v>
      </c>
      <c r="X52" s="128" t="s">
        <v>19</v>
      </c>
      <c r="Y52" s="128" t="s">
        <v>22</v>
      </c>
      <c r="Z52" s="128" t="s">
        <v>110</v>
      </c>
      <c r="AA52" s="130">
        <f t="shared" ref="AA52" si="69">IFERROR(IF(T52="Probabilidad",(L52-(+L52*W52)),IF(T52="Impacto",L52,"")),"")</f>
        <v>0.6</v>
      </c>
      <c r="AB52" s="131" t="str">
        <f t="shared" ref="AB52:AB54" si="70">IFERROR(IF(AA52="","",IF(AA52&lt;=0.2,"Muy Baja",IF(AA52&lt;=0.4,"Baja",IF(AA52&lt;=0.6,"Media",IF(AA52&lt;=0.8,"Alta","Muy Alta"))))),"")</f>
        <v>Media</v>
      </c>
      <c r="AC52" s="132">
        <f t="shared" ref="AC52:AC54" si="71">+AA52</f>
        <v>0.6</v>
      </c>
      <c r="AD52" s="131" t="str">
        <f t="shared" ref="AD52:AD54" si="72">IFERROR(IF(AE52="","",IF(AE52&lt;=0.2,"Leve",IF(AE52&lt;=0.4,"Menor",IF(AE52&lt;=0.6,"Moderado",IF(AE52&lt;=0.8,"Mayor","Catastrófico"))))),"")</f>
        <v>Mayor</v>
      </c>
      <c r="AE52" s="132">
        <f t="shared" ref="AE52:AE54" si="73">IFERROR(IF(T52="Impacto",(P52-(+P52*W52)),IF(T52="Probabilidad",P52,"")),"")</f>
        <v>0.8</v>
      </c>
      <c r="AF52" s="133" t="str">
        <f t="shared" ref="AF52:AF54" si="74">IFERROR(IF(OR(AND(AB52="Muy Baja",AD52="Leve"),AND(AB52="Muy Baja",AD52="Menor"),AND(AB52="Baja",AD52="Leve")),"Bajo",IF(OR(AND(AB52="Muy baja",AD52="Moderado"),AND(AB52="Baja",AD52="Menor"),AND(AB52="Baja",AD52="Moderado"),AND(AB52="Media",AD52="Leve"),AND(AB52="Media",AD52="Menor"),AND(AB52="Media",AD52="Moderado"),AND(AB52="Alta",AD52="Leve"),AND(AB52="Alta",AD52="Menor")),"Moderado",IF(OR(AND(AB52="Muy Baja",AD52="Mayor"),AND(AB52="Baja",AD52="Mayor"),AND(AB52="Media",AD52="Mayor"),AND(AB52="Alta",AD52="Moderado"),AND(AB52="Alta",AD52="Mayor"),AND(AB52="Muy Alta",AD52="Leve"),AND(AB52="Muy Alta",AD52="Menor"),AND(AB52="Muy Alta",AD52="Moderado"),AND(AB52="Muy Alta",AD52="Mayor")),"Alto",IF(OR(AND(AB52="Muy Baja",AD52="Catastrófico"),AND(AB52="Baja",AD52="Catastrófico"),AND(AB52="Media",AD52="Catastrófico"),AND(AB52="Alta",AD52="Catastrófico"),AND(AB52="Muy Alta",AD52="Catastrófico")),"Extremo","")))),"")</f>
        <v>Alto</v>
      </c>
      <c r="AG52" s="134" t="s">
        <v>122</v>
      </c>
      <c r="AH52" s="95" t="s">
        <v>521</v>
      </c>
      <c r="AI52" s="123" t="s">
        <v>203</v>
      </c>
      <c r="AJ52" s="135">
        <v>44562</v>
      </c>
      <c r="AK52" s="135">
        <v>44926</v>
      </c>
      <c r="AL52" s="122" t="s">
        <v>264</v>
      </c>
      <c r="AM52" s="216" t="s">
        <v>787</v>
      </c>
      <c r="AN52" s="216" t="s">
        <v>788</v>
      </c>
      <c r="AO52" s="218">
        <v>1</v>
      </c>
      <c r="AP52" s="95" t="s">
        <v>789</v>
      </c>
      <c r="AQ52" s="95" t="s">
        <v>790</v>
      </c>
      <c r="AR52" s="218">
        <v>1</v>
      </c>
      <c r="AS52" s="95"/>
      <c r="AT52" s="232" t="s">
        <v>629</v>
      </c>
      <c r="AU52" s="137" t="s">
        <v>630</v>
      </c>
      <c r="AV52" s="137" t="s">
        <v>630</v>
      </c>
      <c r="AW52" s="137" t="s">
        <v>630</v>
      </c>
      <c r="AX52" s="95"/>
    </row>
    <row r="53" spans="1:50" s="147" customFormat="1" ht="151.5" hidden="1" customHeight="1" x14ac:dyDescent="0.25">
      <c r="A53" s="372"/>
      <c r="B53" s="374"/>
      <c r="C53" s="377"/>
      <c r="D53" s="381"/>
      <c r="E53" s="340"/>
      <c r="F53" s="340"/>
      <c r="G53" s="340"/>
      <c r="H53" s="335"/>
      <c r="I53" s="340"/>
      <c r="J53" s="342"/>
      <c r="K53" s="344"/>
      <c r="L53" s="347"/>
      <c r="M53" s="350"/>
      <c r="N53" s="136"/>
      <c r="O53" s="344"/>
      <c r="P53" s="347"/>
      <c r="Q53" s="337"/>
      <c r="R53" s="126">
        <v>2</v>
      </c>
      <c r="S53" s="95"/>
      <c r="T53" s="127" t="str">
        <f t="shared" si="67"/>
        <v/>
      </c>
      <c r="U53" s="128"/>
      <c r="V53" s="128"/>
      <c r="W53" s="129"/>
      <c r="X53" s="128"/>
      <c r="Y53" s="128"/>
      <c r="Z53" s="128"/>
      <c r="AA53" s="130" t="str">
        <f>IFERROR(IF(T53="Probabilidad",(AA52-(+AA52*W53)),IF(T53="Impacto",L53,"")),"")</f>
        <v/>
      </c>
      <c r="AB53" s="131" t="str">
        <f t="shared" si="70"/>
        <v/>
      </c>
      <c r="AC53" s="132" t="str">
        <f t="shared" si="71"/>
        <v/>
      </c>
      <c r="AD53" s="131" t="str">
        <f t="shared" si="72"/>
        <v/>
      </c>
      <c r="AE53" s="132" t="str">
        <f t="shared" si="73"/>
        <v/>
      </c>
      <c r="AF53" s="133" t="str">
        <f t="shared" si="74"/>
        <v/>
      </c>
      <c r="AG53" s="134"/>
      <c r="AH53" s="95"/>
      <c r="AI53" s="123"/>
      <c r="AJ53" s="135"/>
      <c r="AK53" s="135"/>
      <c r="AL53" s="95"/>
      <c r="AM53" s="95"/>
      <c r="AN53" s="95"/>
      <c r="AO53" s="137"/>
      <c r="AP53" s="95"/>
      <c r="AQ53" s="95"/>
      <c r="AR53" s="137"/>
      <c r="AS53" s="95"/>
      <c r="AT53" s="232" t="s">
        <v>629</v>
      </c>
      <c r="AU53" s="137" t="s">
        <v>630</v>
      </c>
      <c r="AV53" s="137" t="s">
        <v>630</v>
      </c>
      <c r="AW53" s="137" t="s">
        <v>630</v>
      </c>
      <c r="AX53" s="95"/>
    </row>
    <row r="54" spans="1:50" s="147" customFormat="1" ht="151.5" hidden="1" customHeight="1" x14ac:dyDescent="0.25">
      <c r="A54" s="382"/>
      <c r="B54" s="375"/>
      <c r="C54" s="377"/>
      <c r="D54" s="381"/>
      <c r="E54" s="340"/>
      <c r="F54" s="340"/>
      <c r="G54" s="340"/>
      <c r="H54" s="335"/>
      <c r="I54" s="340"/>
      <c r="J54" s="342"/>
      <c r="K54" s="345"/>
      <c r="L54" s="348"/>
      <c r="M54" s="350"/>
      <c r="N54" s="136"/>
      <c r="O54" s="345"/>
      <c r="P54" s="348"/>
      <c r="Q54" s="338"/>
      <c r="R54" s="126">
        <v>3</v>
      </c>
      <c r="S54" s="95"/>
      <c r="T54" s="127" t="str">
        <f t="shared" si="67"/>
        <v/>
      </c>
      <c r="U54" s="128"/>
      <c r="V54" s="128"/>
      <c r="W54" s="129"/>
      <c r="X54" s="128"/>
      <c r="Y54" s="128"/>
      <c r="Z54" s="128"/>
      <c r="AA54" s="130" t="str">
        <f>IFERROR(IF(T54="Probabilidad",(AA53-(+AA53*W54)),IF(T54="Impacto",L54,"")),"")</f>
        <v/>
      </c>
      <c r="AB54" s="131" t="str">
        <f t="shared" si="70"/>
        <v/>
      </c>
      <c r="AC54" s="132" t="str">
        <f t="shared" si="71"/>
        <v/>
      </c>
      <c r="AD54" s="131" t="str">
        <f t="shared" si="72"/>
        <v/>
      </c>
      <c r="AE54" s="132" t="str">
        <f t="shared" si="73"/>
        <v/>
      </c>
      <c r="AF54" s="133" t="str">
        <f t="shared" si="74"/>
        <v/>
      </c>
      <c r="AG54" s="134"/>
      <c r="AH54" s="95"/>
      <c r="AI54" s="123"/>
      <c r="AJ54" s="135"/>
      <c r="AK54" s="135"/>
      <c r="AL54" s="95"/>
      <c r="AM54" s="95"/>
      <c r="AN54" s="95"/>
      <c r="AO54" s="137"/>
      <c r="AP54" s="95"/>
      <c r="AQ54" s="95"/>
      <c r="AR54" s="137"/>
      <c r="AS54" s="95"/>
      <c r="AT54" s="232" t="s">
        <v>629</v>
      </c>
      <c r="AU54" s="137" t="s">
        <v>630</v>
      </c>
      <c r="AV54" s="137" t="s">
        <v>630</v>
      </c>
      <c r="AW54" s="137" t="s">
        <v>630</v>
      </c>
      <c r="AX54" s="95"/>
    </row>
    <row r="55" spans="1:50" s="147" customFormat="1" ht="157.5" customHeight="1" x14ac:dyDescent="0.25">
      <c r="A55" s="380">
        <v>17</v>
      </c>
      <c r="B55" s="373" t="s">
        <v>242</v>
      </c>
      <c r="C55" s="376" t="s">
        <v>385</v>
      </c>
      <c r="D55" s="376" t="s">
        <v>249</v>
      </c>
      <c r="E55" s="339" t="s">
        <v>120</v>
      </c>
      <c r="F55" s="339" t="s">
        <v>444</v>
      </c>
      <c r="G55" s="339" t="s">
        <v>266</v>
      </c>
      <c r="H55" s="334" t="s">
        <v>265</v>
      </c>
      <c r="I55" s="339" t="s">
        <v>328</v>
      </c>
      <c r="J55" s="341">
        <v>60</v>
      </c>
      <c r="K55" s="343" t="str">
        <f>IF(J55&lt;=0,"",IF(J55&lt;=2,"Muy Baja",IF(J55&lt;=24,"Baja",IF(J55&lt;=500,"Media",IF(J55&lt;=5000,"Alta","Muy Alta")))))</f>
        <v>Media</v>
      </c>
      <c r="L55" s="346">
        <f>IF(K55="","",IF(K55="Muy Baja",0.2,IF(K55="Baja",0.4,IF(K55="Media",0.6,IF(K55="Alta",0.8,IF(K55="Muy Alta",1,))))))</f>
        <v>0.6</v>
      </c>
      <c r="M55" s="349" t="s">
        <v>486</v>
      </c>
      <c r="N55" s="125" t="str">
        <f>IF(NOT(ISERROR(MATCH(M55,'Tabla Impacto'!$B$221:$B$223,0))),'Tabla Impacto'!$F$223&amp;"Por favor no seleccionar los criterios de impacto(Afectación Económica o presupuestal y Pérdida Reputacional)",M55)</f>
        <v xml:space="preserve"> El riesgo afecta la imagen de la entidad con algunos usuarios de relevancia frente al logro de los objetivos</v>
      </c>
      <c r="O55" s="343" t="str">
        <f>IF(OR(N55='Tabla Impacto'!$C$11,N55='Tabla Impacto'!$D$11),"Leve",IF(OR(N55='Tabla Impacto'!$C$12,N55='Tabla Impacto'!$D$12),"Menor",IF(OR(N55='Tabla Impacto'!$C$13,N55='Tabla Impacto'!$D$13),"Moderado",IF(OR(N55='Tabla Impacto'!$C$14,N55='Tabla Impacto'!$D$14),"Mayor",IF(OR(N55='Tabla Impacto'!$C$15,N55='Tabla Impacto'!$D$15),"Catastrófico","")))))</f>
        <v>Moderado</v>
      </c>
      <c r="P55" s="346">
        <f>IF(O55="","",IF(O55="Leve",0.2,IF(O55="Menor",0.4,IF(O55="Moderado",0.6,IF(O55="Mayor",0.8,IF(O55="Catastrófico",1,))))))</f>
        <v>0.6</v>
      </c>
      <c r="Q55" s="336" t="str">
        <f>IF(OR(AND(K55="Muy Baja",O55="Leve"),AND(K55="Muy Baja",O55="Menor"),AND(K55="Baja",O55="Leve")),"Bajo",IF(OR(AND(K55="Muy baja",O55="Moderado"),AND(K55="Baja",O55="Menor"),AND(K55="Baja",O55="Moderado"),AND(K55="Media",O55="Leve"),AND(K55="Media",O55="Menor"),AND(K55="Media",O55="Moderado"),AND(K55="Alta",O55="Leve"),AND(K55="Alta",O55="Menor")),"Moderado",IF(OR(AND(K55="Muy Baja",O55="Mayor"),AND(K55="Baja",O55="Mayor"),AND(K55="Media",O55="Mayor"),AND(K55="Alta",O55="Moderado"),AND(K55="Alta",O55="Mayor"),AND(K55="Muy Alta",O55="Leve"),AND(K55="Muy Alta",O55="Menor"),AND(K55="Muy Alta",O55="Moderado"),AND(K55="Muy Alta",O55="Mayor")),"Alto",IF(OR(AND(K55="Muy Baja",O55="Catastrófico"),AND(K55="Baja",O55="Catastrófico"),AND(K55="Media",O55="Catastrófico"),AND(K55="Alta",O55="Catastrófico"),AND(K55="Muy Alta",O55="Catastrófico")),"Extremo",""))))</f>
        <v>Moderado</v>
      </c>
      <c r="R55" s="126">
        <v>1</v>
      </c>
      <c r="S55" s="95" t="s">
        <v>267</v>
      </c>
      <c r="T55" s="127" t="str">
        <f t="shared" si="25"/>
        <v>Probabilidad</v>
      </c>
      <c r="U55" s="128" t="s">
        <v>15</v>
      </c>
      <c r="V55" s="128" t="s">
        <v>9</v>
      </c>
      <c r="W55" s="129" t="str">
        <f t="shared" si="26"/>
        <v>30%</v>
      </c>
      <c r="X55" s="128" t="s">
        <v>19</v>
      </c>
      <c r="Y55" s="128" t="s">
        <v>22</v>
      </c>
      <c r="Z55" s="128" t="s">
        <v>110</v>
      </c>
      <c r="AA55" s="130">
        <f t="shared" si="27"/>
        <v>0.42</v>
      </c>
      <c r="AB55" s="131" t="str">
        <f t="shared" si="28"/>
        <v>Media</v>
      </c>
      <c r="AC55" s="132">
        <f t="shared" si="29"/>
        <v>0.42</v>
      </c>
      <c r="AD55" s="131" t="str">
        <f t="shared" si="30"/>
        <v>Moderado</v>
      </c>
      <c r="AE55" s="132">
        <f t="shared" si="31"/>
        <v>0.6</v>
      </c>
      <c r="AF55" s="133" t="str">
        <f t="shared" si="32"/>
        <v>Moderado</v>
      </c>
      <c r="AG55" s="134" t="s">
        <v>122</v>
      </c>
      <c r="AH55" s="95" t="s">
        <v>269</v>
      </c>
      <c r="AI55" s="137" t="s">
        <v>270</v>
      </c>
      <c r="AJ55" s="135">
        <v>44562</v>
      </c>
      <c r="AK55" s="135">
        <v>44926</v>
      </c>
      <c r="AL55" s="95" t="s">
        <v>271</v>
      </c>
      <c r="AM55" s="216" t="s">
        <v>787</v>
      </c>
      <c r="AN55" s="562" t="s">
        <v>788</v>
      </c>
      <c r="AO55" s="542">
        <v>0.68</v>
      </c>
      <c r="AP55" s="562" t="s">
        <v>791</v>
      </c>
      <c r="AQ55" s="562" t="s">
        <v>792</v>
      </c>
      <c r="AR55" s="542">
        <v>0</v>
      </c>
      <c r="AS55" s="540"/>
      <c r="AT55" s="544" t="s">
        <v>629</v>
      </c>
      <c r="AU55" s="538" t="s">
        <v>630</v>
      </c>
      <c r="AV55" s="538" t="s">
        <v>630</v>
      </c>
      <c r="AW55" s="538" t="s">
        <v>630</v>
      </c>
      <c r="AX55" s="540" t="s">
        <v>799</v>
      </c>
    </row>
    <row r="56" spans="1:50" s="147" customFormat="1" ht="189.75" customHeight="1" x14ac:dyDescent="0.25">
      <c r="A56" s="372"/>
      <c r="B56" s="374"/>
      <c r="C56" s="377"/>
      <c r="D56" s="381"/>
      <c r="E56" s="340"/>
      <c r="F56" s="340"/>
      <c r="G56" s="340"/>
      <c r="H56" s="335"/>
      <c r="I56" s="340"/>
      <c r="J56" s="342"/>
      <c r="K56" s="344"/>
      <c r="L56" s="347"/>
      <c r="M56" s="350"/>
      <c r="N56" s="136"/>
      <c r="O56" s="344"/>
      <c r="P56" s="347"/>
      <c r="Q56" s="337"/>
      <c r="R56" s="126">
        <v>2</v>
      </c>
      <c r="S56" s="95" t="s">
        <v>268</v>
      </c>
      <c r="T56" s="127" t="str">
        <f t="shared" ref="T56:T57" si="75">IF(OR(U56="Preventivo",U56="Detectivo"),"Probabilidad",IF(U56="Correctivo","Impacto",""))</f>
        <v>Probabilidad</v>
      </c>
      <c r="U56" s="128" t="s">
        <v>15</v>
      </c>
      <c r="V56" s="128" t="s">
        <v>9</v>
      </c>
      <c r="W56" s="129" t="str">
        <f t="shared" ref="W56" si="76">IF(AND(U56="Preventivo",V56="Automático"),"50%",IF(AND(U56="Preventivo",V56="Manual"),"40%",IF(AND(U56="Detectivo",V56="Automático"),"40%",IF(AND(U56="Detectivo",V56="Manual"),"30%",IF(AND(U56="Correctivo",V56="Automático"),"35%",IF(AND(U56="Correctivo",V56="Manual"),"25%",""))))))</f>
        <v>30%</v>
      </c>
      <c r="X56" s="128" t="s">
        <v>19</v>
      </c>
      <c r="Y56" s="128" t="s">
        <v>22</v>
      </c>
      <c r="Z56" s="128" t="s">
        <v>110</v>
      </c>
      <c r="AA56" s="130">
        <f>IFERROR(IF(T56="Probabilidad",(AA55-(+AA55*W56)),IF(T56="Impacto",L56,"")),"")</f>
        <v>0.29399999999999998</v>
      </c>
      <c r="AB56" s="131" t="str">
        <f t="shared" ref="AB56:AB57" si="77">IFERROR(IF(AA56="","",IF(AA56&lt;=0.2,"Muy Baja",IF(AA56&lt;=0.4,"Baja",IF(AA56&lt;=0.6,"Media",IF(AA56&lt;=0.8,"Alta","Muy Alta"))))),"")</f>
        <v>Baja</v>
      </c>
      <c r="AC56" s="132">
        <f t="shared" ref="AC56:AC57" si="78">+AA56</f>
        <v>0.29399999999999998</v>
      </c>
      <c r="AD56" s="131" t="str">
        <f t="shared" ref="AD56:AD57" si="79">IFERROR(IF(AE56="","",IF(AE56&lt;=0.2,"Leve",IF(AE56&lt;=0.4,"Menor",IF(AE56&lt;=0.6,"Moderado",IF(AE56&lt;=0.8,"Mayor","Catastrófico"))))),"")</f>
        <v>Moderado</v>
      </c>
      <c r="AE56" s="132">
        <v>0.6</v>
      </c>
      <c r="AF56" s="133" t="str">
        <f t="shared" ref="AF56:AF57" si="80">IFERROR(IF(OR(AND(AB56="Muy Baja",AD56="Leve"),AND(AB56="Muy Baja",AD56="Menor"),AND(AB56="Baja",AD56="Leve")),"Bajo",IF(OR(AND(AB56="Muy baja",AD56="Moderado"),AND(AB56="Baja",AD56="Menor"),AND(AB56="Baja",AD56="Moderado"),AND(AB56="Media",AD56="Leve"),AND(AB56="Media",AD56="Menor"),AND(AB56="Media",AD56="Moderado"),AND(AB56="Alta",AD56="Leve"),AND(AB56="Alta",AD56="Menor")),"Moderado",IF(OR(AND(AB56="Muy Baja",AD56="Mayor"),AND(AB56="Baja",AD56="Mayor"),AND(AB56="Media",AD56="Mayor"),AND(AB56="Alta",AD56="Moderado"),AND(AB56="Alta",AD56="Mayor"),AND(AB56="Muy Alta",AD56="Leve"),AND(AB56="Muy Alta",AD56="Menor"),AND(AB56="Muy Alta",AD56="Moderado"),AND(AB56="Muy Alta",AD56="Mayor")),"Alto",IF(OR(AND(AB56="Muy Baja",AD56="Catastrófico"),AND(AB56="Baja",AD56="Catastrófico"),AND(AB56="Media",AD56="Catastrófico"),AND(AB56="Alta",AD56="Catastrófico"),AND(AB56="Muy Alta",AD56="Catastrófico")),"Extremo","")))),"")</f>
        <v>Moderado</v>
      </c>
      <c r="AG56" s="134" t="s">
        <v>122</v>
      </c>
      <c r="AH56" s="95" t="s">
        <v>269</v>
      </c>
      <c r="AI56" s="137" t="s">
        <v>270</v>
      </c>
      <c r="AJ56" s="135">
        <v>44562</v>
      </c>
      <c r="AK56" s="135">
        <v>44926</v>
      </c>
      <c r="AL56" s="95" t="s">
        <v>271</v>
      </c>
      <c r="AM56" s="216" t="s">
        <v>806</v>
      </c>
      <c r="AN56" s="562" t="s">
        <v>807</v>
      </c>
      <c r="AO56" s="542">
        <v>0.33</v>
      </c>
      <c r="AP56" s="562" t="s">
        <v>791</v>
      </c>
      <c r="AQ56" s="562" t="s">
        <v>792</v>
      </c>
      <c r="AR56" s="542">
        <v>0.33</v>
      </c>
      <c r="AS56" s="540"/>
      <c r="AT56" s="544" t="s">
        <v>629</v>
      </c>
      <c r="AU56" s="538" t="s">
        <v>630</v>
      </c>
      <c r="AV56" s="538" t="s">
        <v>630</v>
      </c>
      <c r="AW56" s="538" t="s">
        <v>630</v>
      </c>
      <c r="AX56" s="562" t="s">
        <v>808</v>
      </c>
    </row>
    <row r="57" spans="1:50" s="147" customFormat="1" ht="151.5" hidden="1" customHeight="1" x14ac:dyDescent="0.25">
      <c r="A57" s="372"/>
      <c r="B57" s="375"/>
      <c r="C57" s="377"/>
      <c r="D57" s="381"/>
      <c r="E57" s="340"/>
      <c r="F57" s="340"/>
      <c r="G57" s="340"/>
      <c r="H57" s="335"/>
      <c r="I57" s="340"/>
      <c r="J57" s="342"/>
      <c r="K57" s="345"/>
      <c r="L57" s="348"/>
      <c r="M57" s="350"/>
      <c r="N57" s="136"/>
      <c r="O57" s="345"/>
      <c r="P57" s="348"/>
      <c r="Q57" s="338"/>
      <c r="R57" s="126">
        <v>3</v>
      </c>
      <c r="S57" s="95"/>
      <c r="T57" s="127" t="str">
        <f t="shared" si="75"/>
        <v/>
      </c>
      <c r="U57" s="128"/>
      <c r="V57" s="128"/>
      <c r="W57" s="129"/>
      <c r="X57" s="128"/>
      <c r="Y57" s="128"/>
      <c r="Z57" s="128"/>
      <c r="AA57" s="130" t="str">
        <f>IFERROR(IF(T57="Probabilidad",(AA56-(+AA56*W57)),IF(T57="Impacto",L57,"")),"")</f>
        <v/>
      </c>
      <c r="AB57" s="131" t="str">
        <f t="shared" si="77"/>
        <v/>
      </c>
      <c r="AC57" s="132" t="str">
        <f t="shared" si="78"/>
        <v/>
      </c>
      <c r="AD57" s="131" t="str">
        <f t="shared" si="79"/>
        <v/>
      </c>
      <c r="AE57" s="132" t="str">
        <f t="shared" ref="AE57" si="81">IFERROR(IF(T57="Impacto",(P57-(+P57*W57)),IF(T57="Probabilidad",P57,"")),"")</f>
        <v/>
      </c>
      <c r="AF57" s="133" t="str">
        <f t="shared" si="80"/>
        <v/>
      </c>
      <c r="AG57" s="134"/>
      <c r="AH57" s="95"/>
      <c r="AI57" s="123"/>
      <c r="AJ57" s="135"/>
      <c r="AK57" s="135"/>
      <c r="AL57" s="95"/>
      <c r="AM57" s="95"/>
      <c r="AN57" s="95"/>
      <c r="AO57" s="137"/>
      <c r="AP57" s="95"/>
      <c r="AQ57" s="95"/>
      <c r="AR57" s="137"/>
      <c r="AS57" s="95"/>
      <c r="AT57" s="232" t="s">
        <v>629</v>
      </c>
      <c r="AU57" s="137" t="s">
        <v>630</v>
      </c>
      <c r="AV57" s="137" t="s">
        <v>630</v>
      </c>
      <c r="AW57" s="137" t="s">
        <v>630</v>
      </c>
      <c r="AX57" s="95"/>
    </row>
    <row r="58" spans="1:50" s="147" customFormat="1" ht="151.5" customHeight="1" x14ac:dyDescent="0.25">
      <c r="A58" s="372">
        <v>18</v>
      </c>
      <c r="B58" s="373" t="s">
        <v>272</v>
      </c>
      <c r="C58" s="376" t="s">
        <v>273</v>
      </c>
      <c r="D58" s="376" t="s">
        <v>387</v>
      </c>
      <c r="E58" s="339" t="s">
        <v>120</v>
      </c>
      <c r="F58" s="339" t="s">
        <v>274</v>
      </c>
      <c r="G58" s="339" t="s">
        <v>275</v>
      </c>
      <c r="H58" s="334" t="s">
        <v>445</v>
      </c>
      <c r="I58" s="339" t="s">
        <v>117</v>
      </c>
      <c r="J58" s="341">
        <v>360</v>
      </c>
      <c r="K58" s="343" t="str">
        <f>IF(J58&lt;=0,"",IF(J58&lt;=2,"Muy Baja",IF(J58&lt;=24,"Baja",IF(J58&lt;=500,"Media",IF(J58&lt;=5000,"Alta","Muy Alta")))))</f>
        <v>Media</v>
      </c>
      <c r="L58" s="346">
        <f>IF(K58="","",IF(K58="Muy Baja",0.2,IF(K58="Baja",0.4,IF(K58="Media",0.6,IF(K58="Alta",0.8,IF(K58="Muy Alta",1,))))))</f>
        <v>0.6</v>
      </c>
      <c r="M58" s="349" t="s">
        <v>486</v>
      </c>
      <c r="N58" s="125" t="str">
        <f>IF(NOT(ISERROR(MATCH(M58,'Tabla Impacto'!$B$221:$B$223,0))),'Tabla Impacto'!$F$223&amp;"Por favor no seleccionar los criterios de impacto(Afectación Económica o presupuestal y Pérdida Reputacional)",M58)</f>
        <v xml:space="preserve"> El riesgo afecta la imagen de la entidad con algunos usuarios de relevancia frente al logro de los objetivos</v>
      </c>
      <c r="O58" s="343" t="str">
        <f>IF(OR(N58='Tabla Impacto'!$C$11,N58='Tabla Impacto'!$D$11),"Leve",IF(OR(N58='Tabla Impacto'!$C$12,N58='Tabla Impacto'!$D$12),"Menor",IF(OR(N58='Tabla Impacto'!$C$13,N58='Tabla Impacto'!$D$13),"Moderado",IF(OR(N58='Tabla Impacto'!$C$14,N58='Tabla Impacto'!$D$14),"Mayor",IF(OR(N58='Tabla Impacto'!$C$15,N58='Tabla Impacto'!$D$15),"Catastrófico","")))))</f>
        <v>Moderado</v>
      </c>
      <c r="P58" s="346">
        <f>IF(O58="","",IF(O58="Leve",0.2,IF(O58="Menor",0.4,IF(O58="Moderado",0.6,IF(O58="Mayor",0.8,IF(O58="Catastrófico",1,))))))</f>
        <v>0.6</v>
      </c>
      <c r="Q58" s="336" t="str">
        <f>IF(OR(AND(K58="Muy Baja",O58="Leve"),AND(K58="Muy Baja",O58="Menor"),AND(K58="Baja",O58="Leve")),"Bajo",IF(OR(AND(K58="Muy baja",O58="Moderado"),AND(K58="Baja",O58="Menor"),AND(K58="Baja",O58="Moderado"),AND(K58="Media",O58="Leve"),AND(K58="Media",O58="Menor"),AND(K58="Media",O58="Moderado"),AND(K58="Alta",O58="Leve"),AND(K58="Alta",O58="Menor")),"Moderado",IF(OR(AND(K58="Muy Baja",O58="Mayor"),AND(K58="Baja",O58="Mayor"),AND(K58="Media",O58="Mayor"),AND(K58="Alta",O58="Moderado"),AND(K58="Alta",O58="Mayor"),AND(K58="Muy Alta",O58="Leve"),AND(K58="Muy Alta",O58="Menor"),AND(K58="Muy Alta",O58="Moderado"),AND(K58="Muy Alta",O58="Mayor")),"Alto",IF(OR(AND(K58="Muy Baja",O58="Catastrófico"),AND(K58="Baja",O58="Catastrófico"),AND(K58="Media",O58="Catastrófico"),AND(K58="Alta",O58="Catastrófico"),AND(K58="Muy Alta",O58="Catastrófico")),"Extremo",""))))</f>
        <v>Moderado</v>
      </c>
      <c r="R58" s="126">
        <v>1</v>
      </c>
      <c r="S58" s="95" t="s">
        <v>276</v>
      </c>
      <c r="T58" s="127" t="str">
        <f t="shared" si="25"/>
        <v>Probabilidad</v>
      </c>
      <c r="U58" s="128" t="s">
        <v>15</v>
      </c>
      <c r="V58" s="128" t="s">
        <v>9</v>
      </c>
      <c r="W58" s="129" t="str">
        <f t="shared" si="26"/>
        <v>30%</v>
      </c>
      <c r="X58" s="128" t="s">
        <v>20</v>
      </c>
      <c r="Y58" s="128" t="s">
        <v>22</v>
      </c>
      <c r="Z58" s="128" t="s">
        <v>110</v>
      </c>
      <c r="AA58" s="130">
        <f t="shared" si="27"/>
        <v>0.42</v>
      </c>
      <c r="AB58" s="131" t="str">
        <f t="shared" si="28"/>
        <v>Media</v>
      </c>
      <c r="AC58" s="132">
        <f t="shared" si="29"/>
        <v>0.42</v>
      </c>
      <c r="AD58" s="131" t="str">
        <f t="shared" si="30"/>
        <v>Moderado</v>
      </c>
      <c r="AE58" s="132">
        <f t="shared" si="31"/>
        <v>0.6</v>
      </c>
      <c r="AF58" s="133" t="str">
        <f t="shared" si="32"/>
        <v>Moderado</v>
      </c>
      <c r="AG58" s="134" t="s">
        <v>122</v>
      </c>
      <c r="AH58" s="95" t="s">
        <v>386</v>
      </c>
      <c r="AI58" s="123" t="s">
        <v>198</v>
      </c>
      <c r="AJ58" s="135">
        <v>44562</v>
      </c>
      <c r="AK58" s="135">
        <v>44926</v>
      </c>
      <c r="AL58" s="95" t="s">
        <v>277</v>
      </c>
      <c r="AM58" s="95" t="s">
        <v>863</v>
      </c>
      <c r="AN58" s="95" t="s">
        <v>641</v>
      </c>
      <c r="AO58" s="218">
        <v>1</v>
      </c>
      <c r="AP58" s="95" t="s">
        <v>642</v>
      </c>
      <c r="AQ58" s="95" t="s">
        <v>800</v>
      </c>
      <c r="AR58" s="218">
        <v>1</v>
      </c>
      <c r="AS58" s="95"/>
      <c r="AT58" s="232" t="s">
        <v>629</v>
      </c>
      <c r="AU58" s="137" t="s">
        <v>630</v>
      </c>
      <c r="AV58" s="137" t="s">
        <v>630</v>
      </c>
      <c r="AW58" s="137" t="s">
        <v>630</v>
      </c>
      <c r="AX58" s="122" t="s">
        <v>867</v>
      </c>
    </row>
    <row r="59" spans="1:50" s="147" customFormat="1" ht="151.5" hidden="1" customHeight="1" x14ac:dyDescent="0.25">
      <c r="A59" s="372"/>
      <c r="B59" s="374"/>
      <c r="C59" s="381"/>
      <c r="D59" s="377"/>
      <c r="E59" s="340"/>
      <c r="F59" s="340"/>
      <c r="G59" s="340"/>
      <c r="H59" s="335"/>
      <c r="I59" s="340"/>
      <c r="J59" s="342"/>
      <c r="K59" s="344"/>
      <c r="L59" s="347"/>
      <c r="M59" s="350"/>
      <c r="N59" s="136"/>
      <c r="O59" s="344"/>
      <c r="P59" s="347"/>
      <c r="Q59" s="337"/>
      <c r="R59" s="126">
        <v>2</v>
      </c>
      <c r="S59" s="95"/>
      <c r="T59" s="127" t="str">
        <f t="shared" ref="T59:T60" si="82">IF(OR(U59="Preventivo",U59="Detectivo"),"Probabilidad",IF(U59="Correctivo","Impacto",""))</f>
        <v/>
      </c>
      <c r="U59" s="128"/>
      <c r="V59" s="128"/>
      <c r="W59" s="129"/>
      <c r="X59" s="128"/>
      <c r="Y59" s="128"/>
      <c r="Z59" s="128"/>
      <c r="AA59" s="130" t="str">
        <f>IFERROR(IF(T59="Probabilidad",(AA58-(+AA58*W59)),IF(T59="Impacto",L59,"")),"")</f>
        <v/>
      </c>
      <c r="AB59" s="131" t="str">
        <f t="shared" ref="AB59:AB60" si="83">IFERROR(IF(AA59="","",IF(AA59&lt;=0.2,"Muy Baja",IF(AA59&lt;=0.4,"Baja",IF(AA59&lt;=0.6,"Media",IF(AA59&lt;=0.8,"Alta","Muy Alta"))))),"")</f>
        <v/>
      </c>
      <c r="AC59" s="132" t="str">
        <f t="shared" ref="AC59:AC60" si="84">+AA59</f>
        <v/>
      </c>
      <c r="AD59" s="131" t="str">
        <f t="shared" ref="AD59:AD60" si="85">IFERROR(IF(AE59="","",IF(AE59&lt;=0.2,"Leve",IF(AE59&lt;=0.4,"Menor",IF(AE59&lt;=0.6,"Moderado",IF(AE59&lt;=0.8,"Mayor","Catastrófico"))))),"")</f>
        <v/>
      </c>
      <c r="AE59" s="132" t="str">
        <f t="shared" ref="AE59:AE60" si="86">IFERROR(IF(T59="Impacto",(P59-(+P59*W59)),IF(T59="Probabilidad",P59,"")),"")</f>
        <v/>
      </c>
      <c r="AF59" s="133" t="str">
        <f t="shared" ref="AF59:AF60" si="87">IFERROR(IF(OR(AND(AB59="Muy Baja",AD59="Leve"),AND(AB59="Muy Baja",AD59="Menor"),AND(AB59="Baja",AD59="Leve")),"Bajo",IF(OR(AND(AB59="Muy baja",AD59="Moderado"),AND(AB59="Baja",AD59="Menor"),AND(AB59="Baja",AD59="Moderado"),AND(AB59="Media",AD59="Leve"),AND(AB59="Media",AD59="Menor"),AND(AB59="Media",AD59="Moderado"),AND(AB59="Alta",AD59="Leve"),AND(AB59="Alta",AD59="Menor")),"Moderado",IF(OR(AND(AB59="Muy Baja",AD59="Mayor"),AND(AB59="Baja",AD59="Mayor"),AND(AB59="Media",AD59="Mayor"),AND(AB59="Alta",AD59="Moderado"),AND(AB59="Alta",AD59="Mayor"),AND(AB59="Muy Alta",AD59="Leve"),AND(AB59="Muy Alta",AD59="Menor"),AND(AB59="Muy Alta",AD59="Moderado"),AND(AB59="Muy Alta",AD59="Mayor")),"Alto",IF(OR(AND(AB59="Muy Baja",AD59="Catastrófico"),AND(AB59="Baja",AD59="Catastrófico"),AND(AB59="Media",AD59="Catastrófico"),AND(AB59="Alta",AD59="Catastrófico"),AND(AB59="Muy Alta",AD59="Catastrófico")),"Extremo","")))),"")</f>
        <v/>
      </c>
      <c r="AG59" s="134"/>
      <c r="AH59" s="95"/>
      <c r="AI59" s="123"/>
      <c r="AJ59" s="135"/>
      <c r="AK59" s="135"/>
      <c r="AL59" s="95"/>
      <c r="AM59" s="95"/>
      <c r="AN59" s="95"/>
      <c r="AO59" s="137"/>
      <c r="AP59" s="95"/>
      <c r="AQ59" s="95"/>
      <c r="AR59" s="137"/>
      <c r="AS59" s="95"/>
      <c r="AT59" s="232" t="s">
        <v>629</v>
      </c>
      <c r="AU59" s="137" t="s">
        <v>630</v>
      </c>
      <c r="AV59" s="137" t="s">
        <v>630</v>
      </c>
      <c r="AW59" s="137" t="s">
        <v>630</v>
      </c>
      <c r="AX59" s="95"/>
    </row>
    <row r="60" spans="1:50" s="147" customFormat="1" ht="151.5" hidden="1" customHeight="1" x14ac:dyDescent="0.25">
      <c r="A60" s="372"/>
      <c r="B60" s="375"/>
      <c r="C60" s="381"/>
      <c r="D60" s="377"/>
      <c r="E60" s="340"/>
      <c r="F60" s="340"/>
      <c r="G60" s="340"/>
      <c r="H60" s="335"/>
      <c r="I60" s="340"/>
      <c r="J60" s="342"/>
      <c r="K60" s="345"/>
      <c r="L60" s="348"/>
      <c r="M60" s="393"/>
      <c r="N60" s="136"/>
      <c r="O60" s="345"/>
      <c r="P60" s="348"/>
      <c r="Q60" s="338"/>
      <c r="R60" s="126">
        <v>3</v>
      </c>
      <c r="S60" s="95"/>
      <c r="T60" s="127" t="str">
        <f t="shared" si="82"/>
        <v/>
      </c>
      <c r="U60" s="128"/>
      <c r="V60" s="128"/>
      <c r="W60" s="129"/>
      <c r="X60" s="128"/>
      <c r="Y60" s="128"/>
      <c r="Z60" s="128"/>
      <c r="AA60" s="130" t="str">
        <f>IFERROR(IF(T60="Probabilidad",(AA59-(+AA59*W60)),IF(T60="Impacto",L60,"")),"")</f>
        <v/>
      </c>
      <c r="AB60" s="131" t="str">
        <f t="shared" si="83"/>
        <v/>
      </c>
      <c r="AC60" s="132" t="str">
        <f t="shared" si="84"/>
        <v/>
      </c>
      <c r="AD60" s="131" t="str">
        <f t="shared" si="85"/>
        <v/>
      </c>
      <c r="AE60" s="132" t="str">
        <f t="shared" si="86"/>
        <v/>
      </c>
      <c r="AF60" s="133" t="str">
        <f t="shared" si="87"/>
        <v/>
      </c>
      <c r="AG60" s="134"/>
      <c r="AH60" s="95"/>
      <c r="AI60" s="123"/>
      <c r="AJ60" s="135"/>
      <c r="AK60" s="135"/>
      <c r="AL60" s="95"/>
      <c r="AM60" s="95"/>
      <c r="AN60" s="95"/>
      <c r="AO60" s="137"/>
      <c r="AP60" s="95"/>
      <c r="AQ60" s="95"/>
      <c r="AR60" s="137"/>
      <c r="AS60" s="95"/>
      <c r="AT60" s="232" t="s">
        <v>629</v>
      </c>
      <c r="AU60" s="137" t="s">
        <v>630</v>
      </c>
      <c r="AV60" s="137" t="s">
        <v>630</v>
      </c>
      <c r="AW60" s="137" t="s">
        <v>630</v>
      </c>
      <c r="AX60" s="95"/>
    </row>
    <row r="61" spans="1:50" s="147" customFormat="1" ht="185.25" customHeight="1" x14ac:dyDescent="0.25">
      <c r="A61" s="372">
        <v>19</v>
      </c>
      <c r="B61" s="373" t="s">
        <v>272</v>
      </c>
      <c r="C61" s="376" t="s">
        <v>273</v>
      </c>
      <c r="D61" s="376" t="s">
        <v>387</v>
      </c>
      <c r="E61" s="339" t="s">
        <v>120</v>
      </c>
      <c r="F61" s="387" t="s">
        <v>278</v>
      </c>
      <c r="G61" s="339" t="s">
        <v>279</v>
      </c>
      <c r="H61" s="334" t="s">
        <v>580</v>
      </c>
      <c r="I61" s="339" t="s">
        <v>115</v>
      </c>
      <c r="J61" s="341">
        <v>246</v>
      </c>
      <c r="K61" s="343" t="str">
        <f>IF(J61&lt;=0,"",IF(J61&lt;=2,"Muy Baja",IF(J61&lt;=24,"Baja",IF(J61&lt;=500,"Media",IF(J61&lt;=5000,"Alta","Muy Alta")))))</f>
        <v>Media</v>
      </c>
      <c r="L61" s="346">
        <f>IF(K61="","",IF(K61="Muy Baja",0.2,IF(K61="Baja",0.4,IF(K61="Media",0.6,IF(K61="Alta",0.8,IF(K61="Muy Alta",1,))))))</f>
        <v>0.6</v>
      </c>
      <c r="M61" s="349" t="s">
        <v>493</v>
      </c>
      <c r="N61" s="125" t="str">
        <f>IF(NOT(ISERROR(MATCH(M61,'Tabla Impacto'!$B$221:$B$223,0))),'Tabla Impacto'!$F$223&amp;"Por favor no seleccionar los criterios de impacto(Afectación Económica o presupuestal y Pérdida Reputacional)",M61)</f>
        <v xml:space="preserve"> El riesgo afecta la imagen de la entidad con efecto publicitario sostenido a nivel de sector administrativo, nivel departamental o municipal</v>
      </c>
      <c r="O61" s="343" t="str">
        <f>IF(OR(N61='Tabla Impacto'!$C$11,N61='Tabla Impacto'!$D$11),"Leve",IF(OR(N61='Tabla Impacto'!$C$12,N61='Tabla Impacto'!$D$12),"Menor",IF(OR(N61='Tabla Impacto'!$C$13,N61='Tabla Impacto'!$D$13),"Moderado",IF(OR(N61='Tabla Impacto'!$C$14,N61='Tabla Impacto'!$D$14),"Mayor",IF(OR(N61='Tabla Impacto'!$C$15,N61='Tabla Impacto'!$D$15),"Catastrófico","")))))</f>
        <v>Mayor</v>
      </c>
      <c r="P61" s="346">
        <f>IF(O61="","",IF(O61="Leve",0.2,IF(O61="Menor",0.4,IF(O61="Moderado",0.6,IF(O61="Mayor",0.8,IF(O61="Catastrófico",1,))))))</f>
        <v>0.8</v>
      </c>
      <c r="Q61" s="336" t="str">
        <f>IF(OR(AND(K61="Muy Baja",O61="Leve"),AND(K61="Muy Baja",O61="Menor"),AND(K61="Baja",O61="Leve")),"Bajo",IF(OR(AND(K61="Muy baja",O61="Moderado"),AND(K61="Baja",O61="Menor"),AND(K61="Baja",O61="Moderado"),AND(K61="Media",O61="Leve"),AND(K61="Media",O61="Menor"),AND(K61="Media",O61="Moderado"),AND(K61="Alta",O61="Leve"),AND(K61="Alta",O61="Menor")),"Moderado",IF(OR(AND(K61="Muy Baja",O61="Mayor"),AND(K61="Baja",O61="Mayor"),AND(K61="Media",O61="Mayor"),AND(K61="Alta",O61="Moderado"),AND(K61="Alta",O61="Mayor"),AND(K61="Muy Alta",O61="Leve"),AND(K61="Muy Alta",O61="Menor"),AND(K61="Muy Alta",O61="Moderado"),AND(K61="Muy Alta",O61="Mayor")),"Alto",IF(OR(AND(K61="Muy Baja",O61="Catastrófico"),AND(K61="Baja",O61="Catastrófico"),AND(K61="Media",O61="Catastrófico"),AND(K61="Alta",O61="Catastrófico"),AND(K61="Muy Alta",O61="Catastrófico")),"Extremo",""))))</f>
        <v>Alto</v>
      </c>
      <c r="R61" s="126">
        <v>1</v>
      </c>
      <c r="S61" s="95" t="s">
        <v>546</v>
      </c>
      <c r="T61" s="127" t="str">
        <f t="shared" si="25"/>
        <v>Probabilidad</v>
      </c>
      <c r="U61" s="128" t="s">
        <v>14</v>
      </c>
      <c r="V61" s="128" t="s">
        <v>9</v>
      </c>
      <c r="W61" s="129" t="str">
        <f t="shared" si="26"/>
        <v>40%</v>
      </c>
      <c r="X61" s="128" t="s">
        <v>20</v>
      </c>
      <c r="Y61" s="128" t="s">
        <v>22</v>
      </c>
      <c r="Z61" s="128" t="s">
        <v>110</v>
      </c>
      <c r="AA61" s="130">
        <f t="shared" si="27"/>
        <v>0.36</v>
      </c>
      <c r="AB61" s="131" t="str">
        <f t="shared" si="28"/>
        <v>Baja</v>
      </c>
      <c r="AC61" s="132">
        <f t="shared" si="29"/>
        <v>0.36</v>
      </c>
      <c r="AD61" s="131" t="str">
        <f t="shared" si="30"/>
        <v>Mayor</v>
      </c>
      <c r="AE61" s="132">
        <f t="shared" si="31"/>
        <v>0.8</v>
      </c>
      <c r="AF61" s="133" t="str">
        <f t="shared" si="32"/>
        <v>Alto</v>
      </c>
      <c r="AG61" s="134" t="s">
        <v>122</v>
      </c>
      <c r="AH61" s="122" t="s">
        <v>372</v>
      </c>
      <c r="AI61" s="117" t="s">
        <v>212</v>
      </c>
      <c r="AJ61" s="124">
        <v>44562</v>
      </c>
      <c r="AK61" s="139" t="s">
        <v>373</v>
      </c>
      <c r="AL61" s="95" t="s">
        <v>280</v>
      </c>
      <c r="AM61" s="221" t="s">
        <v>809</v>
      </c>
      <c r="AN61" s="222" t="s">
        <v>639</v>
      </c>
      <c r="AO61" s="218">
        <v>1</v>
      </c>
      <c r="AP61" s="122" t="s">
        <v>372</v>
      </c>
      <c r="AQ61" s="95" t="s">
        <v>640</v>
      </c>
      <c r="AR61" s="218">
        <v>0.8</v>
      </c>
      <c r="AS61" s="95"/>
      <c r="AT61" s="232" t="s">
        <v>629</v>
      </c>
      <c r="AU61" s="137" t="s">
        <v>630</v>
      </c>
      <c r="AV61" s="137" t="s">
        <v>630</v>
      </c>
      <c r="AW61" s="137" t="s">
        <v>630</v>
      </c>
      <c r="AX61" s="122" t="s">
        <v>868</v>
      </c>
    </row>
    <row r="62" spans="1:50" s="147" customFormat="1" ht="151.5" hidden="1" customHeight="1" x14ac:dyDescent="0.25">
      <c r="A62" s="372"/>
      <c r="B62" s="374"/>
      <c r="C62" s="381"/>
      <c r="D62" s="377"/>
      <c r="E62" s="340"/>
      <c r="F62" s="340"/>
      <c r="G62" s="340"/>
      <c r="H62" s="335"/>
      <c r="I62" s="340"/>
      <c r="J62" s="342"/>
      <c r="K62" s="344"/>
      <c r="L62" s="347"/>
      <c r="M62" s="350"/>
      <c r="N62" s="136"/>
      <c r="O62" s="344"/>
      <c r="P62" s="347"/>
      <c r="Q62" s="337"/>
      <c r="R62" s="126">
        <v>2</v>
      </c>
      <c r="S62" s="95"/>
      <c r="T62" s="127" t="str">
        <f t="shared" ref="T62:T63" si="88">IF(OR(U62="Preventivo",U62="Detectivo"),"Probabilidad",IF(U62="Correctivo","Impacto",""))</f>
        <v/>
      </c>
      <c r="U62" s="128"/>
      <c r="V62" s="128"/>
      <c r="W62" s="129"/>
      <c r="X62" s="128"/>
      <c r="Y62" s="128"/>
      <c r="Z62" s="128"/>
      <c r="AA62" s="130" t="str">
        <f>IFERROR(IF(T62="Probabilidad",(AA61-(+AA61*W62)),IF(T62="Impacto",L62,"")),"")</f>
        <v/>
      </c>
      <c r="AB62" s="131" t="str">
        <f t="shared" ref="AB62:AB63" si="89">IFERROR(IF(AA62="","",IF(AA62&lt;=0.2,"Muy Baja",IF(AA62&lt;=0.4,"Baja",IF(AA62&lt;=0.6,"Media",IF(AA62&lt;=0.8,"Alta","Muy Alta"))))),"")</f>
        <v/>
      </c>
      <c r="AC62" s="132" t="str">
        <f t="shared" ref="AC62:AC63" si="90">+AA62</f>
        <v/>
      </c>
      <c r="AD62" s="131" t="str">
        <f t="shared" ref="AD62:AD63" si="91">IFERROR(IF(AE62="","",IF(AE62&lt;=0.2,"Leve",IF(AE62&lt;=0.4,"Menor",IF(AE62&lt;=0.6,"Moderado",IF(AE62&lt;=0.8,"Mayor","Catastrófico"))))),"")</f>
        <v/>
      </c>
      <c r="AE62" s="132" t="str">
        <f t="shared" ref="AE62:AE63" si="92">IFERROR(IF(T62="Impacto",(P62-(+P62*W62)),IF(T62="Probabilidad",P62,"")),"")</f>
        <v/>
      </c>
      <c r="AF62" s="133" t="str">
        <f t="shared" ref="AF62:AF63" si="93">IFERROR(IF(OR(AND(AB62="Muy Baja",AD62="Leve"),AND(AB62="Muy Baja",AD62="Menor"),AND(AB62="Baja",AD62="Leve")),"Bajo",IF(OR(AND(AB62="Muy baja",AD62="Moderado"),AND(AB62="Baja",AD62="Menor"),AND(AB62="Baja",AD62="Moderado"),AND(AB62="Media",AD62="Leve"),AND(AB62="Media",AD62="Menor"),AND(AB62="Media",AD62="Moderado"),AND(AB62="Alta",AD62="Leve"),AND(AB62="Alta",AD62="Menor")),"Moderado",IF(OR(AND(AB62="Muy Baja",AD62="Mayor"),AND(AB62="Baja",AD62="Mayor"),AND(AB62="Media",AD62="Mayor"),AND(AB62="Alta",AD62="Moderado"),AND(AB62="Alta",AD62="Mayor"),AND(AB62="Muy Alta",AD62="Leve"),AND(AB62="Muy Alta",AD62="Menor"),AND(AB62="Muy Alta",AD62="Moderado"),AND(AB62="Muy Alta",AD62="Mayor")),"Alto",IF(OR(AND(AB62="Muy Baja",AD62="Catastrófico"),AND(AB62="Baja",AD62="Catastrófico"),AND(AB62="Media",AD62="Catastrófico"),AND(AB62="Alta",AD62="Catastrófico"),AND(AB62="Muy Alta",AD62="Catastrófico")),"Extremo","")))),"")</f>
        <v/>
      </c>
      <c r="AG62" s="134"/>
      <c r="AH62" s="95"/>
      <c r="AI62" s="123"/>
      <c r="AJ62" s="135"/>
      <c r="AK62" s="135"/>
      <c r="AL62" s="95"/>
      <c r="AM62" s="95"/>
      <c r="AN62" s="95"/>
      <c r="AO62" s="137"/>
      <c r="AP62" s="95"/>
      <c r="AQ62" s="95"/>
      <c r="AR62" s="137"/>
      <c r="AS62" s="95"/>
      <c r="AT62" s="232" t="s">
        <v>629</v>
      </c>
      <c r="AU62" s="137" t="s">
        <v>630</v>
      </c>
      <c r="AV62" s="137" t="s">
        <v>630</v>
      </c>
      <c r="AW62" s="137" t="s">
        <v>630</v>
      </c>
      <c r="AX62" s="95"/>
    </row>
    <row r="63" spans="1:50" s="147" customFormat="1" ht="151.5" hidden="1" customHeight="1" x14ac:dyDescent="0.25">
      <c r="A63" s="372"/>
      <c r="B63" s="375"/>
      <c r="C63" s="381"/>
      <c r="D63" s="377"/>
      <c r="E63" s="340"/>
      <c r="F63" s="340"/>
      <c r="G63" s="340"/>
      <c r="H63" s="335"/>
      <c r="I63" s="340"/>
      <c r="J63" s="342"/>
      <c r="K63" s="345"/>
      <c r="L63" s="348"/>
      <c r="M63" s="350"/>
      <c r="N63" s="136"/>
      <c r="O63" s="345"/>
      <c r="P63" s="348"/>
      <c r="Q63" s="338"/>
      <c r="R63" s="126">
        <v>3</v>
      </c>
      <c r="S63" s="95"/>
      <c r="T63" s="127" t="str">
        <f t="shared" si="88"/>
        <v/>
      </c>
      <c r="U63" s="128"/>
      <c r="V63" s="128"/>
      <c r="W63" s="129"/>
      <c r="X63" s="128"/>
      <c r="Y63" s="128"/>
      <c r="Z63" s="128"/>
      <c r="AA63" s="130" t="str">
        <f>IFERROR(IF(T63="Probabilidad",(AA62-(+AA62*W63)),IF(T63="Impacto",L63,"")),"")</f>
        <v/>
      </c>
      <c r="AB63" s="131" t="str">
        <f t="shared" si="89"/>
        <v/>
      </c>
      <c r="AC63" s="132" t="str">
        <f t="shared" si="90"/>
        <v/>
      </c>
      <c r="AD63" s="131" t="str">
        <f t="shared" si="91"/>
        <v/>
      </c>
      <c r="AE63" s="132" t="str">
        <f t="shared" si="92"/>
        <v/>
      </c>
      <c r="AF63" s="133" t="str">
        <f t="shared" si="93"/>
        <v/>
      </c>
      <c r="AG63" s="134"/>
      <c r="AH63" s="95"/>
      <c r="AI63" s="123"/>
      <c r="AJ63" s="135"/>
      <c r="AK63" s="135"/>
      <c r="AL63" s="95"/>
      <c r="AM63" s="95"/>
      <c r="AN63" s="95"/>
      <c r="AO63" s="137"/>
      <c r="AP63" s="95"/>
      <c r="AQ63" s="95"/>
      <c r="AR63" s="137"/>
      <c r="AS63" s="95"/>
      <c r="AT63" s="232" t="s">
        <v>629</v>
      </c>
      <c r="AU63" s="137" t="s">
        <v>630</v>
      </c>
      <c r="AV63" s="137" t="s">
        <v>630</v>
      </c>
      <c r="AW63" s="137" t="s">
        <v>630</v>
      </c>
      <c r="AX63" s="95"/>
    </row>
    <row r="64" spans="1:50" s="147" customFormat="1" ht="151.5" customHeight="1" x14ac:dyDescent="0.25">
      <c r="A64" s="372">
        <v>20</v>
      </c>
      <c r="B64" s="373" t="s">
        <v>281</v>
      </c>
      <c r="C64" s="376" t="s">
        <v>356</v>
      </c>
      <c r="D64" s="376" t="s">
        <v>388</v>
      </c>
      <c r="E64" s="339" t="s">
        <v>120</v>
      </c>
      <c r="F64" s="387" t="s">
        <v>529</v>
      </c>
      <c r="G64" s="387" t="s">
        <v>530</v>
      </c>
      <c r="H64" s="334" t="s">
        <v>528</v>
      </c>
      <c r="I64" s="339" t="s">
        <v>330</v>
      </c>
      <c r="J64" s="341">
        <v>4</v>
      </c>
      <c r="K64" s="343" t="str">
        <f>IF(J64&lt;=0,"",IF(J64&lt;=2,"Muy Baja",IF(J64&lt;=24,"Baja",IF(J64&lt;=500,"Media",IF(J64&lt;=5000,"Alta","Muy Alta")))))</f>
        <v>Baja</v>
      </c>
      <c r="L64" s="346">
        <f>IF(K64="","",IF(K64="Muy Baja",0.2,IF(K64="Baja",0.4,IF(K64="Media",0.6,IF(K64="Alta",0.8,IF(K64="Muy Alta",1,))))))</f>
        <v>0.4</v>
      </c>
      <c r="M64" s="349" t="s">
        <v>482</v>
      </c>
      <c r="N64" s="125" t="str">
        <f>IF(NOT(ISERROR(MATCH(M64,'Tabla Impacto'!$B$221:$B$223,0))),'Tabla Impacto'!$F$223&amp;"Por favor no seleccionar los criterios de impacto(Afectación Económica o presupuestal y Pérdida Reputacional)",M64)</f>
        <v xml:space="preserve"> Afectación menor a 10 SMLMV .</v>
      </c>
      <c r="O64" s="343" t="str">
        <f>IF(OR(N64='Tabla Impacto'!$C$11,N64='Tabla Impacto'!$D$11),"Leve",IF(OR(N64='Tabla Impacto'!$C$12,N64='Tabla Impacto'!$D$12),"Menor",IF(OR(N64='Tabla Impacto'!$C$13,N64='Tabla Impacto'!$D$13),"Moderado",IF(OR(N64='Tabla Impacto'!$C$14,N64='Tabla Impacto'!$D$14),"Mayor",IF(OR(N64='Tabla Impacto'!$C$15,N64='Tabla Impacto'!$D$15),"Catastrófico","")))))</f>
        <v>Leve</v>
      </c>
      <c r="P64" s="346">
        <f>IF(O64="","",IF(O64="Leve",0.2,IF(O64="Menor",0.4,IF(O64="Moderado",0.6,IF(O64="Mayor",0.8,IF(O64="Catastrófico",1,))))))</f>
        <v>0.2</v>
      </c>
      <c r="Q64" s="336" t="str">
        <f>IF(OR(AND(K64="Muy Baja",O64="Leve"),AND(K64="Muy Baja",O64="Menor"),AND(K64="Baja",O64="Leve")),"Bajo",IF(OR(AND(K64="Muy baja",O64="Moderado"),AND(K64="Baja",O64="Menor"),AND(K64="Baja",O64="Moderado"),AND(K64="Media",O64="Leve"),AND(K64="Media",O64="Menor"),AND(K64="Media",O64="Moderado"),AND(K64="Alta",O64="Leve"),AND(K64="Alta",O64="Menor")),"Moderado",IF(OR(AND(K64="Muy Baja",O64="Mayor"),AND(K64="Baja",O64="Mayor"),AND(K64="Media",O64="Mayor"),AND(K64="Alta",O64="Moderado"),AND(K64="Alta",O64="Mayor"),AND(K64="Muy Alta",O64="Leve"),AND(K64="Muy Alta",O64="Menor"),AND(K64="Muy Alta",O64="Moderado"),AND(K64="Muy Alta",O64="Mayor")),"Alto",IF(OR(AND(K64="Muy Baja",O64="Catastrófico"),AND(K64="Baja",O64="Catastrófico"),AND(K64="Media",O64="Catastrófico"),AND(K64="Alta",O64="Catastrófico"),AND(K64="Muy Alta",O64="Catastrófico")),"Extremo",""))))</f>
        <v>Bajo</v>
      </c>
      <c r="R64" s="126">
        <v>1</v>
      </c>
      <c r="S64" s="95" t="s">
        <v>531</v>
      </c>
      <c r="T64" s="127" t="str">
        <f t="shared" si="25"/>
        <v>Probabilidad</v>
      </c>
      <c r="U64" s="128" t="s">
        <v>14</v>
      </c>
      <c r="V64" s="128" t="s">
        <v>9</v>
      </c>
      <c r="W64" s="129" t="str">
        <f t="shared" si="26"/>
        <v>40%</v>
      </c>
      <c r="X64" s="128" t="s">
        <v>19</v>
      </c>
      <c r="Y64" s="128" t="s">
        <v>22</v>
      </c>
      <c r="Z64" s="128" t="s">
        <v>110</v>
      </c>
      <c r="AA64" s="130">
        <f t="shared" si="27"/>
        <v>0.24</v>
      </c>
      <c r="AB64" s="131" t="str">
        <f t="shared" si="28"/>
        <v>Baja</v>
      </c>
      <c r="AC64" s="132">
        <f t="shared" si="29"/>
        <v>0.24</v>
      </c>
      <c r="AD64" s="131" t="str">
        <f t="shared" si="30"/>
        <v>Leve</v>
      </c>
      <c r="AE64" s="132">
        <f t="shared" si="31"/>
        <v>0.2</v>
      </c>
      <c r="AF64" s="133" t="str">
        <f t="shared" si="32"/>
        <v>Bajo</v>
      </c>
      <c r="AG64" s="134" t="s">
        <v>122</v>
      </c>
      <c r="AH64" s="95" t="s">
        <v>532</v>
      </c>
      <c r="AI64" s="123" t="s">
        <v>212</v>
      </c>
      <c r="AJ64" s="135" t="s">
        <v>286</v>
      </c>
      <c r="AK64" s="135" t="s">
        <v>287</v>
      </c>
      <c r="AL64" s="143" t="s">
        <v>541</v>
      </c>
      <c r="AM64" s="95" t="s">
        <v>810</v>
      </c>
      <c r="AN64" s="95" t="s">
        <v>811</v>
      </c>
      <c r="AO64" s="218">
        <v>1</v>
      </c>
      <c r="AP64" s="95" t="s">
        <v>689</v>
      </c>
      <c r="AQ64" s="95" t="s">
        <v>801</v>
      </c>
      <c r="AR64" s="218">
        <v>1</v>
      </c>
      <c r="AS64" s="95"/>
      <c r="AT64" s="232" t="s">
        <v>629</v>
      </c>
      <c r="AU64" s="137" t="s">
        <v>630</v>
      </c>
      <c r="AV64" s="137" t="s">
        <v>630</v>
      </c>
      <c r="AW64" s="137" t="s">
        <v>630</v>
      </c>
      <c r="AX64" s="95"/>
    </row>
    <row r="65" spans="1:50" s="147" customFormat="1" ht="151.5" hidden="1" customHeight="1" x14ac:dyDescent="0.25">
      <c r="A65" s="372"/>
      <c r="B65" s="374"/>
      <c r="C65" s="377"/>
      <c r="D65" s="377"/>
      <c r="E65" s="340"/>
      <c r="F65" s="340"/>
      <c r="G65" s="340"/>
      <c r="H65" s="335"/>
      <c r="I65" s="340"/>
      <c r="J65" s="342"/>
      <c r="K65" s="344"/>
      <c r="L65" s="347"/>
      <c r="M65" s="350"/>
      <c r="N65" s="136"/>
      <c r="O65" s="344"/>
      <c r="P65" s="347"/>
      <c r="Q65" s="337"/>
      <c r="R65" s="126">
        <v>2</v>
      </c>
      <c r="S65" s="95"/>
      <c r="T65" s="127"/>
      <c r="U65" s="128"/>
      <c r="V65" s="128"/>
      <c r="W65" s="129"/>
      <c r="X65" s="128"/>
      <c r="Y65" s="128"/>
      <c r="Z65" s="128"/>
      <c r="AA65" s="130"/>
      <c r="AB65" s="131"/>
      <c r="AC65" s="132"/>
      <c r="AD65" s="131"/>
      <c r="AE65" s="132"/>
      <c r="AF65" s="133"/>
      <c r="AG65" s="134"/>
      <c r="AH65" s="95"/>
      <c r="AI65" s="123"/>
      <c r="AJ65" s="135"/>
      <c r="AK65" s="135"/>
      <c r="AL65" s="143"/>
      <c r="AM65" s="95"/>
      <c r="AN65" s="95"/>
      <c r="AO65" s="137"/>
      <c r="AP65" s="95"/>
      <c r="AQ65" s="95"/>
      <c r="AR65" s="137"/>
      <c r="AS65" s="95"/>
      <c r="AT65" s="232" t="s">
        <v>629</v>
      </c>
      <c r="AU65" s="137" t="s">
        <v>630</v>
      </c>
      <c r="AV65" s="137" t="s">
        <v>630</v>
      </c>
      <c r="AW65" s="137" t="s">
        <v>630</v>
      </c>
      <c r="AX65" s="95"/>
    </row>
    <row r="66" spans="1:50" s="147" customFormat="1" ht="151.5" hidden="1" customHeight="1" x14ac:dyDescent="0.25">
      <c r="A66" s="372"/>
      <c r="B66" s="375"/>
      <c r="C66" s="377"/>
      <c r="D66" s="377"/>
      <c r="E66" s="340"/>
      <c r="F66" s="340"/>
      <c r="G66" s="340"/>
      <c r="H66" s="335"/>
      <c r="I66" s="340"/>
      <c r="J66" s="342"/>
      <c r="K66" s="345"/>
      <c r="L66" s="348"/>
      <c r="M66" s="350"/>
      <c r="N66" s="136"/>
      <c r="O66" s="345"/>
      <c r="P66" s="348"/>
      <c r="Q66" s="338"/>
      <c r="R66" s="126">
        <v>3</v>
      </c>
      <c r="S66" s="95"/>
      <c r="T66" s="127" t="str">
        <f t="shared" ref="T66" si="94">IF(OR(U66="Preventivo",U66="Detectivo"),"Probabilidad",IF(U66="Correctivo","Impacto",""))</f>
        <v/>
      </c>
      <c r="U66" s="128"/>
      <c r="V66" s="128"/>
      <c r="W66" s="129"/>
      <c r="X66" s="128"/>
      <c r="Y66" s="128"/>
      <c r="Z66" s="128"/>
      <c r="AA66" s="130"/>
      <c r="AB66" s="131"/>
      <c r="AC66" s="132"/>
      <c r="AD66" s="131"/>
      <c r="AE66" s="132"/>
      <c r="AF66" s="133"/>
      <c r="AG66" s="134"/>
      <c r="AH66" s="95"/>
      <c r="AI66" s="123"/>
      <c r="AJ66" s="135"/>
      <c r="AK66" s="135"/>
      <c r="AL66" s="95"/>
      <c r="AM66" s="95"/>
      <c r="AN66" s="95"/>
      <c r="AO66" s="137"/>
      <c r="AP66" s="95"/>
      <c r="AQ66" s="95"/>
      <c r="AR66" s="137"/>
      <c r="AS66" s="95"/>
      <c r="AT66" s="232" t="s">
        <v>629</v>
      </c>
      <c r="AU66" s="137" t="s">
        <v>630</v>
      </c>
      <c r="AV66" s="137" t="s">
        <v>630</v>
      </c>
      <c r="AW66" s="137" t="s">
        <v>630</v>
      </c>
      <c r="AX66" s="95"/>
    </row>
    <row r="67" spans="1:50" s="147" customFormat="1" ht="200.25" customHeight="1" x14ac:dyDescent="0.25">
      <c r="A67" s="372">
        <v>21</v>
      </c>
      <c r="B67" s="373" t="s">
        <v>281</v>
      </c>
      <c r="C67" s="376" t="s">
        <v>356</v>
      </c>
      <c r="D67" s="376" t="s">
        <v>388</v>
      </c>
      <c r="E67" s="339" t="s">
        <v>118</v>
      </c>
      <c r="F67" s="339" t="s">
        <v>446</v>
      </c>
      <c r="G67" s="339" t="s">
        <v>284</v>
      </c>
      <c r="H67" s="334" t="s">
        <v>283</v>
      </c>
      <c r="I67" s="339" t="s">
        <v>328</v>
      </c>
      <c r="J67" s="341">
        <v>12</v>
      </c>
      <c r="K67" s="343" t="str">
        <f>IF(J67&lt;=0,"",IF(J67&lt;=2,"Muy Baja",IF(J67&lt;=24,"Baja",IF(J67&lt;=500,"Media",IF(J67&lt;=5000,"Alta","Muy Alta")))))</f>
        <v>Baja</v>
      </c>
      <c r="L67" s="346">
        <f>IF(K67="","",IF(K67="Muy Baja",0.2,IF(K67="Baja",0.4,IF(K67="Media",0.6,IF(K67="Alta",0.8,IF(K67="Muy Alta",1,))))))</f>
        <v>0.4</v>
      </c>
      <c r="M67" s="349" t="s">
        <v>491</v>
      </c>
      <c r="N67" s="125" t="str">
        <f>IF(NOT(ISERROR(MATCH(M67,'Tabla Impacto'!$B$221:$B$223,0))),'Tabla Impacto'!$F$223&amp;"Por favor no seleccionar los criterios de impacto(Afectación Económica o presupuestal y Pérdida Reputacional)",M67)</f>
        <v xml:space="preserve"> El riesgo afecta la imagen de la entidad internamente, de conocimiento general, nivel interno, de junta directiva y accionistas y/o de proveedores</v>
      </c>
      <c r="O67" s="343" t="str">
        <f>IF(OR(N67='Tabla Impacto'!$C$11,N67='Tabla Impacto'!$D$11),"Leve",IF(OR(N67='Tabla Impacto'!$C$12,N67='Tabla Impacto'!$D$12),"Menor",IF(OR(N67='Tabla Impacto'!$C$13,N67='Tabla Impacto'!$D$13),"Moderado",IF(OR(N67='Tabla Impacto'!$C$14,N67='Tabla Impacto'!$D$14),"Mayor",IF(OR(N67='Tabla Impacto'!$C$15,N67='Tabla Impacto'!$D$15),"Catastrófico","")))))</f>
        <v>Menor</v>
      </c>
      <c r="P67" s="346">
        <f>IF(O67="","",IF(O67="Leve",0.2,IF(O67="Menor",0.4,IF(O67="Moderado",0.6,IF(O67="Mayor",0.8,IF(O67="Catastrófico",1,))))))</f>
        <v>0.4</v>
      </c>
      <c r="Q67" s="336" t="str">
        <f>IF(OR(AND(K67="Muy Baja",O67="Leve"),AND(K67="Muy Baja",O67="Menor"),AND(K67="Baja",O67="Leve")),"Bajo",IF(OR(AND(K67="Muy baja",O67="Moderado"),AND(K67="Baja",O67="Menor"),AND(K67="Baja",O67="Moderado"),AND(K67="Media",O67="Leve"),AND(K67="Media",O67="Menor"),AND(K67="Media",O67="Moderado"),AND(K67="Alta",O67="Leve"),AND(K67="Alta",O67="Menor")),"Moderado",IF(OR(AND(K67="Muy Baja",O67="Mayor"),AND(K67="Baja",O67="Mayor"),AND(K67="Media",O67="Mayor"),AND(K67="Alta",O67="Moderado"),AND(K67="Alta",O67="Mayor"),AND(K67="Muy Alta",O67="Leve"),AND(K67="Muy Alta",O67="Menor"),AND(K67="Muy Alta",O67="Moderado"),AND(K67="Muy Alta",O67="Mayor")),"Alto",IF(OR(AND(K67="Muy Baja",O67="Catastrófico"),AND(K67="Baja",O67="Catastrófico"),AND(K67="Media",O67="Catastrófico"),AND(K67="Alta",O67="Catastrófico"),AND(K67="Muy Alta",O67="Catastrófico")),"Extremo",""))))</f>
        <v>Moderado</v>
      </c>
      <c r="R67" s="126">
        <v>1</v>
      </c>
      <c r="S67" s="95" t="s">
        <v>533</v>
      </c>
      <c r="T67" s="127" t="str">
        <f t="shared" si="25"/>
        <v>Probabilidad</v>
      </c>
      <c r="U67" s="128" t="s">
        <v>15</v>
      </c>
      <c r="V67" s="128" t="s">
        <v>9</v>
      </c>
      <c r="W67" s="129" t="str">
        <f t="shared" si="26"/>
        <v>30%</v>
      </c>
      <c r="X67" s="128" t="s">
        <v>19</v>
      </c>
      <c r="Y67" s="128" t="s">
        <v>22</v>
      </c>
      <c r="Z67" s="128" t="s">
        <v>110</v>
      </c>
      <c r="AA67" s="130">
        <f t="shared" si="27"/>
        <v>0.28000000000000003</v>
      </c>
      <c r="AB67" s="131" t="str">
        <f t="shared" si="28"/>
        <v>Baja</v>
      </c>
      <c r="AC67" s="132">
        <f t="shared" si="29"/>
        <v>0.28000000000000003</v>
      </c>
      <c r="AD67" s="131" t="str">
        <f t="shared" si="30"/>
        <v>Menor</v>
      </c>
      <c r="AE67" s="132">
        <f t="shared" si="31"/>
        <v>0.4</v>
      </c>
      <c r="AF67" s="133" t="str">
        <f t="shared" si="32"/>
        <v>Moderado</v>
      </c>
      <c r="AG67" s="134" t="s">
        <v>122</v>
      </c>
      <c r="AH67" s="95" t="s">
        <v>534</v>
      </c>
      <c r="AI67" s="123" t="s">
        <v>260</v>
      </c>
      <c r="AJ67" s="135" t="s">
        <v>286</v>
      </c>
      <c r="AK67" s="135" t="s">
        <v>287</v>
      </c>
      <c r="AL67" s="95" t="s">
        <v>535</v>
      </c>
      <c r="AM67" s="95" t="s">
        <v>690</v>
      </c>
      <c r="AN67" s="95" t="s">
        <v>691</v>
      </c>
      <c r="AO67" s="218">
        <v>1</v>
      </c>
      <c r="AP67" s="95" t="s">
        <v>812</v>
      </c>
      <c r="AQ67" s="95" t="s">
        <v>813</v>
      </c>
      <c r="AR67" s="218">
        <v>1</v>
      </c>
      <c r="AS67" s="95"/>
      <c r="AT67" s="232" t="s">
        <v>629</v>
      </c>
      <c r="AU67" s="137" t="s">
        <v>630</v>
      </c>
      <c r="AV67" s="137" t="s">
        <v>630</v>
      </c>
      <c r="AW67" s="137" t="s">
        <v>630</v>
      </c>
      <c r="AX67" s="95"/>
    </row>
    <row r="68" spans="1:50" s="147" customFormat="1" ht="151.5" hidden="1" customHeight="1" x14ac:dyDescent="0.25">
      <c r="A68" s="372"/>
      <c r="B68" s="374"/>
      <c r="C68" s="377"/>
      <c r="D68" s="377"/>
      <c r="E68" s="340"/>
      <c r="F68" s="340"/>
      <c r="G68" s="340"/>
      <c r="H68" s="335"/>
      <c r="I68" s="340"/>
      <c r="J68" s="342"/>
      <c r="K68" s="344"/>
      <c r="L68" s="347"/>
      <c r="M68" s="350"/>
      <c r="N68" s="136"/>
      <c r="O68" s="344"/>
      <c r="P68" s="347"/>
      <c r="Q68" s="337"/>
      <c r="R68" s="126">
        <v>2</v>
      </c>
      <c r="S68" s="95"/>
      <c r="T68" s="127"/>
      <c r="U68" s="128"/>
      <c r="V68" s="128"/>
      <c r="W68" s="129"/>
      <c r="X68" s="128"/>
      <c r="Y68" s="128"/>
      <c r="Z68" s="128"/>
      <c r="AA68" s="130"/>
      <c r="AB68" s="131"/>
      <c r="AC68" s="132"/>
      <c r="AD68" s="131"/>
      <c r="AE68" s="132"/>
      <c r="AF68" s="133"/>
      <c r="AG68" s="134"/>
      <c r="AH68" s="95"/>
      <c r="AI68" s="123"/>
      <c r="AJ68" s="135"/>
      <c r="AK68" s="135"/>
      <c r="AL68" s="95"/>
      <c r="AM68" s="95"/>
      <c r="AN68" s="95"/>
      <c r="AO68" s="137"/>
      <c r="AP68" s="95"/>
      <c r="AQ68" s="95"/>
      <c r="AR68" s="137"/>
      <c r="AS68" s="95"/>
      <c r="AT68" s="232" t="s">
        <v>629</v>
      </c>
      <c r="AU68" s="137" t="s">
        <v>630</v>
      </c>
      <c r="AV68" s="137" t="s">
        <v>630</v>
      </c>
      <c r="AW68" s="137" t="s">
        <v>630</v>
      </c>
      <c r="AX68" s="95"/>
    </row>
    <row r="69" spans="1:50" s="147" customFormat="1" ht="151.5" hidden="1" customHeight="1" x14ac:dyDescent="0.25">
      <c r="A69" s="372"/>
      <c r="B69" s="375"/>
      <c r="C69" s="377"/>
      <c r="D69" s="377"/>
      <c r="E69" s="340"/>
      <c r="F69" s="340"/>
      <c r="G69" s="340"/>
      <c r="H69" s="335"/>
      <c r="I69" s="340"/>
      <c r="J69" s="342"/>
      <c r="K69" s="345"/>
      <c r="L69" s="348"/>
      <c r="M69" s="350"/>
      <c r="N69" s="136"/>
      <c r="O69" s="345"/>
      <c r="P69" s="348"/>
      <c r="Q69" s="338"/>
      <c r="R69" s="126">
        <v>3</v>
      </c>
      <c r="S69" s="95"/>
      <c r="T69" s="127"/>
      <c r="U69" s="128"/>
      <c r="V69" s="128"/>
      <c r="W69" s="129"/>
      <c r="X69" s="128"/>
      <c r="Y69" s="128"/>
      <c r="Z69" s="128"/>
      <c r="AA69" s="130"/>
      <c r="AB69" s="131"/>
      <c r="AC69" s="132"/>
      <c r="AD69" s="131"/>
      <c r="AE69" s="132"/>
      <c r="AF69" s="133"/>
      <c r="AG69" s="134"/>
      <c r="AH69" s="95"/>
      <c r="AI69" s="123"/>
      <c r="AJ69" s="135"/>
      <c r="AK69" s="135"/>
      <c r="AL69" s="95"/>
      <c r="AM69" s="95"/>
      <c r="AN69" s="95"/>
      <c r="AO69" s="137"/>
      <c r="AP69" s="95"/>
      <c r="AQ69" s="95"/>
      <c r="AR69" s="137"/>
      <c r="AS69" s="95"/>
      <c r="AT69" s="232" t="s">
        <v>629</v>
      </c>
      <c r="AU69" s="137" t="s">
        <v>630</v>
      </c>
      <c r="AV69" s="137" t="s">
        <v>630</v>
      </c>
      <c r="AW69" s="137" t="s">
        <v>630</v>
      </c>
      <c r="AX69" s="95"/>
    </row>
    <row r="70" spans="1:50" s="199" customFormat="1" ht="151.5" customHeight="1" x14ac:dyDescent="0.25">
      <c r="A70" s="328">
        <v>22</v>
      </c>
      <c r="B70" s="329" t="s">
        <v>281</v>
      </c>
      <c r="C70" s="332" t="s">
        <v>356</v>
      </c>
      <c r="D70" s="332" t="s">
        <v>388</v>
      </c>
      <c r="E70" s="334" t="s">
        <v>120</v>
      </c>
      <c r="F70" s="334" t="s">
        <v>537</v>
      </c>
      <c r="G70" s="334" t="s">
        <v>365</v>
      </c>
      <c r="H70" s="334" t="s">
        <v>536</v>
      </c>
      <c r="I70" s="334" t="s">
        <v>115</v>
      </c>
      <c r="J70" s="315">
        <v>20</v>
      </c>
      <c r="K70" s="317" t="str">
        <f>IF(J70&lt;=0,"",IF(J70&lt;=2,"Muy Baja",IF(J70&lt;=24,"Baja",IF(J70&lt;=500,"Media",IF(J70&lt;=5000,"Alta","Muy Alta")))))</f>
        <v>Baja</v>
      </c>
      <c r="L70" s="320">
        <f>IF(K70="","",IF(K70="Muy Baja",0.2,IF(K70="Baja",0.4,IF(K70="Media",0.6,IF(K70="Alta",0.8,IF(K70="Muy Alta",1,))))))</f>
        <v>0.4</v>
      </c>
      <c r="M70" s="323" t="s">
        <v>486</v>
      </c>
      <c r="N70" s="187" t="str">
        <f>IF(NOT(ISERROR(MATCH(M70,'Tabla Impacto'!$B$221:$B$223,0))),'Tabla Impacto'!$F$223&amp;"Por favor no seleccionar los criterios de impacto(Afectación Económica o presupuestal y Pérdida Reputacional)",M70)</f>
        <v xml:space="preserve"> El riesgo afecta la imagen de la entidad con algunos usuarios de relevancia frente al logro de los objetivos</v>
      </c>
      <c r="O70" s="317" t="str">
        <f>IF(OR(N70='Tabla Impacto'!$C$11,N70='Tabla Impacto'!$D$11),"Leve",IF(OR(N70='Tabla Impacto'!$C$12,N70='Tabla Impacto'!$D$12),"Menor",IF(OR(N70='Tabla Impacto'!$C$13,N70='Tabla Impacto'!$D$13),"Moderado",IF(OR(N70='Tabla Impacto'!$C$14,N70='Tabla Impacto'!$D$14),"Mayor",IF(OR(N70='Tabla Impacto'!$C$15,N70='Tabla Impacto'!$D$15),"Catastrófico","")))))</f>
        <v>Moderado</v>
      </c>
      <c r="P70" s="320">
        <f>IF(O70="","",IF(O70="Leve",0.2,IF(O70="Menor",0.4,IF(O70="Moderado",0.6,IF(O70="Mayor",0.8,IF(O70="Catastrófico",1,))))))</f>
        <v>0.6</v>
      </c>
      <c r="Q70" s="325" t="str">
        <f>IF(OR(AND(K70="Muy Baja",O70="Leve"),AND(K70="Muy Baja",O70="Menor"),AND(K70="Baja",O70="Leve")),"Bajo",IF(OR(AND(K70="Muy baja",O70="Moderado"),AND(K70="Baja",O70="Menor"),AND(K70="Baja",O70="Moderado"),AND(K70="Media",O70="Leve"),AND(K70="Media",O70="Menor"),AND(K70="Media",O70="Moderado"),AND(K70="Alta",O70="Leve"),AND(K70="Alta",O70="Menor")),"Moderado",IF(OR(AND(K70="Muy Baja",O70="Mayor"),AND(K70="Baja",O70="Mayor"),AND(K70="Media",O70="Mayor"),AND(K70="Alta",O70="Moderado"),AND(K70="Alta",O70="Mayor"),AND(K70="Muy Alta",O70="Leve"),AND(K70="Muy Alta",O70="Menor"),AND(K70="Muy Alta",O70="Moderado"),AND(K70="Muy Alta",O70="Mayor")),"Alto",IF(OR(AND(K70="Muy Baja",O70="Catastrófico"),AND(K70="Baja",O70="Catastrófico"),AND(K70="Media",O70="Catastrófico"),AND(K70="Alta",O70="Catastrófico"),AND(K70="Muy Alta",O70="Catastrófico")),"Extremo",""))))</f>
        <v>Moderado</v>
      </c>
      <c r="R70" s="189">
        <v>1</v>
      </c>
      <c r="S70" s="122" t="s">
        <v>538</v>
      </c>
      <c r="T70" s="190" t="str">
        <f t="shared" ref="T70:T76" si="95">IF(OR(U70="Preventivo",U70="Detectivo"),"Probabilidad",IF(U70="Correctivo","Impacto",""))</f>
        <v>Probabilidad</v>
      </c>
      <c r="U70" s="191" t="s">
        <v>15</v>
      </c>
      <c r="V70" s="191" t="s">
        <v>9</v>
      </c>
      <c r="W70" s="192" t="str">
        <f t="shared" ref="W70:W76" si="96">IF(AND(U70="Preventivo",V70="Automático"),"50%",IF(AND(U70="Preventivo",V70="Manual"),"40%",IF(AND(U70="Detectivo",V70="Automático"),"40%",IF(AND(U70="Detectivo",V70="Manual"),"30%",IF(AND(U70="Correctivo",V70="Automático"),"35%",IF(AND(U70="Correctivo",V70="Manual"),"25%",""))))))</f>
        <v>30%</v>
      </c>
      <c r="X70" s="191" t="s">
        <v>19</v>
      </c>
      <c r="Y70" s="191" t="s">
        <v>22</v>
      </c>
      <c r="Z70" s="191" t="s">
        <v>110</v>
      </c>
      <c r="AA70" s="144">
        <f t="shared" ref="AA70" si="97">IFERROR(IF(T70="Probabilidad",(L70-(+L70*W70)),IF(T70="Impacto",L70,"")),"")</f>
        <v>0.28000000000000003</v>
      </c>
      <c r="AB70" s="193" t="str">
        <f t="shared" ref="AB70:AB76" si="98">IFERROR(IF(AA70="","",IF(AA70&lt;=0.2,"Muy Baja",IF(AA70&lt;=0.4,"Baja",IF(AA70&lt;=0.6,"Media",IF(AA70&lt;=0.8,"Alta","Muy Alta"))))),"")</f>
        <v>Baja</v>
      </c>
      <c r="AC70" s="194">
        <f t="shared" ref="AC70:AC76" si="99">+AA70</f>
        <v>0.28000000000000003</v>
      </c>
      <c r="AD70" s="193" t="str">
        <f t="shared" ref="AD70:AD76" si="100">IFERROR(IF(AE70="","",IF(AE70&lt;=0.2,"Leve",IF(AE70&lt;=0.4,"Menor",IF(AE70&lt;=0.6,"Moderado",IF(AE70&lt;=0.8,"Mayor","Catastrófico"))))),"")</f>
        <v>Moderado</v>
      </c>
      <c r="AE70" s="194">
        <f t="shared" ref="AE70" si="101">IFERROR(IF(T70="Impacto",(P70-(+P70*W70)),IF(T70="Probabilidad",P70,"")),"")</f>
        <v>0.6</v>
      </c>
      <c r="AF70" s="195" t="str">
        <f t="shared" ref="AF70:AF76" si="102">IFERROR(IF(OR(AND(AB70="Muy Baja",AD70="Leve"),AND(AB70="Muy Baja",AD70="Menor"),AND(AB70="Baja",AD70="Leve")),"Bajo",IF(OR(AND(AB70="Muy baja",AD70="Moderado"),AND(AB70="Baja",AD70="Menor"),AND(AB70="Baja",AD70="Moderado"),AND(AB70="Media",AD70="Leve"),AND(AB70="Media",AD70="Menor"),AND(AB70="Media",AD70="Moderado"),AND(AB70="Alta",AD70="Leve"),AND(AB70="Alta",AD70="Menor")),"Moderado",IF(OR(AND(AB70="Muy Baja",AD70="Mayor"),AND(AB70="Baja",AD70="Mayor"),AND(AB70="Media",AD70="Mayor"),AND(AB70="Alta",AD70="Moderado"),AND(AB70="Alta",AD70="Mayor"),AND(AB70="Muy Alta",AD70="Leve"),AND(AB70="Muy Alta",AD70="Menor"),AND(AB70="Muy Alta",AD70="Moderado"),AND(AB70="Muy Alta",AD70="Mayor")),"Alto",IF(OR(AND(AB70="Muy Baja",AD70="Catastrófico"),AND(AB70="Baja",AD70="Catastrófico"),AND(AB70="Media",AD70="Catastrófico"),AND(AB70="Alta",AD70="Catastrófico"),AND(AB70="Muy Alta",AD70="Catastrófico")),"Extremo","")))),"")</f>
        <v>Moderado</v>
      </c>
      <c r="AG70" s="196" t="s">
        <v>122</v>
      </c>
      <c r="AH70" s="122" t="s">
        <v>539</v>
      </c>
      <c r="AI70" s="117" t="s">
        <v>212</v>
      </c>
      <c r="AJ70" s="124" t="s">
        <v>286</v>
      </c>
      <c r="AK70" s="124" t="s">
        <v>287</v>
      </c>
      <c r="AL70" s="122" t="s">
        <v>540</v>
      </c>
      <c r="AM70" s="95" t="s">
        <v>692</v>
      </c>
      <c r="AN70" s="95" t="s">
        <v>693</v>
      </c>
      <c r="AO70" s="218">
        <v>1</v>
      </c>
      <c r="AP70" s="122" t="s">
        <v>694</v>
      </c>
      <c r="AQ70" s="95" t="s">
        <v>814</v>
      </c>
      <c r="AR70" s="218">
        <v>1</v>
      </c>
      <c r="AS70" s="95"/>
      <c r="AT70" s="232" t="s">
        <v>629</v>
      </c>
      <c r="AU70" s="137" t="s">
        <v>630</v>
      </c>
      <c r="AV70" s="137" t="s">
        <v>630</v>
      </c>
      <c r="AW70" s="137" t="s">
        <v>630</v>
      </c>
      <c r="AX70" s="122" t="s">
        <v>869</v>
      </c>
    </row>
    <row r="71" spans="1:50" s="199" customFormat="1" ht="151.5" hidden="1" customHeight="1" x14ac:dyDescent="0.25">
      <c r="A71" s="328"/>
      <c r="B71" s="330"/>
      <c r="C71" s="333"/>
      <c r="D71" s="333"/>
      <c r="E71" s="335"/>
      <c r="F71" s="335"/>
      <c r="G71" s="335"/>
      <c r="H71" s="335"/>
      <c r="I71" s="335"/>
      <c r="J71" s="316"/>
      <c r="K71" s="318"/>
      <c r="L71" s="321"/>
      <c r="M71" s="324"/>
      <c r="N71" s="188"/>
      <c r="O71" s="318"/>
      <c r="P71" s="321"/>
      <c r="Q71" s="326"/>
      <c r="R71" s="189">
        <v>2</v>
      </c>
      <c r="S71" s="184"/>
      <c r="T71" s="176"/>
      <c r="U71" s="177"/>
      <c r="V71" s="177"/>
      <c r="W71" s="178"/>
      <c r="X71" s="177"/>
      <c r="Y71" s="177"/>
      <c r="Z71" s="177"/>
      <c r="AA71" s="179"/>
      <c r="AB71" s="180"/>
      <c r="AC71" s="181"/>
      <c r="AD71" s="180"/>
      <c r="AE71" s="181"/>
      <c r="AF71" s="182"/>
      <c r="AG71" s="183"/>
      <c r="AH71" s="184"/>
      <c r="AI71" s="185"/>
      <c r="AJ71" s="186"/>
      <c r="AK71" s="186"/>
      <c r="AL71" s="184"/>
      <c r="AM71" s="95"/>
      <c r="AN71" s="95"/>
      <c r="AO71" s="137"/>
      <c r="AP71" s="95"/>
      <c r="AQ71" s="95"/>
      <c r="AR71" s="137"/>
      <c r="AS71" s="95"/>
      <c r="AT71" s="232" t="s">
        <v>629</v>
      </c>
      <c r="AU71" s="137" t="s">
        <v>630</v>
      </c>
      <c r="AV71" s="137" t="s">
        <v>630</v>
      </c>
      <c r="AW71" s="137" t="s">
        <v>630</v>
      </c>
      <c r="AX71" s="537"/>
    </row>
    <row r="72" spans="1:50" s="199" customFormat="1" ht="151.5" hidden="1" customHeight="1" x14ac:dyDescent="0.25">
      <c r="A72" s="328"/>
      <c r="B72" s="331"/>
      <c r="C72" s="333"/>
      <c r="D72" s="333"/>
      <c r="E72" s="335"/>
      <c r="F72" s="335"/>
      <c r="G72" s="335"/>
      <c r="H72" s="335"/>
      <c r="I72" s="335"/>
      <c r="J72" s="316"/>
      <c r="K72" s="319"/>
      <c r="L72" s="322"/>
      <c r="M72" s="324"/>
      <c r="N72" s="188"/>
      <c r="O72" s="319"/>
      <c r="P72" s="322"/>
      <c r="Q72" s="327"/>
      <c r="R72" s="189">
        <v>3</v>
      </c>
      <c r="S72" s="184"/>
      <c r="T72" s="176"/>
      <c r="U72" s="177"/>
      <c r="V72" s="177"/>
      <c r="W72" s="178"/>
      <c r="X72" s="177"/>
      <c r="Y72" s="177"/>
      <c r="Z72" s="177"/>
      <c r="AA72" s="179"/>
      <c r="AB72" s="180"/>
      <c r="AC72" s="181"/>
      <c r="AD72" s="180"/>
      <c r="AE72" s="181"/>
      <c r="AF72" s="182"/>
      <c r="AG72" s="183"/>
      <c r="AH72" s="184"/>
      <c r="AI72" s="185"/>
      <c r="AJ72" s="186"/>
      <c r="AK72" s="186"/>
      <c r="AL72" s="184"/>
      <c r="AM72" s="95"/>
      <c r="AN72" s="95"/>
      <c r="AO72" s="137"/>
      <c r="AP72" s="95"/>
      <c r="AQ72" s="95"/>
      <c r="AR72" s="137"/>
      <c r="AS72" s="95"/>
      <c r="AT72" s="232" t="s">
        <v>629</v>
      </c>
      <c r="AU72" s="137" t="s">
        <v>630</v>
      </c>
      <c r="AV72" s="137" t="s">
        <v>630</v>
      </c>
      <c r="AW72" s="137" t="s">
        <v>630</v>
      </c>
      <c r="AX72" s="95"/>
    </row>
    <row r="73" spans="1:50" s="147" customFormat="1" ht="151.5" customHeight="1" x14ac:dyDescent="0.25">
      <c r="A73" s="372">
        <v>23</v>
      </c>
      <c r="B73" s="373" t="s">
        <v>285</v>
      </c>
      <c r="C73" s="376" t="s">
        <v>389</v>
      </c>
      <c r="D73" s="376" t="s">
        <v>390</v>
      </c>
      <c r="E73" s="339" t="s">
        <v>118</v>
      </c>
      <c r="F73" s="339" t="s">
        <v>331</v>
      </c>
      <c r="G73" s="339" t="s">
        <v>447</v>
      </c>
      <c r="H73" s="334" t="s">
        <v>565</v>
      </c>
      <c r="I73" s="339" t="s">
        <v>115</v>
      </c>
      <c r="J73" s="341">
        <v>30</v>
      </c>
      <c r="K73" s="343" t="str">
        <f>IF(J73&lt;=0,"",IF(J73&lt;=2,"Muy Baja",IF(J73&lt;=24,"Baja",IF(J73&lt;=500,"Media",IF(J73&lt;=5000,"Alta","Muy Alta")))))</f>
        <v>Media</v>
      </c>
      <c r="L73" s="346">
        <f>IF(K73="","",IF(K73="Muy Baja",0.2,IF(K73="Baja",0.4,IF(K73="Media",0.6,IF(K73="Alta",0.8,IF(K73="Muy Alta",1,))))))</f>
        <v>0.6</v>
      </c>
      <c r="M73" s="349" t="s">
        <v>493</v>
      </c>
      <c r="N73" s="125" t="str">
        <f>IF(NOT(ISERROR(MATCH(M73,'Tabla Impacto'!$B$221:$B$223,0))),'Tabla Impacto'!$F$223&amp;"Por favor no seleccionar los criterios de impacto(Afectación Económica o presupuestal y Pérdida Reputacional)",M73)</f>
        <v xml:space="preserve"> El riesgo afecta la imagen de la entidad con efecto publicitario sostenido a nivel de sector administrativo, nivel departamental o municipal</v>
      </c>
      <c r="O73" s="343" t="str">
        <f>IF(OR(N73='Tabla Impacto'!$C$11,N73='Tabla Impacto'!$D$11),"Leve",IF(OR(N73='Tabla Impacto'!$C$12,N73='Tabla Impacto'!$D$12),"Menor",IF(OR(N73='Tabla Impacto'!$C$13,N73='Tabla Impacto'!$D$13),"Moderado",IF(OR(N73='Tabla Impacto'!$C$14,N73='Tabla Impacto'!$D$14),"Mayor",IF(OR(N73='Tabla Impacto'!$C$15,N73='Tabla Impacto'!$D$15),"Catastrófico","")))))</f>
        <v>Mayor</v>
      </c>
      <c r="P73" s="346">
        <f>IF(O73="","",IF(O73="Leve",0.2,IF(O73="Menor",0.4,IF(O73="Moderado",0.6,IF(O73="Mayor",0.8,IF(O73="Catastrófico",1,))))))</f>
        <v>0.8</v>
      </c>
      <c r="Q73" s="336" t="str">
        <f>IF(OR(AND(K73="Muy Baja",O73="Leve"),AND(K73="Muy Baja",O73="Menor"),AND(K73="Baja",O73="Leve")),"Bajo",IF(OR(AND(K73="Muy baja",O73="Moderado"),AND(K73="Baja",O73="Menor"),AND(K73="Baja",O73="Moderado"),AND(K73="Media",O73="Leve"),AND(K73="Media",O73="Menor"),AND(K73="Media",O73="Moderado"),AND(K73="Alta",O73="Leve"),AND(K73="Alta",O73="Menor")),"Moderado",IF(OR(AND(K73="Muy Baja",O73="Mayor"),AND(K73="Baja",O73="Mayor"),AND(K73="Media",O73="Mayor"),AND(K73="Alta",O73="Moderado"),AND(K73="Alta",O73="Mayor"),AND(K73="Muy Alta",O73="Leve"),AND(K73="Muy Alta",O73="Menor"),AND(K73="Muy Alta",O73="Moderado"),AND(K73="Muy Alta",O73="Mayor")),"Alto",IF(OR(AND(K73="Muy Baja",O73="Catastrófico"),AND(K73="Baja",O73="Catastrófico"),AND(K73="Media",O73="Catastrófico"),AND(K73="Alta",O73="Catastrófico"),AND(K73="Muy Alta",O73="Catastrófico")),"Extremo",""))))</f>
        <v>Alto</v>
      </c>
      <c r="R73" s="126">
        <v>1</v>
      </c>
      <c r="S73" s="95" t="s">
        <v>586</v>
      </c>
      <c r="T73" s="127" t="str">
        <f t="shared" si="95"/>
        <v>Probabilidad</v>
      </c>
      <c r="U73" s="128" t="s">
        <v>14</v>
      </c>
      <c r="V73" s="128" t="s">
        <v>9</v>
      </c>
      <c r="W73" s="129" t="str">
        <f t="shared" si="96"/>
        <v>40%</v>
      </c>
      <c r="X73" s="128" t="s">
        <v>19</v>
      </c>
      <c r="Y73" s="128" t="s">
        <v>22</v>
      </c>
      <c r="Z73" s="128" t="s">
        <v>110</v>
      </c>
      <c r="AA73" s="130">
        <f t="shared" ref="AA73:AA76" si="103">IFERROR(IF(T73="Probabilidad",(L73-(+L73*W73)),IF(T73="Impacto",L73,"")),"")</f>
        <v>0.36</v>
      </c>
      <c r="AB73" s="131" t="str">
        <f t="shared" si="98"/>
        <v>Baja</v>
      </c>
      <c r="AC73" s="132">
        <f t="shared" si="99"/>
        <v>0.36</v>
      </c>
      <c r="AD73" s="131" t="str">
        <f t="shared" si="100"/>
        <v>Mayor</v>
      </c>
      <c r="AE73" s="132">
        <f t="shared" ref="AE73:AE76" si="104">IFERROR(IF(T73="Impacto",(P73-(+P73*W73)),IF(T73="Probabilidad",P73,"")),"")</f>
        <v>0.8</v>
      </c>
      <c r="AF73" s="133" t="str">
        <f t="shared" si="102"/>
        <v>Alto</v>
      </c>
      <c r="AG73" s="134" t="s">
        <v>122</v>
      </c>
      <c r="AH73" s="122" t="s">
        <v>566</v>
      </c>
      <c r="AI73" s="117" t="s">
        <v>212</v>
      </c>
      <c r="AJ73" s="124" t="s">
        <v>286</v>
      </c>
      <c r="AK73" s="124" t="s">
        <v>287</v>
      </c>
      <c r="AL73" s="122" t="s">
        <v>391</v>
      </c>
      <c r="AM73" s="95" t="s">
        <v>695</v>
      </c>
      <c r="AN73" s="227" t="s">
        <v>696</v>
      </c>
      <c r="AO73" s="218">
        <v>1</v>
      </c>
      <c r="AP73" s="122" t="s">
        <v>697</v>
      </c>
      <c r="AQ73" s="95" t="s">
        <v>698</v>
      </c>
      <c r="AR73" s="218">
        <v>1</v>
      </c>
      <c r="AS73" s="95"/>
      <c r="AT73" s="232" t="s">
        <v>629</v>
      </c>
      <c r="AU73" s="137" t="s">
        <v>630</v>
      </c>
      <c r="AV73" s="137" t="s">
        <v>630</v>
      </c>
      <c r="AW73" s="137" t="s">
        <v>630</v>
      </c>
      <c r="AX73" s="95"/>
    </row>
    <row r="74" spans="1:50" s="147" customFormat="1" ht="151.5" hidden="1" customHeight="1" x14ac:dyDescent="0.25">
      <c r="A74" s="372"/>
      <c r="B74" s="374"/>
      <c r="C74" s="381"/>
      <c r="D74" s="377"/>
      <c r="E74" s="340"/>
      <c r="F74" s="340"/>
      <c r="G74" s="340"/>
      <c r="H74" s="335"/>
      <c r="I74" s="340"/>
      <c r="J74" s="342"/>
      <c r="K74" s="344"/>
      <c r="L74" s="347"/>
      <c r="M74" s="350"/>
      <c r="N74" s="136"/>
      <c r="O74" s="344"/>
      <c r="P74" s="347"/>
      <c r="Q74" s="337"/>
      <c r="R74" s="126">
        <v>2</v>
      </c>
      <c r="S74" s="95"/>
      <c r="T74" s="127"/>
      <c r="U74" s="128"/>
      <c r="V74" s="128"/>
      <c r="W74" s="129"/>
      <c r="X74" s="128"/>
      <c r="Y74" s="128"/>
      <c r="Z74" s="128"/>
      <c r="AA74" s="130"/>
      <c r="AB74" s="131"/>
      <c r="AC74" s="132"/>
      <c r="AD74" s="131"/>
      <c r="AE74" s="132"/>
      <c r="AF74" s="133"/>
      <c r="AG74" s="134"/>
      <c r="AH74" s="122"/>
      <c r="AI74" s="117"/>
      <c r="AJ74" s="124"/>
      <c r="AK74" s="124"/>
      <c r="AL74" s="122"/>
      <c r="AM74" s="95"/>
      <c r="AN74" s="95"/>
      <c r="AO74" s="137"/>
      <c r="AP74" s="122"/>
      <c r="AQ74" s="95"/>
      <c r="AR74" s="218">
        <v>1</v>
      </c>
      <c r="AS74" s="95"/>
      <c r="AT74" s="232" t="s">
        <v>629</v>
      </c>
      <c r="AU74" s="137" t="s">
        <v>630</v>
      </c>
      <c r="AV74" s="137" t="s">
        <v>630</v>
      </c>
      <c r="AW74" s="137" t="s">
        <v>630</v>
      </c>
      <c r="AX74" s="95"/>
    </row>
    <row r="75" spans="1:50" s="147" customFormat="1" ht="151.5" hidden="1" customHeight="1" x14ac:dyDescent="0.25">
      <c r="A75" s="382"/>
      <c r="B75" s="375"/>
      <c r="C75" s="381"/>
      <c r="D75" s="377"/>
      <c r="E75" s="340"/>
      <c r="F75" s="340"/>
      <c r="G75" s="340"/>
      <c r="H75" s="335"/>
      <c r="I75" s="340"/>
      <c r="J75" s="342"/>
      <c r="K75" s="345"/>
      <c r="L75" s="348"/>
      <c r="M75" s="350"/>
      <c r="N75" s="136"/>
      <c r="O75" s="345"/>
      <c r="P75" s="348"/>
      <c r="Q75" s="338"/>
      <c r="R75" s="126">
        <v>3</v>
      </c>
      <c r="S75" s="95"/>
      <c r="T75" s="127"/>
      <c r="U75" s="128"/>
      <c r="V75" s="128"/>
      <c r="W75" s="129"/>
      <c r="X75" s="128"/>
      <c r="Y75" s="128"/>
      <c r="Z75" s="128"/>
      <c r="AA75" s="130"/>
      <c r="AB75" s="131"/>
      <c r="AC75" s="132"/>
      <c r="AD75" s="131"/>
      <c r="AE75" s="132"/>
      <c r="AF75" s="133"/>
      <c r="AG75" s="134"/>
      <c r="AH75" s="122"/>
      <c r="AI75" s="117"/>
      <c r="AJ75" s="124"/>
      <c r="AK75" s="124"/>
      <c r="AL75" s="122"/>
      <c r="AM75" s="95"/>
      <c r="AN75" s="95"/>
      <c r="AO75" s="137"/>
      <c r="AP75" s="122"/>
      <c r="AQ75" s="95"/>
      <c r="AR75" s="218">
        <v>1</v>
      </c>
      <c r="AS75" s="95"/>
      <c r="AT75" s="232" t="s">
        <v>629</v>
      </c>
      <c r="AU75" s="137" t="s">
        <v>630</v>
      </c>
      <c r="AV75" s="137" t="s">
        <v>630</v>
      </c>
      <c r="AW75" s="137" t="s">
        <v>630</v>
      </c>
      <c r="AX75" s="95"/>
    </row>
    <row r="76" spans="1:50" s="147" customFormat="1" ht="151.5" customHeight="1" x14ac:dyDescent="0.25">
      <c r="A76" s="380">
        <v>24</v>
      </c>
      <c r="B76" s="373" t="s">
        <v>285</v>
      </c>
      <c r="C76" s="376" t="s">
        <v>389</v>
      </c>
      <c r="D76" s="376" t="s">
        <v>390</v>
      </c>
      <c r="E76" s="339" t="s">
        <v>118</v>
      </c>
      <c r="F76" s="339" t="s">
        <v>288</v>
      </c>
      <c r="G76" s="339" t="s">
        <v>448</v>
      </c>
      <c r="H76" s="334" t="s">
        <v>392</v>
      </c>
      <c r="I76" s="339" t="s">
        <v>328</v>
      </c>
      <c r="J76" s="341">
        <v>12</v>
      </c>
      <c r="K76" s="343" t="str">
        <f>IF(J76&lt;=0,"",IF(J76&lt;=2,"Muy Baja",IF(J76&lt;=24,"Baja",IF(J76&lt;=500,"Media",IF(J76&lt;=5000,"Alta","Muy Alta")))))</f>
        <v>Baja</v>
      </c>
      <c r="L76" s="346">
        <f>IF(K76="","",IF(K76="Muy Baja",0.2,IF(K76="Baja",0.4,IF(K76="Media",0.6,IF(K76="Alta",0.8,IF(K76="Muy Alta",1,))))))</f>
        <v>0.4</v>
      </c>
      <c r="M76" s="349" t="s">
        <v>486</v>
      </c>
      <c r="N76" s="125" t="str">
        <f>IF(NOT(ISERROR(MATCH(M76,'Tabla Impacto'!$B$221:$B$223,0))),'Tabla Impacto'!$F$223&amp;"Por favor no seleccionar los criterios de impacto(Afectación Económica o presupuestal y Pérdida Reputacional)",M76)</f>
        <v xml:space="preserve"> El riesgo afecta la imagen de la entidad con algunos usuarios de relevancia frente al logro de los objetivos</v>
      </c>
      <c r="O76" s="343" t="str">
        <f>IF(OR(N76='Tabla Impacto'!$C$11,N76='Tabla Impacto'!$D$11),"Leve",IF(OR(N76='Tabla Impacto'!$C$12,N76='Tabla Impacto'!$D$12),"Menor",IF(OR(N76='Tabla Impacto'!$C$13,N76='Tabla Impacto'!$D$13),"Moderado",IF(OR(N76='Tabla Impacto'!$C$14,N76='Tabla Impacto'!$D$14),"Mayor",IF(OR(N76='Tabla Impacto'!$C$15,N76='Tabla Impacto'!$D$15),"Catastrófico","")))))</f>
        <v>Moderado</v>
      </c>
      <c r="P76" s="346">
        <f>IF(O76="","",IF(O76="Leve",0.2,IF(O76="Menor",0.4,IF(O76="Moderado",0.6,IF(O76="Mayor",0.8,IF(O76="Catastrófico",1,))))))</f>
        <v>0.6</v>
      </c>
      <c r="Q76" s="336" t="str">
        <f>IF(OR(AND(K76="Muy Baja",O76="Leve"),AND(K76="Muy Baja",O76="Menor"),AND(K76="Baja",O76="Leve")),"Bajo",IF(OR(AND(K76="Muy baja",O76="Moderado"),AND(K76="Baja",O76="Menor"),AND(K76="Baja",O76="Moderado"),AND(K76="Media",O76="Leve"),AND(K76="Media",O76="Menor"),AND(K76="Media",O76="Moderado"),AND(K76="Alta",O76="Leve"),AND(K76="Alta",O76="Menor")),"Moderado",IF(OR(AND(K76="Muy Baja",O76="Mayor"),AND(K76="Baja",O76="Mayor"),AND(K76="Media",O76="Mayor"),AND(K76="Alta",O76="Moderado"),AND(K76="Alta",O76="Mayor"),AND(K76="Muy Alta",O76="Leve"),AND(K76="Muy Alta",O76="Menor"),AND(K76="Muy Alta",O76="Moderado"),AND(K76="Muy Alta",O76="Mayor")),"Alto",IF(OR(AND(K76="Muy Baja",O76="Catastrófico"),AND(K76="Baja",O76="Catastrófico"),AND(K76="Media",O76="Catastrófico"),AND(K76="Alta",O76="Catastrófico"),AND(K76="Muy Alta",O76="Catastrófico")),"Extremo",""))))</f>
        <v>Moderado</v>
      </c>
      <c r="R76" s="126">
        <v>1</v>
      </c>
      <c r="S76" s="95" t="s">
        <v>567</v>
      </c>
      <c r="T76" s="127" t="str">
        <f t="shared" si="95"/>
        <v>Probabilidad</v>
      </c>
      <c r="U76" s="128" t="s">
        <v>14</v>
      </c>
      <c r="V76" s="128" t="s">
        <v>9</v>
      </c>
      <c r="W76" s="129" t="str">
        <f t="shared" si="96"/>
        <v>40%</v>
      </c>
      <c r="X76" s="128" t="s">
        <v>19</v>
      </c>
      <c r="Y76" s="128" t="s">
        <v>22</v>
      </c>
      <c r="Z76" s="128" t="s">
        <v>110</v>
      </c>
      <c r="AA76" s="130">
        <f t="shared" si="103"/>
        <v>0.24</v>
      </c>
      <c r="AB76" s="131" t="str">
        <f t="shared" si="98"/>
        <v>Baja</v>
      </c>
      <c r="AC76" s="132">
        <f t="shared" si="99"/>
        <v>0.24</v>
      </c>
      <c r="AD76" s="131" t="str">
        <f t="shared" si="100"/>
        <v>Moderado</v>
      </c>
      <c r="AE76" s="132">
        <f t="shared" si="104"/>
        <v>0.6</v>
      </c>
      <c r="AF76" s="133" t="str">
        <f t="shared" si="102"/>
        <v>Moderado</v>
      </c>
      <c r="AG76" s="134" t="s">
        <v>122</v>
      </c>
      <c r="AH76" s="95" t="s">
        <v>393</v>
      </c>
      <c r="AI76" s="123" t="s">
        <v>198</v>
      </c>
      <c r="AJ76" s="135" t="s">
        <v>199</v>
      </c>
      <c r="AK76" s="135" t="s">
        <v>199</v>
      </c>
      <c r="AL76" s="95" t="s">
        <v>289</v>
      </c>
      <c r="AM76" s="95" t="s">
        <v>699</v>
      </c>
      <c r="AN76" s="227" t="s">
        <v>700</v>
      </c>
      <c r="AO76" s="218">
        <v>1</v>
      </c>
      <c r="AP76" s="122" t="s">
        <v>815</v>
      </c>
      <c r="AQ76" s="95" t="s">
        <v>701</v>
      </c>
      <c r="AR76" s="218">
        <v>1</v>
      </c>
      <c r="AT76" s="232" t="s">
        <v>629</v>
      </c>
      <c r="AU76" s="137" t="s">
        <v>630</v>
      </c>
      <c r="AV76" s="137" t="s">
        <v>630</v>
      </c>
      <c r="AW76" s="137" t="s">
        <v>630</v>
      </c>
      <c r="AX76" s="95"/>
    </row>
    <row r="77" spans="1:50" s="147" customFormat="1" ht="151.5" hidden="1" customHeight="1" x14ac:dyDescent="0.25">
      <c r="A77" s="372"/>
      <c r="B77" s="374"/>
      <c r="C77" s="381"/>
      <c r="D77" s="377"/>
      <c r="E77" s="340"/>
      <c r="F77" s="340"/>
      <c r="G77" s="340"/>
      <c r="H77" s="335"/>
      <c r="I77" s="340"/>
      <c r="J77" s="342"/>
      <c r="K77" s="344"/>
      <c r="L77" s="347"/>
      <c r="M77" s="350"/>
      <c r="N77" s="136"/>
      <c r="O77" s="344"/>
      <c r="P77" s="347"/>
      <c r="Q77" s="337"/>
      <c r="R77" s="126">
        <v>2</v>
      </c>
      <c r="S77" s="95"/>
      <c r="T77" s="127" t="str">
        <f t="shared" ref="T77:T78" si="105">IF(OR(U77="Preventivo",U77="Detectivo"),"Probabilidad",IF(U77="Correctivo","Impacto",""))</f>
        <v/>
      </c>
      <c r="U77" s="128"/>
      <c r="V77" s="128"/>
      <c r="W77" s="129"/>
      <c r="X77" s="128"/>
      <c r="Y77" s="128"/>
      <c r="Z77" s="128"/>
      <c r="AA77" s="130" t="str">
        <f>IFERROR(IF(T77="Probabilidad",(AA76-(+AA76*W77)),IF(T77="Impacto",L77,"")),"")</f>
        <v/>
      </c>
      <c r="AB77" s="131" t="str">
        <f t="shared" ref="AB77:AB78" si="106">IFERROR(IF(AA77="","",IF(AA77&lt;=0.2,"Muy Baja",IF(AA77&lt;=0.4,"Baja",IF(AA77&lt;=0.6,"Media",IF(AA77&lt;=0.8,"Alta","Muy Alta"))))),"")</f>
        <v/>
      </c>
      <c r="AC77" s="132" t="str">
        <f t="shared" ref="AC77:AC78" si="107">+AA77</f>
        <v/>
      </c>
      <c r="AD77" s="131" t="str">
        <f t="shared" ref="AD77:AD78" si="108">IFERROR(IF(AE77="","",IF(AE77&lt;=0.2,"Leve",IF(AE77&lt;=0.4,"Menor",IF(AE77&lt;=0.6,"Moderado",IF(AE77&lt;=0.8,"Mayor","Catastrófico"))))),"")</f>
        <v/>
      </c>
      <c r="AE77" s="132" t="str">
        <f t="shared" ref="AE77:AE78" si="109">IFERROR(IF(T77="Impacto",(P77-(+P77*W77)),IF(T77="Probabilidad",P77,"")),"")</f>
        <v/>
      </c>
      <c r="AF77" s="133" t="str">
        <f t="shared" ref="AF77:AF78" si="110">IFERROR(IF(OR(AND(AB77="Muy Baja",AD77="Leve"),AND(AB77="Muy Baja",AD77="Menor"),AND(AB77="Baja",AD77="Leve")),"Bajo",IF(OR(AND(AB77="Muy baja",AD77="Moderado"),AND(AB77="Baja",AD77="Menor"),AND(AB77="Baja",AD77="Moderado"),AND(AB77="Media",AD77="Leve"),AND(AB77="Media",AD77="Menor"),AND(AB77="Media",AD77="Moderado"),AND(AB77="Alta",AD77="Leve"),AND(AB77="Alta",AD77="Menor")),"Moderado",IF(OR(AND(AB77="Muy Baja",AD77="Mayor"),AND(AB77="Baja",AD77="Mayor"),AND(AB77="Media",AD77="Mayor"),AND(AB77="Alta",AD77="Moderado"),AND(AB77="Alta",AD77="Mayor"),AND(AB77="Muy Alta",AD77="Leve"),AND(AB77="Muy Alta",AD77="Menor"),AND(AB77="Muy Alta",AD77="Moderado"),AND(AB77="Muy Alta",AD77="Mayor")),"Alto",IF(OR(AND(AB77="Muy Baja",AD77="Catastrófico"),AND(AB77="Baja",AD77="Catastrófico"),AND(AB77="Media",AD77="Catastrófico"),AND(AB77="Alta",AD77="Catastrófico"),AND(AB77="Muy Alta",AD77="Catastrófico")),"Extremo","")))),"")</f>
        <v/>
      </c>
      <c r="AG77" s="134"/>
      <c r="AH77" s="95"/>
      <c r="AI77" s="123"/>
      <c r="AJ77" s="135"/>
      <c r="AK77" s="135"/>
      <c r="AL77" s="95"/>
      <c r="AM77" s="95"/>
      <c r="AN77" s="95"/>
      <c r="AO77" s="137"/>
      <c r="AP77" s="122"/>
      <c r="AQ77" s="95"/>
      <c r="AR77" s="137"/>
      <c r="AS77" s="95"/>
      <c r="AT77" s="232" t="s">
        <v>629</v>
      </c>
      <c r="AU77" s="137" t="s">
        <v>630</v>
      </c>
      <c r="AV77" s="137" t="s">
        <v>630</v>
      </c>
      <c r="AW77" s="137" t="s">
        <v>630</v>
      </c>
      <c r="AX77" s="95"/>
    </row>
    <row r="78" spans="1:50" s="147" customFormat="1" ht="151.5" hidden="1" customHeight="1" x14ac:dyDescent="0.25">
      <c r="A78" s="372"/>
      <c r="B78" s="375"/>
      <c r="C78" s="381"/>
      <c r="D78" s="377"/>
      <c r="E78" s="340"/>
      <c r="F78" s="340"/>
      <c r="G78" s="340"/>
      <c r="H78" s="335"/>
      <c r="I78" s="340"/>
      <c r="J78" s="342"/>
      <c r="K78" s="345"/>
      <c r="L78" s="348"/>
      <c r="M78" s="350"/>
      <c r="N78" s="136"/>
      <c r="O78" s="345"/>
      <c r="P78" s="348"/>
      <c r="Q78" s="338"/>
      <c r="R78" s="126">
        <v>3</v>
      </c>
      <c r="S78" s="95"/>
      <c r="T78" s="127" t="str">
        <f t="shared" si="105"/>
        <v/>
      </c>
      <c r="U78" s="128"/>
      <c r="V78" s="128"/>
      <c r="W78" s="129"/>
      <c r="X78" s="128"/>
      <c r="Y78" s="128"/>
      <c r="Z78" s="128"/>
      <c r="AA78" s="130" t="str">
        <f>IFERROR(IF(T78="Probabilidad",(AA77-(+AA77*W78)),IF(T78="Impacto",L78,"")),"")</f>
        <v/>
      </c>
      <c r="AB78" s="131" t="str">
        <f t="shared" si="106"/>
        <v/>
      </c>
      <c r="AC78" s="132" t="str">
        <f t="shared" si="107"/>
        <v/>
      </c>
      <c r="AD78" s="131" t="str">
        <f t="shared" si="108"/>
        <v/>
      </c>
      <c r="AE78" s="132" t="str">
        <f t="shared" si="109"/>
        <v/>
      </c>
      <c r="AF78" s="133" t="str">
        <f t="shared" si="110"/>
        <v/>
      </c>
      <c r="AG78" s="134"/>
      <c r="AH78" s="95"/>
      <c r="AI78" s="123"/>
      <c r="AJ78" s="135"/>
      <c r="AK78" s="135"/>
      <c r="AL78" s="95"/>
      <c r="AM78" s="95"/>
      <c r="AN78" s="95"/>
      <c r="AO78" s="137"/>
      <c r="AP78" s="122"/>
      <c r="AQ78" s="95"/>
      <c r="AR78" s="137"/>
      <c r="AS78" s="95"/>
      <c r="AT78" s="232" t="s">
        <v>629</v>
      </c>
      <c r="AU78" s="137" t="s">
        <v>630</v>
      </c>
      <c r="AV78" s="137" t="s">
        <v>630</v>
      </c>
      <c r="AW78" s="137" t="s">
        <v>630</v>
      </c>
      <c r="AX78" s="95"/>
    </row>
    <row r="79" spans="1:50" s="147" customFormat="1" ht="151.5" customHeight="1" x14ac:dyDescent="0.25">
      <c r="A79" s="372">
        <v>25</v>
      </c>
      <c r="B79" s="373" t="s">
        <v>285</v>
      </c>
      <c r="C79" s="376" t="s">
        <v>389</v>
      </c>
      <c r="D79" s="376" t="s">
        <v>390</v>
      </c>
      <c r="E79" s="339" t="s">
        <v>120</v>
      </c>
      <c r="F79" s="339" t="s">
        <v>450</v>
      </c>
      <c r="G79" s="339" t="s">
        <v>449</v>
      </c>
      <c r="H79" s="334" t="s">
        <v>397</v>
      </c>
      <c r="I79" s="339" t="s">
        <v>328</v>
      </c>
      <c r="J79" s="341">
        <v>12</v>
      </c>
      <c r="K79" s="343" t="str">
        <f>IF(J79&lt;=0,"",IF(J79&lt;=2,"Muy Baja",IF(J79&lt;=24,"Baja",IF(J79&lt;=500,"Media",IF(J79&lt;=5000,"Alta","Muy Alta")))))</f>
        <v>Baja</v>
      </c>
      <c r="L79" s="346">
        <f>IF(K79="","",IF(K79="Muy Baja",0.2,IF(K79="Baja",0.4,IF(K79="Media",0.6,IF(K79="Alta",0.8,IF(K79="Muy Alta",1,))))))</f>
        <v>0.4</v>
      </c>
      <c r="M79" s="349" t="s">
        <v>486</v>
      </c>
      <c r="N79" s="125" t="str">
        <f>IF(NOT(ISERROR(MATCH(M79,'Tabla Impacto'!$B$221:$B$223,0))),'Tabla Impacto'!$F$223&amp;"Por favor no seleccionar los criterios de impacto(Afectación Económica o presupuestal y Pérdida Reputacional)",M79)</f>
        <v xml:space="preserve"> El riesgo afecta la imagen de la entidad con algunos usuarios de relevancia frente al logro de los objetivos</v>
      </c>
      <c r="O79" s="343" t="str">
        <f>IF(OR(N79='Tabla Impacto'!$C$11,N79='Tabla Impacto'!$D$11),"Leve",IF(OR(N79='Tabla Impacto'!$C$12,N79='Tabla Impacto'!$D$12),"Menor",IF(OR(N79='Tabla Impacto'!$C$13,N79='Tabla Impacto'!$D$13),"Moderado",IF(OR(N79='Tabla Impacto'!$C$14,N79='Tabla Impacto'!$D$14),"Mayor",IF(OR(N79='Tabla Impacto'!$C$15,N79='Tabla Impacto'!$D$15),"Catastrófico","")))))</f>
        <v>Moderado</v>
      </c>
      <c r="P79" s="346">
        <f>IF(O79="","",IF(O79="Leve",0.2,IF(O79="Menor",0.4,IF(O79="Moderado",0.6,IF(O79="Mayor",0.8,IF(O79="Catastrófico",1,))))))</f>
        <v>0.6</v>
      </c>
      <c r="Q79" s="336" t="str">
        <f>IF(OR(AND(K79="Muy Baja",O79="Leve"),AND(K79="Muy Baja",O79="Menor"),AND(K79="Baja",O79="Leve")),"Bajo",IF(OR(AND(K79="Muy baja",O79="Moderado"),AND(K79="Baja",O79="Menor"),AND(K79="Baja",O79="Moderado"),AND(K79="Media",O79="Leve"),AND(K79="Media",O79="Menor"),AND(K79="Media",O79="Moderado"),AND(K79="Alta",O79="Leve"),AND(K79="Alta",O79="Menor")),"Moderado",IF(OR(AND(K79="Muy Baja",O79="Mayor"),AND(K79="Baja",O79="Mayor"),AND(K79="Media",O79="Mayor"),AND(K79="Alta",O79="Moderado"),AND(K79="Alta",O79="Mayor"),AND(K79="Muy Alta",O79="Leve"),AND(K79="Muy Alta",O79="Menor"),AND(K79="Muy Alta",O79="Moderado"),AND(K79="Muy Alta",O79="Mayor")),"Alto",IF(OR(AND(K79="Muy Baja",O79="Catastrófico"),AND(K79="Baja",O79="Catastrófico"),AND(K79="Media",O79="Catastrófico"),AND(K79="Alta",O79="Catastrófico"),AND(K79="Muy Alta",O79="Catastrófico")),"Extremo",""))))</f>
        <v>Moderado</v>
      </c>
      <c r="R79" s="126">
        <v>1</v>
      </c>
      <c r="S79" s="95" t="s">
        <v>340</v>
      </c>
      <c r="T79" s="127" t="str">
        <f t="shared" si="25"/>
        <v>Probabilidad</v>
      </c>
      <c r="U79" s="128" t="s">
        <v>14</v>
      </c>
      <c r="V79" s="128" t="s">
        <v>9</v>
      </c>
      <c r="W79" s="129" t="str">
        <f t="shared" si="26"/>
        <v>40%</v>
      </c>
      <c r="X79" s="128" t="s">
        <v>19</v>
      </c>
      <c r="Y79" s="128" t="s">
        <v>22</v>
      </c>
      <c r="Z79" s="128" t="s">
        <v>110</v>
      </c>
      <c r="AA79" s="130">
        <f t="shared" si="27"/>
        <v>0.24</v>
      </c>
      <c r="AB79" s="131" t="str">
        <f t="shared" si="28"/>
        <v>Baja</v>
      </c>
      <c r="AC79" s="132">
        <f t="shared" si="29"/>
        <v>0.24</v>
      </c>
      <c r="AD79" s="131" t="str">
        <f t="shared" si="30"/>
        <v>Moderado</v>
      </c>
      <c r="AE79" s="132">
        <f t="shared" si="31"/>
        <v>0.6</v>
      </c>
      <c r="AF79" s="133" t="str">
        <f t="shared" si="32"/>
        <v>Moderado</v>
      </c>
      <c r="AG79" s="134" t="s">
        <v>122</v>
      </c>
      <c r="AH79" s="95" t="s">
        <v>290</v>
      </c>
      <c r="AI79" s="137" t="s">
        <v>260</v>
      </c>
      <c r="AJ79" s="135" t="s">
        <v>286</v>
      </c>
      <c r="AK79" s="135" t="s">
        <v>287</v>
      </c>
      <c r="AL79" s="95" t="s">
        <v>291</v>
      </c>
      <c r="AM79" s="95" t="s">
        <v>816</v>
      </c>
      <c r="AN79" s="227" t="s">
        <v>702</v>
      </c>
      <c r="AO79" s="218">
        <v>1</v>
      </c>
      <c r="AP79" s="122" t="s">
        <v>703</v>
      </c>
      <c r="AQ79" s="95" t="s">
        <v>704</v>
      </c>
      <c r="AR79" s="218">
        <v>1</v>
      </c>
      <c r="AS79" s="95"/>
      <c r="AT79" s="232" t="s">
        <v>629</v>
      </c>
      <c r="AU79" s="137" t="s">
        <v>630</v>
      </c>
      <c r="AV79" s="137" t="s">
        <v>630</v>
      </c>
      <c r="AW79" s="137" t="s">
        <v>630</v>
      </c>
      <c r="AX79" s="95"/>
    </row>
    <row r="80" spans="1:50" s="147" customFormat="1" ht="151.5" customHeight="1" x14ac:dyDescent="0.25">
      <c r="A80" s="372"/>
      <c r="B80" s="374"/>
      <c r="C80" s="381"/>
      <c r="D80" s="377"/>
      <c r="E80" s="340"/>
      <c r="F80" s="340"/>
      <c r="G80" s="340"/>
      <c r="H80" s="335"/>
      <c r="I80" s="340"/>
      <c r="J80" s="342"/>
      <c r="K80" s="344"/>
      <c r="L80" s="347"/>
      <c r="M80" s="350"/>
      <c r="N80" s="136"/>
      <c r="O80" s="344"/>
      <c r="P80" s="347"/>
      <c r="Q80" s="337"/>
      <c r="R80" s="126">
        <v>2</v>
      </c>
      <c r="S80" s="95" t="s">
        <v>394</v>
      </c>
      <c r="T80" s="127" t="str">
        <f t="shared" ref="T80:T81" si="111">IF(OR(U80="Preventivo",U80="Detectivo"),"Probabilidad",IF(U80="Correctivo","Impacto",""))</f>
        <v>Probabilidad</v>
      </c>
      <c r="U80" s="128" t="s">
        <v>15</v>
      </c>
      <c r="V80" s="128" t="s">
        <v>9</v>
      </c>
      <c r="W80" s="129" t="str">
        <f t="shared" ref="W80:W81" si="112">IF(AND(U80="Preventivo",V80="Automático"),"50%",IF(AND(U80="Preventivo",V80="Manual"),"40%",IF(AND(U80="Detectivo",V80="Automático"),"40%",IF(AND(U80="Detectivo",V80="Manual"),"30%",IF(AND(U80="Correctivo",V80="Automático"),"35%",IF(AND(U80="Correctivo",V80="Manual"),"25%",""))))))</f>
        <v>30%</v>
      </c>
      <c r="X80" s="128" t="s">
        <v>20</v>
      </c>
      <c r="Y80" s="128" t="s">
        <v>23</v>
      </c>
      <c r="Z80" s="128" t="s">
        <v>110</v>
      </c>
      <c r="AA80" s="130">
        <f>IFERROR(IF(T80="Probabilidad",(AA79-(+AA79*W80)),IF(T80="Impacto",L80,"")),"")</f>
        <v>0.16799999999999998</v>
      </c>
      <c r="AB80" s="131" t="str">
        <f t="shared" ref="AB80:AB81" si="113">IFERROR(IF(AA80="","",IF(AA80&lt;=0.2,"Muy Baja",IF(AA80&lt;=0.4,"Baja",IF(AA80&lt;=0.6,"Media",IF(AA80&lt;=0.8,"Alta","Muy Alta"))))),"")</f>
        <v>Muy Baja</v>
      </c>
      <c r="AC80" s="132">
        <f t="shared" ref="AC80:AC81" si="114">+AA80</f>
        <v>0.16799999999999998</v>
      </c>
      <c r="AD80" s="131" t="str">
        <f t="shared" ref="AD80:AD81" si="115">IFERROR(IF(AE80="","",IF(AE80&lt;=0.2,"Leve",IF(AE80&lt;=0.4,"Menor",IF(AE80&lt;=0.6,"Moderado",IF(AE80&lt;=0.8,"Mayor","Catastrófico"))))),"")</f>
        <v>Moderado</v>
      </c>
      <c r="AE80" s="132">
        <v>0.6</v>
      </c>
      <c r="AF80" s="133" t="str">
        <f t="shared" ref="AF80:AF81" si="116">IFERROR(IF(OR(AND(AB80="Muy Baja",AD80="Leve"),AND(AB80="Muy Baja",AD80="Menor"),AND(AB80="Baja",AD80="Leve")),"Bajo",IF(OR(AND(AB80="Muy baja",AD80="Moderado"),AND(AB80="Baja",AD80="Menor"),AND(AB80="Baja",AD80="Moderado"),AND(AB80="Media",AD80="Leve"),AND(AB80="Media",AD80="Menor"),AND(AB80="Media",AD80="Moderado"),AND(AB80="Alta",AD80="Leve"),AND(AB80="Alta",AD80="Menor")),"Moderado",IF(OR(AND(AB80="Muy Baja",AD80="Mayor"),AND(AB80="Baja",AD80="Mayor"),AND(AB80="Media",AD80="Mayor"),AND(AB80="Alta",AD80="Moderado"),AND(AB80="Alta",AD80="Mayor"),AND(AB80="Muy Alta",AD80="Leve"),AND(AB80="Muy Alta",AD80="Menor"),AND(AB80="Muy Alta",AD80="Moderado"),AND(AB80="Muy Alta",AD80="Mayor")),"Alto",IF(OR(AND(AB80="Muy Baja",AD80="Catastrófico"),AND(AB80="Baja",AD80="Catastrófico"),AND(AB80="Media",AD80="Catastrófico"),AND(AB80="Alta",AD80="Catastrófico"),AND(AB80="Muy Alta",AD80="Catastrófico")),"Extremo","")))),"")</f>
        <v>Moderado</v>
      </c>
      <c r="AG80" s="134" t="s">
        <v>122</v>
      </c>
      <c r="AH80" s="95" t="s">
        <v>395</v>
      </c>
      <c r="AI80" s="137" t="s">
        <v>260</v>
      </c>
      <c r="AJ80" s="135" t="s">
        <v>286</v>
      </c>
      <c r="AK80" s="135" t="s">
        <v>287</v>
      </c>
      <c r="AL80" s="95" t="s">
        <v>291</v>
      </c>
      <c r="AM80" s="95" t="s">
        <v>705</v>
      </c>
      <c r="AN80" s="227" t="s">
        <v>817</v>
      </c>
      <c r="AO80" s="218">
        <v>1</v>
      </c>
      <c r="AP80" s="95" t="s">
        <v>706</v>
      </c>
      <c r="AQ80" s="95" t="s">
        <v>707</v>
      </c>
      <c r="AR80" s="218">
        <v>1</v>
      </c>
      <c r="AS80" s="95"/>
      <c r="AT80" s="232" t="s">
        <v>629</v>
      </c>
      <c r="AU80" s="137" t="s">
        <v>630</v>
      </c>
      <c r="AV80" s="137" t="s">
        <v>630</v>
      </c>
      <c r="AW80" s="137" t="s">
        <v>630</v>
      </c>
      <c r="AX80" s="95"/>
    </row>
    <row r="81" spans="1:50" s="147" customFormat="1" ht="151.5" customHeight="1" x14ac:dyDescent="0.25">
      <c r="A81" s="372"/>
      <c r="B81" s="375"/>
      <c r="C81" s="381"/>
      <c r="D81" s="377"/>
      <c r="E81" s="340"/>
      <c r="F81" s="340"/>
      <c r="G81" s="340"/>
      <c r="H81" s="335"/>
      <c r="I81" s="340"/>
      <c r="J81" s="342"/>
      <c r="K81" s="345"/>
      <c r="L81" s="348"/>
      <c r="M81" s="350"/>
      <c r="N81" s="136"/>
      <c r="O81" s="345"/>
      <c r="P81" s="348"/>
      <c r="Q81" s="338"/>
      <c r="R81" s="126">
        <v>3</v>
      </c>
      <c r="S81" s="95" t="s">
        <v>341</v>
      </c>
      <c r="T81" s="127" t="str">
        <f t="shared" si="111"/>
        <v>Probabilidad</v>
      </c>
      <c r="U81" s="128" t="s">
        <v>14</v>
      </c>
      <c r="V81" s="128" t="s">
        <v>9</v>
      </c>
      <c r="W81" s="129" t="str">
        <f t="shared" si="112"/>
        <v>40%</v>
      </c>
      <c r="X81" s="128" t="s">
        <v>19</v>
      </c>
      <c r="Y81" s="128" t="s">
        <v>22</v>
      </c>
      <c r="Z81" s="128" t="s">
        <v>110</v>
      </c>
      <c r="AA81" s="130">
        <f>IFERROR(IF(T81="Probabilidad",(AA80-(+AA80*W81)),IF(T81="Impacto",L81,"")),"")</f>
        <v>0.10079999999999999</v>
      </c>
      <c r="AB81" s="131" t="str">
        <f t="shared" si="113"/>
        <v>Muy Baja</v>
      </c>
      <c r="AC81" s="132">
        <f t="shared" si="114"/>
        <v>0.10079999999999999</v>
      </c>
      <c r="AD81" s="131" t="str">
        <f t="shared" si="115"/>
        <v>Moderado</v>
      </c>
      <c r="AE81" s="132">
        <v>0.6</v>
      </c>
      <c r="AF81" s="133" t="str">
        <f t="shared" si="116"/>
        <v>Moderado</v>
      </c>
      <c r="AG81" s="134" t="s">
        <v>122</v>
      </c>
      <c r="AH81" s="95" t="s">
        <v>396</v>
      </c>
      <c r="AI81" s="538" t="s">
        <v>260</v>
      </c>
      <c r="AJ81" s="539" t="s">
        <v>286</v>
      </c>
      <c r="AK81" s="539" t="s">
        <v>287</v>
      </c>
      <c r="AL81" s="540" t="s">
        <v>291</v>
      </c>
      <c r="AM81" s="540" t="s">
        <v>708</v>
      </c>
      <c r="AN81" s="541" t="s">
        <v>709</v>
      </c>
      <c r="AO81" s="542">
        <v>1</v>
      </c>
      <c r="AP81" s="540" t="s">
        <v>818</v>
      </c>
      <c r="AQ81" s="543" t="s">
        <v>710</v>
      </c>
      <c r="AR81" s="542">
        <v>1</v>
      </c>
      <c r="AS81" s="540"/>
      <c r="AT81" s="544" t="s">
        <v>629</v>
      </c>
      <c r="AU81" s="538" t="s">
        <v>630</v>
      </c>
      <c r="AV81" s="538" t="s">
        <v>630</v>
      </c>
      <c r="AW81" s="538" t="s">
        <v>630</v>
      </c>
      <c r="AX81" s="540" t="s">
        <v>804</v>
      </c>
    </row>
    <row r="82" spans="1:50" s="147" customFormat="1" ht="151.5" customHeight="1" x14ac:dyDescent="0.25">
      <c r="A82" s="372">
        <v>26</v>
      </c>
      <c r="B82" s="404" t="s">
        <v>292</v>
      </c>
      <c r="C82" s="376" t="s">
        <v>357</v>
      </c>
      <c r="D82" s="376" t="s">
        <v>398</v>
      </c>
      <c r="E82" s="339" t="s">
        <v>120</v>
      </c>
      <c r="F82" s="339" t="s">
        <v>293</v>
      </c>
      <c r="G82" s="339" t="s">
        <v>294</v>
      </c>
      <c r="H82" s="334" t="s">
        <v>560</v>
      </c>
      <c r="I82" s="339" t="s">
        <v>115</v>
      </c>
      <c r="J82" s="341">
        <v>2</v>
      </c>
      <c r="K82" s="343" t="str">
        <f>IF(J82&lt;=0,"",IF(J82&lt;=2,"Muy Baja",IF(J82&lt;=24,"Baja",IF(J82&lt;=500,"Media",IF(J82&lt;=5000,"Alta","Muy Alta")))))</f>
        <v>Muy Baja</v>
      </c>
      <c r="L82" s="346">
        <f>IF(K82="","",IF(K82="Muy Baja",0.2,IF(K82="Baja",0.4,IF(K82="Media",0.6,IF(K82="Alta",0.8,IF(K82="Muy Alta",1,))))))</f>
        <v>0.2</v>
      </c>
      <c r="M82" s="349" t="s">
        <v>485</v>
      </c>
      <c r="N82" s="125" t="str">
        <f>IF(NOT(ISERROR(MATCH(M82,'Tabla Impacto'!$B$221:$B$223,0))),'Tabla Impacto'!$F$223&amp;"Por favor no seleccionar los criterios de impacto(Afectación Económica o presupuestal y Pérdida Reputacional)",M82)</f>
        <v xml:space="preserve"> Entre 50 y 100 SMLMV </v>
      </c>
      <c r="O82" s="343" t="str">
        <f>IF(OR(N82='Tabla Impacto'!$C$11,N82='Tabla Impacto'!$D$11),"Leve",IF(OR(N82='Tabla Impacto'!$C$12,N82='Tabla Impacto'!$D$12),"Menor",IF(OR(N82='Tabla Impacto'!$C$13,N82='Tabla Impacto'!$D$13),"Moderado",IF(OR(N82='Tabla Impacto'!$C$14,N82='Tabla Impacto'!$D$14),"Mayor",IF(OR(N82='Tabla Impacto'!$C$15,N82='Tabla Impacto'!$D$15),"Catastrófico","")))))</f>
        <v>Moderado</v>
      </c>
      <c r="P82" s="346">
        <f>IF(O82="","",IF(O82="Leve",0.2,IF(O82="Menor",0.4,IF(O82="Moderado",0.6,IF(O82="Mayor",0.8,IF(O82="Catastrófico",1,))))))</f>
        <v>0.6</v>
      </c>
      <c r="Q82" s="336" t="str">
        <f>IF(OR(AND(K82="Muy Baja",O82="Leve"),AND(K82="Muy Baja",O82="Menor"),AND(K82="Baja",O82="Leve")),"Bajo",IF(OR(AND(K82="Muy baja",O82="Moderado"),AND(K82="Baja",O82="Menor"),AND(K82="Baja",O82="Moderado"),AND(K82="Media",O82="Leve"),AND(K82="Media",O82="Menor"),AND(K82="Media",O82="Moderado"),AND(K82="Alta",O82="Leve"),AND(K82="Alta",O82="Menor")),"Moderado",IF(OR(AND(K82="Muy Baja",O82="Mayor"),AND(K82="Baja",O82="Mayor"),AND(K82="Media",O82="Mayor"),AND(K82="Alta",O82="Moderado"),AND(K82="Alta",O82="Mayor"),AND(K82="Muy Alta",O82="Leve"),AND(K82="Muy Alta",O82="Menor"),AND(K82="Muy Alta",O82="Moderado"),AND(K82="Muy Alta",O82="Mayor")),"Alto",IF(OR(AND(K82="Muy Baja",O82="Catastrófico"),AND(K82="Baja",O82="Catastrófico"),AND(K82="Media",O82="Catastrófico"),AND(K82="Alta",O82="Catastrófico"),AND(K82="Muy Alta",O82="Catastrófico")),"Extremo",""))))</f>
        <v>Moderado</v>
      </c>
      <c r="R82" s="126">
        <v>1</v>
      </c>
      <c r="S82" s="95" t="s">
        <v>561</v>
      </c>
      <c r="T82" s="127" t="str">
        <f t="shared" si="25"/>
        <v>Probabilidad</v>
      </c>
      <c r="U82" s="128" t="s">
        <v>14</v>
      </c>
      <c r="V82" s="128" t="s">
        <v>9</v>
      </c>
      <c r="W82" s="129" t="str">
        <f t="shared" si="26"/>
        <v>40%</v>
      </c>
      <c r="X82" s="128" t="s">
        <v>20</v>
      </c>
      <c r="Y82" s="128" t="s">
        <v>22</v>
      </c>
      <c r="Z82" s="128" t="s">
        <v>110</v>
      </c>
      <c r="AA82" s="130">
        <f t="shared" si="27"/>
        <v>0.12</v>
      </c>
      <c r="AB82" s="131" t="str">
        <f t="shared" si="28"/>
        <v>Muy Baja</v>
      </c>
      <c r="AC82" s="132">
        <f t="shared" si="29"/>
        <v>0.12</v>
      </c>
      <c r="AD82" s="131" t="str">
        <f t="shared" si="30"/>
        <v>Moderado</v>
      </c>
      <c r="AE82" s="132">
        <f t="shared" si="31"/>
        <v>0.6</v>
      </c>
      <c r="AF82" s="133" t="str">
        <f t="shared" si="32"/>
        <v>Moderado</v>
      </c>
      <c r="AG82" s="134" t="s">
        <v>122</v>
      </c>
      <c r="AH82" s="95" t="s">
        <v>562</v>
      </c>
      <c r="AI82" s="123" t="s">
        <v>260</v>
      </c>
      <c r="AJ82" s="124">
        <v>44562</v>
      </c>
      <c r="AK82" s="139" t="s">
        <v>373</v>
      </c>
      <c r="AL82" s="95" t="s">
        <v>451</v>
      </c>
      <c r="AM82" s="216" t="s">
        <v>819</v>
      </c>
      <c r="AN82" s="216" t="s">
        <v>685</v>
      </c>
      <c r="AO82" s="218">
        <v>1</v>
      </c>
      <c r="AP82" s="216" t="s">
        <v>686</v>
      </c>
      <c r="AQ82" s="216" t="s">
        <v>687</v>
      </c>
      <c r="AR82" s="218">
        <v>1</v>
      </c>
      <c r="AS82" s="95"/>
      <c r="AT82" s="232" t="s">
        <v>629</v>
      </c>
      <c r="AU82" s="137" t="s">
        <v>630</v>
      </c>
      <c r="AV82" s="137" t="s">
        <v>630</v>
      </c>
      <c r="AW82" s="137" t="s">
        <v>630</v>
      </c>
      <c r="AX82" s="95"/>
    </row>
    <row r="83" spans="1:50" s="147" customFormat="1" ht="151.5" customHeight="1" x14ac:dyDescent="0.25">
      <c r="A83" s="372"/>
      <c r="B83" s="405"/>
      <c r="C83" s="377"/>
      <c r="D83" s="377"/>
      <c r="E83" s="340"/>
      <c r="F83" s="340"/>
      <c r="G83" s="340"/>
      <c r="H83" s="335"/>
      <c r="I83" s="340"/>
      <c r="J83" s="342"/>
      <c r="K83" s="344"/>
      <c r="L83" s="347"/>
      <c r="M83" s="350"/>
      <c r="N83" s="136"/>
      <c r="O83" s="344"/>
      <c r="P83" s="347"/>
      <c r="Q83" s="337"/>
      <c r="R83" s="126">
        <v>2</v>
      </c>
      <c r="S83" s="95" t="s">
        <v>342</v>
      </c>
      <c r="T83" s="127" t="str">
        <f t="shared" ref="T83:T85" si="117">IF(OR(U83="Preventivo",U83="Detectivo"),"Probabilidad",IF(U83="Correctivo","Impacto",""))</f>
        <v>Probabilidad</v>
      </c>
      <c r="U83" s="128" t="s">
        <v>14</v>
      </c>
      <c r="V83" s="128" t="s">
        <v>9</v>
      </c>
      <c r="W83" s="129" t="str">
        <f t="shared" ref="W83:W85" si="118">IF(AND(U83="Preventivo",V83="Automático"),"50%",IF(AND(U83="Preventivo",V83="Manual"),"40%",IF(AND(U83="Detectivo",V83="Automático"),"40%",IF(AND(U83="Detectivo",V83="Manual"),"30%",IF(AND(U83="Correctivo",V83="Automático"),"35%",IF(AND(U83="Correctivo",V83="Manual"),"25%",""))))))</f>
        <v>40%</v>
      </c>
      <c r="X83" s="128" t="s">
        <v>19</v>
      </c>
      <c r="Y83" s="128" t="s">
        <v>22</v>
      </c>
      <c r="Z83" s="128" t="s">
        <v>110</v>
      </c>
      <c r="AA83" s="130">
        <f>IFERROR(IF(T83="Probabilidad",(AA82-(+AA82*W83)),IF(T83="Impacto",L83,"")),"")</f>
        <v>7.1999999999999995E-2</v>
      </c>
      <c r="AB83" s="131" t="str">
        <f t="shared" ref="AB83:AB85" si="119">IFERROR(IF(AA83="","",IF(AA83&lt;=0.2,"Muy Baja",IF(AA83&lt;=0.4,"Baja",IF(AA83&lt;=0.6,"Media",IF(AA83&lt;=0.8,"Alta","Muy Alta"))))),"")</f>
        <v>Muy Baja</v>
      </c>
      <c r="AC83" s="132">
        <f t="shared" ref="AC83:AC85" si="120">+AA83</f>
        <v>7.1999999999999995E-2</v>
      </c>
      <c r="AD83" s="131" t="str">
        <f t="shared" ref="AD83:AD85" si="121">IFERROR(IF(AE83="","",IF(AE83&lt;=0.2,"Leve",IF(AE83&lt;=0.4,"Menor",IF(AE83&lt;=0.6,"Moderado",IF(AE83&lt;=0.8,"Mayor","Catastrófico"))))),"")</f>
        <v>Moderado</v>
      </c>
      <c r="AE83" s="132">
        <f>+AE82</f>
        <v>0.6</v>
      </c>
      <c r="AF83" s="133" t="str">
        <f t="shared" ref="AF83:AF85" si="122">IFERROR(IF(OR(AND(AB83="Muy Baja",AD83="Leve"),AND(AB83="Muy Baja",AD83="Menor"),AND(AB83="Baja",AD83="Leve")),"Bajo",IF(OR(AND(AB83="Muy baja",AD83="Moderado"),AND(AB83="Baja",AD83="Menor"),AND(AB83="Baja",AD83="Moderado"),AND(AB83="Media",AD83="Leve"),AND(AB83="Media",AD83="Menor"),AND(AB83="Media",AD83="Moderado"),AND(AB83="Alta",AD83="Leve"),AND(AB83="Alta",AD83="Menor")),"Moderado",IF(OR(AND(AB83="Muy Baja",AD83="Mayor"),AND(AB83="Baja",AD83="Mayor"),AND(AB83="Media",AD83="Mayor"),AND(AB83="Alta",AD83="Moderado"),AND(AB83="Alta",AD83="Mayor"),AND(AB83="Muy Alta",AD83="Leve"),AND(AB83="Muy Alta",AD83="Menor"),AND(AB83="Muy Alta",AD83="Moderado"),AND(AB83="Muy Alta",AD83="Mayor")),"Alto",IF(OR(AND(AB83="Muy Baja",AD83="Catastrófico"),AND(AB83="Baja",AD83="Catastrófico"),AND(AB83="Media",AD83="Catastrófico"),AND(AB83="Alta",AD83="Catastrófico"),AND(AB83="Muy Alta",AD83="Catastrófico")),"Extremo","")))),"")</f>
        <v>Moderado</v>
      </c>
      <c r="AG83" s="134" t="s">
        <v>122</v>
      </c>
      <c r="AH83" s="95" t="s">
        <v>563</v>
      </c>
      <c r="AI83" s="123" t="s">
        <v>399</v>
      </c>
      <c r="AJ83" s="124">
        <v>44562</v>
      </c>
      <c r="AK83" s="139" t="s">
        <v>373</v>
      </c>
      <c r="AL83" s="95" t="s">
        <v>451</v>
      </c>
      <c r="AM83" s="95" t="s">
        <v>820</v>
      </c>
      <c r="AN83" s="95" t="s">
        <v>793</v>
      </c>
      <c r="AO83" s="218">
        <v>1</v>
      </c>
      <c r="AP83" s="95" t="s">
        <v>821</v>
      </c>
      <c r="AQ83" s="216" t="s">
        <v>687</v>
      </c>
      <c r="AR83" s="218">
        <v>1</v>
      </c>
      <c r="AS83" s="95"/>
      <c r="AT83" s="232" t="s">
        <v>629</v>
      </c>
      <c r="AU83" s="137" t="s">
        <v>630</v>
      </c>
      <c r="AV83" s="137" t="s">
        <v>630</v>
      </c>
      <c r="AW83" s="137" t="s">
        <v>630</v>
      </c>
      <c r="AX83" s="95" t="s">
        <v>870</v>
      </c>
    </row>
    <row r="84" spans="1:50" s="147" customFormat="1" ht="151.5" customHeight="1" x14ac:dyDescent="0.25">
      <c r="A84" s="372"/>
      <c r="B84" s="406"/>
      <c r="C84" s="377"/>
      <c r="D84" s="377"/>
      <c r="E84" s="340"/>
      <c r="F84" s="340"/>
      <c r="G84" s="340"/>
      <c r="H84" s="335"/>
      <c r="I84" s="340"/>
      <c r="J84" s="342"/>
      <c r="K84" s="345"/>
      <c r="L84" s="348"/>
      <c r="M84" s="350"/>
      <c r="N84" s="136"/>
      <c r="O84" s="345"/>
      <c r="P84" s="348"/>
      <c r="Q84" s="338"/>
      <c r="R84" s="126">
        <v>3</v>
      </c>
      <c r="S84" s="122" t="s">
        <v>587</v>
      </c>
      <c r="T84" s="127" t="str">
        <f t="shared" si="117"/>
        <v>Probabilidad</v>
      </c>
      <c r="U84" s="128" t="s">
        <v>15</v>
      </c>
      <c r="V84" s="128" t="s">
        <v>9</v>
      </c>
      <c r="W84" s="129" t="str">
        <f t="shared" si="118"/>
        <v>30%</v>
      </c>
      <c r="X84" s="128" t="s">
        <v>20</v>
      </c>
      <c r="Y84" s="128" t="s">
        <v>23</v>
      </c>
      <c r="Z84" s="128" t="s">
        <v>111</v>
      </c>
      <c r="AA84" s="130">
        <f>IFERROR(IF(T84="Probabilidad",(AA83-(+AA83*W84)),IF(T84="Impacto",L84,"")),"")</f>
        <v>5.04E-2</v>
      </c>
      <c r="AB84" s="131" t="str">
        <f t="shared" si="119"/>
        <v>Muy Baja</v>
      </c>
      <c r="AC84" s="132">
        <f t="shared" si="120"/>
        <v>5.04E-2</v>
      </c>
      <c r="AD84" s="131" t="str">
        <f t="shared" si="121"/>
        <v>Moderado</v>
      </c>
      <c r="AE84" s="132">
        <f>+P82</f>
        <v>0.6</v>
      </c>
      <c r="AF84" s="133" t="str">
        <f t="shared" si="122"/>
        <v>Moderado</v>
      </c>
      <c r="AG84" s="134" t="s">
        <v>122</v>
      </c>
      <c r="AH84" s="95" t="s">
        <v>562</v>
      </c>
      <c r="AI84" s="123" t="s">
        <v>399</v>
      </c>
      <c r="AJ84" s="124">
        <v>44562</v>
      </c>
      <c r="AK84" s="139" t="s">
        <v>373</v>
      </c>
      <c r="AL84" s="95" t="s">
        <v>451</v>
      </c>
      <c r="AM84" s="95" t="s">
        <v>822</v>
      </c>
      <c r="AN84" s="95" t="s">
        <v>794</v>
      </c>
      <c r="AO84" s="218">
        <v>1</v>
      </c>
      <c r="AP84" s="95" t="s">
        <v>795</v>
      </c>
      <c r="AQ84" s="95" t="s">
        <v>796</v>
      </c>
      <c r="AR84" s="218">
        <v>1</v>
      </c>
      <c r="AS84" s="95"/>
      <c r="AT84" s="232" t="s">
        <v>629</v>
      </c>
      <c r="AU84" s="137" t="s">
        <v>630</v>
      </c>
      <c r="AV84" s="137" t="s">
        <v>630</v>
      </c>
      <c r="AW84" s="137" t="s">
        <v>630</v>
      </c>
      <c r="AX84" s="95"/>
    </row>
    <row r="85" spans="1:50" s="147" customFormat="1" ht="151.5" customHeight="1" x14ac:dyDescent="0.25">
      <c r="A85" s="372">
        <v>27</v>
      </c>
      <c r="B85" s="404" t="s">
        <v>292</v>
      </c>
      <c r="C85" s="376" t="s">
        <v>357</v>
      </c>
      <c r="D85" s="376" t="s">
        <v>398</v>
      </c>
      <c r="E85" s="339" t="s">
        <v>118</v>
      </c>
      <c r="F85" s="339" t="s">
        <v>452</v>
      </c>
      <c r="G85" s="339" t="s">
        <v>453</v>
      </c>
      <c r="H85" s="334" t="s">
        <v>454</v>
      </c>
      <c r="I85" s="339" t="s">
        <v>328</v>
      </c>
      <c r="J85" s="341">
        <v>10</v>
      </c>
      <c r="K85" s="343" t="str">
        <f>IF(J85&lt;=0,"",IF(J85&lt;=2,"Muy Baja",IF(J85&lt;=24,"Baja",IF(J85&lt;=500,"Media",IF(J85&lt;=5000,"Alta","Muy Alta")))))</f>
        <v>Baja</v>
      </c>
      <c r="L85" s="346">
        <f>IF(K85="","",IF(K85="Muy Baja",0.2,IF(K85="Baja",0.4,IF(K85="Media",0.6,IF(K85="Alta",0.8,IF(K85="Muy Alta",1,))))))</f>
        <v>0.4</v>
      </c>
      <c r="M85" s="349" t="s">
        <v>486</v>
      </c>
      <c r="N85" s="125" t="str">
        <f>IF(NOT(ISERROR(MATCH(M85,'Tabla Impacto'!$B$221:$B$223,0))),'Tabla Impacto'!$F$223&amp;"Por favor no seleccionar los criterios de impacto(Afectación Económica o presupuestal y Pérdida Reputacional)",M85)</f>
        <v xml:space="preserve"> El riesgo afecta la imagen de la entidad con algunos usuarios de relevancia frente al logro de los objetivos</v>
      </c>
      <c r="O85" s="343" t="str">
        <f>IF(OR(N85='Tabla Impacto'!$C$11,N85='Tabla Impacto'!$D$11),"Leve",IF(OR(N85='Tabla Impacto'!$C$12,N85='Tabla Impacto'!$D$12),"Menor",IF(OR(N85='Tabla Impacto'!$C$13,N85='Tabla Impacto'!$D$13),"Moderado",IF(OR(N85='Tabla Impacto'!$C$14,N85='Tabla Impacto'!$D$14),"Mayor",IF(OR(N85='Tabla Impacto'!$C$15,N85='Tabla Impacto'!$D$15),"Catastrófico","")))))</f>
        <v>Moderado</v>
      </c>
      <c r="P85" s="346">
        <f>IF(O85="","",IF(O85="Leve",0.2,IF(O85="Menor",0.4,IF(O85="Moderado",0.6,IF(O85="Mayor",0.8,IF(O85="Catastrófico",1,))))))</f>
        <v>0.6</v>
      </c>
      <c r="Q85" s="336" t="str">
        <f>IF(OR(AND(K85="Muy Baja",O85="Leve"),AND(K85="Muy Baja",O85="Menor"),AND(K85="Baja",O85="Leve")),"Bajo",IF(OR(AND(K85="Muy baja",O85="Moderado"),AND(K85="Baja",O85="Menor"),AND(K85="Baja",O85="Moderado"),AND(K85="Media",O85="Leve"),AND(K85="Media",O85="Menor"),AND(K85="Media",O85="Moderado"),AND(K85="Alta",O85="Leve"),AND(K85="Alta",O85="Menor")),"Moderado",IF(OR(AND(K85="Muy Baja",O85="Mayor"),AND(K85="Baja",O85="Mayor"),AND(K85="Media",O85="Mayor"),AND(K85="Alta",O85="Moderado"),AND(K85="Alta",O85="Mayor"),AND(K85="Muy Alta",O85="Leve"),AND(K85="Muy Alta",O85="Menor"),AND(K85="Muy Alta",O85="Moderado"),AND(K85="Muy Alta",O85="Mayor")),"Alto",IF(OR(AND(K85="Muy Baja",O85="Catastrófico"),AND(K85="Baja",O85="Catastrófico"),AND(K85="Media",O85="Catastrófico"),AND(K85="Alta",O85="Catastrófico"),AND(K85="Muy Alta",O85="Catastrófico")),"Extremo",""))))</f>
        <v>Moderado</v>
      </c>
      <c r="R85" s="126">
        <v>1</v>
      </c>
      <c r="S85" s="95" t="s">
        <v>459</v>
      </c>
      <c r="T85" s="127" t="str">
        <f t="shared" si="117"/>
        <v>Probabilidad</v>
      </c>
      <c r="U85" s="128" t="s">
        <v>15</v>
      </c>
      <c r="V85" s="128" t="s">
        <v>9</v>
      </c>
      <c r="W85" s="129" t="str">
        <f t="shared" si="118"/>
        <v>30%</v>
      </c>
      <c r="X85" s="128" t="s">
        <v>20</v>
      </c>
      <c r="Y85" s="128" t="s">
        <v>23</v>
      </c>
      <c r="Z85" s="128" t="s">
        <v>111</v>
      </c>
      <c r="AA85" s="140">
        <f t="shared" ref="AA85" si="123">IFERROR(IF(T85="Probabilidad",(L85-(+L85*W85)),IF(T85="Impacto",L85,"")),"")</f>
        <v>0.28000000000000003</v>
      </c>
      <c r="AB85" s="131" t="str">
        <f t="shared" si="119"/>
        <v>Baja</v>
      </c>
      <c r="AC85" s="132">
        <f t="shared" si="120"/>
        <v>0.28000000000000003</v>
      </c>
      <c r="AD85" s="131" t="str">
        <f t="shared" si="121"/>
        <v>Moderado</v>
      </c>
      <c r="AE85" s="132">
        <f t="shared" ref="AE85" si="124">IFERROR(IF(T85="Impacto",(P85-(+P85*W85)),IF(T85="Probabilidad",P85,"")),"")</f>
        <v>0.6</v>
      </c>
      <c r="AF85" s="133" t="str">
        <f t="shared" si="122"/>
        <v>Moderado</v>
      </c>
      <c r="AG85" s="134" t="s">
        <v>122</v>
      </c>
      <c r="AH85" s="95" t="s">
        <v>564</v>
      </c>
      <c r="AI85" s="123" t="s">
        <v>198</v>
      </c>
      <c r="AJ85" s="124">
        <v>44562</v>
      </c>
      <c r="AK85" s="139" t="s">
        <v>373</v>
      </c>
      <c r="AL85" s="95" t="s">
        <v>455</v>
      </c>
      <c r="AM85" s="216" t="s">
        <v>823</v>
      </c>
      <c r="AN85" s="216" t="s">
        <v>685</v>
      </c>
      <c r="AO85" s="218">
        <v>1</v>
      </c>
      <c r="AP85" s="216" t="s">
        <v>824</v>
      </c>
      <c r="AQ85" s="216" t="s">
        <v>688</v>
      </c>
      <c r="AR85" s="218">
        <v>1</v>
      </c>
      <c r="AS85" s="95"/>
      <c r="AT85" s="232" t="s">
        <v>629</v>
      </c>
      <c r="AU85" s="137" t="s">
        <v>630</v>
      </c>
      <c r="AV85" s="137" t="s">
        <v>630</v>
      </c>
      <c r="AW85" s="137" t="s">
        <v>630</v>
      </c>
      <c r="AX85" s="95"/>
    </row>
    <row r="86" spans="1:50" s="147" customFormat="1" ht="151.5" hidden="1" customHeight="1" x14ac:dyDescent="0.25">
      <c r="A86" s="372"/>
      <c r="B86" s="405"/>
      <c r="C86" s="377"/>
      <c r="D86" s="377"/>
      <c r="E86" s="340"/>
      <c r="F86" s="340"/>
      <c r="G86" s="340"/>
      <c r="H86" s="335"/>
      <c r="I86" s="340"/>
      <c r="J86" s="342"/>
      <c r="K86" s="344"/>
      <c r="L86" s="347"/>
      <c r="M86" s="350"/>
      <c r="N86" s="136"/>
      <c r="O86" s="344"/>
      <c r="P86" s="347"/>
      <c r="Q86" s="337"/>
      <c r="R86" s="126">
        <v>2</v>
      </c>
      <c r="S86" s="95"/>
      <c r="T86" s="127"/>
      <c r="U86" s="128"/>
      <c r="V86" s="128"/>
      <c r="W86" s="129"/>
      <c r="X86" s="128"/>
      <c r="Y86" s="128"/>
      <c r="Z86" s="128"/>
      <c r="AA86" s="140"/>
      <c r="AB86" s="131"/>
      <c r="AC86" s="132"/>
      <c r="AD86" s="131"/>
      <c r="AE86" s="132"/>
      <c r="AF86" s="133"/>
      <c r="AG86" s="134"/>
      <c r="AH86" s="95"/>
      <c r="AI86" s="123"/>
      <c r="AJ86" s="124"/>
      <c r="AK86" s="139"/>
      <c r="AL86" s="95"/>
      <c r="AM86" s="95"/>
      <c r="AN86" s="95"/>
      <c r="AO86" s="218">
        <v>1</v>
      </c>
      <c r="AP86" s="95"/>
      <c r="AQ86" s="95"/>
      <c r="AR86" s="218">
        <v>1</v>
      </c>
      <c r="AS86" s="95"/>
      <c r="AT86" s="232" t="s">
        <v>629</v>
      </c>
      <c r="AU86" s="137" t="s">
        <v>630</v>
      </c>
      <c r="AV86" s="137" t="s">
        <v>630</v>
      </c>
      <c r="AW86" s="137" t="s">
        <v>630</v>
      </c>
      <c r="AX86" s="95"/>
    </row>
    <row r="87" spans="1:50" s="147" customFormat="1" ht="151.5" hidden="1" customHeight="1" x14ac:dyDescent="0.25">
      <c r="A87" s="372"/>
      <c r="B87" s="406"/>
      <c r="C87" s="377"/>
      <c r="D87" s="377"/>
      <c r="E87" s="340"/>
      <c r="F87" s="340"/>
      <c r="G87" s="340"/>
      <c r="H87" s="335"/>
      <c r="I87" s="340"/>
      <c r="J87" s="342"/>
      <c r="K87" s="345"/>
      <c r="L87" s="348"/>
      <c r="M87" s="350"/>
      <c r="N87" s="136"/>
      <c r="O87" s="345"/>
      <c r="P87" s="348"/>
      <c r="Q87" s="338"/>
      <c r="R87" s="126">
        <v>3</v>
      </c>
      <c r="S87" s="95"/>
      <c r="T87" s="127"/>
      <c r="U87" s="128"/>
      <c r="V87" s="128"/>
      <c r="W87" s="129"/>
      <c r="X87" s="128"/>
      <c r="Y87" s="128"/>
      <c r="Z87" s="128"/>
      <c r="AA87" s="140"/>
      <c r="AB87" s="131"/>
      <c r="AC87" s="132"/>
      <c r="AD87" s="131"/>
      <c r="AE87" s="132"/>
      <c r="AF87" s="133"/>
      <c r="AG87" s="134"/>
      <c r="AH87" s="95"/>
      <c r="AI87" s="123"/>
      <c r="AJ87" s="124"/>
      <c r="AK87" s="139"/>
      <c r="AL87" s="95"/>
      <c r="AM87" s="95"/>
      <c r="AN87" s="95"/>
      <c r="AO87" s="218">
        <v>1</v>
      </c>
      <c r="AP87" s="95"/>
      <c r="AQ87" s="95"/>
      <c r="AR87" s="218">
        <v>1</v>
      </c>
      <c r="AS87" s="95"/>
      <c r="AT87" s="232" t="s">
        <v>629</v>
      </c>
      <c r="AU87" s="137" t="s">
        <v>630</v>
      </c>
      <c r="AV87" s="137" t="s">
        <v>630</v>
      </c>
      <c r="AW87" s="137" t="s">
        <v>630</v>
      </c>
      <c r="AX87" s="95"/>
    </row>
    <row r="88" spans="1:50" s="147" customFormat="1" ht="151.5" customHeight="1" x14ac:dyDescent="0.25">
      <c r="A88" s="372">
        <v>28</v>
      </c>
      <c r="B88" s="373" t="s">
        <v>296</v>
      </c>
      <c r="C88" s="376" t="s">
        <v>295</v>
      </c>
      <c r="D88" s="376" t="s">
        <v>297</v>
      </c>
      <c r="E88" s="339" t="s">
        <v>118</v>
      </c>
      <c r="F88" s="339" t="s">
        <v>298</v>
      </c>
      <c r="G88" s="339" t="s">
        <v>456</v>
      </c>
      <c r="H88" s="334" t="s">
        <v>299</v>
      </c>
      <c r="I88" s="339" t="s">
        <v>115</v>
      </c>
      <c r="J88" s="341">
        <v>355</v>
      </c>
      <c r="K88" s="343" t="str">
        <f>IF(J88&lt;=0,"",IF(J88&lt;=2,"Muy Baja",IF(J88&lt;=24,"Baja",IF(J88&lt;=500,"Media",IF(J88&lt;=5000,"Alta","Muy Alta")))))</f>
        <v>Media</v>
      </c>
      <c r="L88" s="346">
        <f>IF(K88="","",IF(K88="Muy Baja",0.2,IF(K88="Baja",0.4,IF(K88="Media",0.6,IF(K88="Alta",0.8,IF(K88="Muy Alta",1,))))))</f>
        <v>0.6</v>
      </c>
      <c r="M88" s="349" t="s">
        <v>493</v>
      </c>
      <c r="N88" s="125" t="str">
        <f>IF(NOT(ISERROR(MATCH(M88,'Tabla Impacto'!$B$221:$B$223,0))),'Tabla Impacto'!$F$223&amp;"Por favor no seleccionar los criterios de impacto(Afectación Económica o presupuestal y Pérdida Reputacional)",M88)</f>
        <v xml:space="preserve"> El riesgo afecta la imagen de la entidad con efecto publicitario sostenido a nivel de sector administrativo, nivel departamental o municipal</v>
      </c>
      <c r="O88" s="343" t="str">
        <f>IF(OR(N88='Tabla Impacto'!$C$11,N88='Tabla Impacto'!$D$11),"Leve",IF(OR(N88='Tabla Impacto'!$C$12,N88='Tabla Impacto'!$D$12),"Menor",IF(OR(N88='Tabla Impacto'!$C$13,N88='Tabla Impacto'!$D$13),"Moderado",IF(OR(N88='Tabla Impacto'!$C$14,N88='Tabla Impacto'!$D$14),"Mayor",IF(OR(N88='Tabla Impacto'!$C$15,N88='Tabla Impacto'!$D$15),"Catastrófico","")))))</f>
        <v>Mayor</v>
      </c>
      <c r="P88" s="346">
        <f>IF(O88="","",IF(O88="Leve",0.2,IF(O88="Menor",0.4,IF(O88="Moderado",0.6,IF(O88="Mayor",0.8,IF(O88="Catastrófico",1,))))))</f>
        <v>0.8</v>
      </c>
      <c r="Q88" s="336" t="str">
        <f>IF(OR(AND(K88="Muy Baja",O88="Leve"),AND(K88="Muy Baja",O88="Menor"),AND(K88="Baja",O88="Leve")),"Bajo",IF(OR(AND(K88="Muy baja",O88="Moderado"),AND(K88="Baja",O88="Menor"),AND(K88="Baja",O88="Moderado"),AND(K88="Media",O88="Leve"),AND(K88="Media",O88="Menor"),AND(K88="Media",O88="Moderado"),AND(K88="Alta",O88="Leve"),AND(K88="Alta",O88="Menor")),"Moderado",IF(OR(AND(K88="Muy Baja",O88="Mayor"),AND(K88="Baja",O88="Mayor"),AND(K88="Media",O88="Mayor"),AND(K88="Alta",O88="Moderado"),AND(K88="Alta",O88="Mayor"),AND(K88="Muy Alta",O88="Leve"),AND(K88="Muy Alta",O88="Menor"),AND(K88="Muy Alta",O88="Moderado"),AND(K88="Muy Alta",O88="Mayor")),"Alto",IF(OR(AND(K88="Muy Baja",O88="Catastrófico"),AND(K88="Baja",O88="Catastrófico"),AND(K88="Media",O88="Catastrófico"),AND(K88="Alta",O88="Catastrófico"),AND(K88="Muy Alta",O88="Catastrófico")),"Extremo",""))))</f>
        <v>Alto</v>
      </c>
      <c r="R88" s="126">
        <v>1</v>
      </c>
      <c r="S88" s="95" t="s">
        <v>457</v>
      </c>
      <c r="T88" s="127" t="str">
        <f t="shared" si="25"/>
        <v>Probabilidad</v>
      </c>
      <c r="U88" s="128" t="s">
        <v>14</v>
      </c>
      <c r="V88" s="128" t="s">
        <v>9</v>
      </c>
      <c r="W88" s="129" t="str">
        <f t="shared" si="26"/>
        <v>40%</v>
      </c>
      <c r="X88" s="128" t="s">
        <v>20</v>
      </c>
      <c r="Y88" s="128" t="s">
        <v>22</v>
      </c>
      <c r="Z88" s="128" t="s">
        <v>110</v>
      </c>
      <c r="AA88" s="130">
        <f t="shared" si="27"/>
        <v>0.36</v>
      </c>
      <c r="AB88" s="131" t="str">
        <f t="shared" si="28"/>
        <v>Baja</v>
      </c>
      <c r="AC88" s="132">
        <f t="shared" si="29"/>
        <v>0.36</v>
      </c>
      <c r="AD88" s="131" t="str">
        <f t="shared" si="30"/>
        <v>Mayor</v>
      </c>
      <c r="AE88" s="132">
        <f t="shared" si="31"/>
        <v>0.8</v>
      </c>
      <c r="AF88" s="133" t="str">
        <f t="shared" si="32"/>
        <v>Alto</v>
      </c>
      <c r="AG88" s="134" t="s">
        <v>122</v>
      </c>
      <c r="AH88" s="95" t="s">
        <v>458</v>
      </c>
      <c r="AI88" s="123" t="s">
        <v>260</v>
      </c>
      <c r="AJ88" s="135" t="s">
        <v>199</v>
      </c>
      <c r="AK88" s="135" t="s">
        <v>199</v>
      </c>
      <c r="AL88" s="122" t="s">
        <v>300</v>
      </c>
      <c r="AM88" s="216" t="s">
        <v>825</v>
      </c>
      <c r="AN88" s="216" t="s">
        <v>826</v>
      </c>
      <c r="AO88" s="218">
        <v>1</v>
      </c>
      <c r="AP88" s="216" t="s">
        <v>827</v>
      </c>
      <c r="AQ88" s="216" t="s">
        <v>828</v>
      </c>
      <c r="AR88" s="218">
        <v>1</v>
      </c>
      <c r="AS88" s="95"/>
      <c r="AT88" s="232" t="s">
        <v>629</v>
      </c>
      <c r="AU88" s="137" t="s">
        <v>630</v>
      </c>
      <c r="AV88" s="137" t="s">
        <v>630</v>
      </c>
      <c r="AW88" s="137" t="s">
        <v>630</v>
      </c>
      <c r="AX88" s="95"/>
    </row>
    <row r="89" spans="1:50" s="147" customFormat="1" ht="151.5" hidden="1" customHeight="1" x14ac:dyDescent="0.25">
      <c r="A89" s="372"/>
      <c r="B89" s="374"/>
      <c r="C89" s="381"/>
      <c r="D89" s="381"/>
      <c r="E89" s="340"/>
      <c r="F89" s="340"/>
      <c r="G89" s="340"/>
      <c r="H89" s="335"/>
      <c r="I89" s="340"/>
      <c r="J89" s="342"/>
      <c r="K89" s="344"/>
      <c r="L89" s="347"/>
      <c r="M89" s="350"/>
      <c r="N89" s="136"/>
      <c r="O89" s="344"/>
      <c r="P89" s="347"/>
      <c r="Q89" s="337"/>
      <c r="R89" s="126">
        <v>2</v>
      </c>
      <c r="S89" s="95"/>
      <c r="T89" s="127" t="str">
        <f t="shared" ref="T89:T90" si="125">IF(OR(U89="Preventivo",U89="Detectivo"),"Probabilidad",IF(U89="Correctivo","Impacto",""))</f>
        <v/>
      </c>
      <c r="U89" s="128"/>
      <c r="V89" s="128"/>
      <c r="W89" s="129"/>
      <c r="X89" s="128"/>
      <c r="Y89" s="128"/>
      <c r="Z89" s="128"/>
      <c r="AA89" s="130" t="str">
        <f>IFERROR(IF(T89="Probabilidad",(AA88-(+AA88*W89)),IF(T89="Impacto",L89,"")),"")</f>
        <v/>
      </c>
      <c r="AB89" s="131" t="str">
        <f t="shared" ref="AB89:AB90" si="126">IFERROR(IF(AA89="","",IF(AA89&lt;=0.2,"Muy Baja",IF(AA89&lt;=0.4,"Baja",IF(AA89&lt;=0.6,"Media",IF(AA89&lt;=0.8,"Alta","Muy Alta"))))),"")</f>
        <v/>
      </c>
      <c r="AC89" s="132" t="str">
        <f t="shared" ref="AC89:AC90" si="127">+AA89</f>
        <v/>
      </c>
      <c r="AD89" s="131" t="str">
        <f t="shared" ref="AD89:AD90" si="128">IFERROR(IF(AE89="","",IF(AE89&lt;=0.2,"Leve",IF(AE89&lt;=0.4,"Menor",IF(AE89&lt;=0.6,"Moderado",IF(AE89&lt;=0.8,"Mayor","Catastrófico"))))),"")</f>
        <v/>
      </c>
      <c r="AE89" s="132" t="str">
        <f t="shared" ref="AE89:AE90" si="129">IFERROR(IF(T89="Impacto",(P89-(+P89*W89)),IF(T89="Probabilidad",P89,"")),"")</f>
        <v/>
      </c>
      <c r="AF89" s="133" t="str">
        <f t="shared" ref="AF89:AF90" si="130">IFERROR(IF(OR(AND(AB89="Muy Baja",AD89="Leve"),AND(AB89="Muy Baja",AD89="Menor"),AND(AB89="Baja",AD89="Leve")),"Bajo",IF(OR(AND(AB89="Muy baja",AD89="Moderado"),AND(AB89="Baja",AD89="Menor"),AND(AB89="Baja",AD89="Moderado"),AND(AB89="Media",AD89="Leve"),AND(AB89="Media",AD89="Menor"),AND(AB89="Media",AD89="Moderado"),AND(AB89="Alta",AD89="Leve"),AND(AB89="Alta",AD89="Menor")),"Moderado",IF(OR(AND(AB89="Muy Baja",AD89="Mayor"),AND(AB89="Baja",AD89="Mayor"),AND(AB89="Media",AD89="Mayor"),AND(AB89="Alta",AD89="Moderado"),AND(AB89="Alta",AD89="Mayor"),AND(AB89="Muy Alta",AD89="Leve"),AND(AB89="Muy Alta",AD89="Menor"),AND(AB89="Muy Alta",AD89="Moderado"),AND(AB89="Muy Alta",AD89="Mayor")),"Alto",IF(OR(AND(AB89="Muy Baja",AD89="Catastrófico"),AND(AB89="Baja",AD89="Catastrófico"),AND(AB89="Media",AD89="Catastrófico"),AND(AB89="Alta",AD89="Catastrófico"),AND(AB89="Muy Alta",AD89="Catastrófico")),"Extremo","")))),"")</f>
        <v/>
      </c>
      <c r="AG89" s="134"/>
      <c r="AH89" s="95"/>
      <c r="AI89" s="123"/>
      <c r="AJ89" s="135"/>
      <c r="AK89" s="135"/>
      <c r="AL89" s="95"/>
      <c r="AM89" s="95"/>
      <c r="AN89" s="95"/>
      <c r="AO89" s="218">
        <v>1</v>
      </c>
      <c r="AP89" s="95"/>
      <c r="AQ89" s="95"/>
      <c r="AR89" s="218">
        <v>1</v>
      </c>
      <c r="AS89" s="95"/>
      <c r="AT89" s="232" t="s">
        <v>629</v>
      </c>
      <c r="AU89" s="137" t="s">
        <v>630</v>
      </c>
      <c r="AV89" s="137" t="s">
        <v>630</v>
      </c>
      <c r="AW89" s="137" t="s">
        <v>630</v>
      </c>
      <c r="AX89" s="95"/>
    </row>
    <row r="90" spans="1:50" s="147" customFormat="1" ht="151.5" hidden="1" customHeight="1" x14ac:dyDescent="0.25">
      <c r="A90" s="372"/>
      <c r="B90" s="375"/>
      <c r="C90" s="417"/>
      <c r="D90" s="381"/>
      <c r="E90" s="340"/>
      <c r="F90" s="340"/>
      <c r="G90" s="340"/>
      <c r="H90" s="335"/>
      <c r="I90" s="340"/>
      <c r="J90" s="342"/>
      <c r="K90" s="345"/>
      <c r="L90" s="348"/>
      <c r="M90" s="350"/>
      <c r="N90" s="136"/>
      <c r="O90" s="345"/>
      <c r="P90" s="348"/>
      <c r="Q90" s="338"/>
      <c r="R90" s="126">
        <v>3</v>
      </c>
      <c r="S90" s="95"/>
      <c r="T90" s="127" t="str">
        <f t="shared" si="125"/>
        <v/>
      </c>
      <c r="U90" s="128"/>
      <c r="V90" s="128"/>
      <c r="W90" s="129"/>
      <c r="X90" s="128"/>
      <c r="Y90" s="128"/>
      <c r="Z90" s="128"/>
      <c r="AA90" s="130" t="str">
        <f>IFERROR(IF(T90="Probabilidad",(AA89-(+AA89*W90)),IF(T90="Impacto",L90,"")),"")</f>
        <v/>
      </c>
      <c r="AB90" s="131" t="str">
        <f t="shared" si="126"/>
        <v/>
      </c>
      <c r="AC90" s="132" t="str">
        <f t="shared" si="127"/>
        <v/>
      </c>
      <c r="AD90" s="131" t="str">
        <f t="shared" si="128"/>
        <v/>
      </c>
      <c r="AE90" s="132" t="str">
        <f t="shared" si="129"/>
        <v/>
      </c>
      <c r="AF90" s="133" t="str">
        <f t="shared" si="130"/>
        <v/>
      </c>
      <c r="AG90" s="134"/>
      <c r="AH90" s="95"/>
      <c r="AI90" s="123"/>
      <c r="AJ90" s="135"/>
      <c r="AK90" s="135"/>
      <c r="AL90" s="95"/>
      <c r="AM90" s="95"/>
      <c r="AN90" s="95"/>
      <c r="AO90" s="218">
        <v>1</v>
      </c>
      <c r="AP90" s="95"/>
      <c r="AQ90" s="95"/>
      <c r="AR90" s="218">
        <v>1</v>
      </c>
      <c r="AS90" s="95"/>
      <c r="AT90" s="232" t="s">
        <v>629</v>
      </c>
      <c r="AU90" s="137" t="s">
        <v>630</v>
      </c>
      <c r="AV90" s="137" t="s">
        <v>630</v>
      </c>
      <c r="AW90" s="137" t="s">
        <v>630</v>
      </c>
      <c r="AX90" s="95"/>
    </row>
    <row r="91" spans="1:50" s="147" customFormat="1" ht="176.45" customHeight="1" x14ac:dyDescent="0.25">
      <c r="A91" s="372">
        <v>29</v>
      </c>
      <c r="B91" s="373" t="s">
        <v>296</v>
      </c>
      <c r="C91" s="376" t="s">
        <v>295</v>
      </c>
      <c r="D91" s="376" t="s">
        <v>297</v>
      </c>
      <c r="E91" s="339" t="s">
        <v>118</v>
      </c>
      <c r="F91" s="339" t="s">
        <v>460</v>
      </c>
      <c r="G91" s="339" t="s">
        <v>461</v>
      </c>
      <c r="H91" s="334" t="s">
        <v>497</v>
      </c>
      <c r="I91" s="339" t="s">
        <v>328</v>
      </c>
      <c r="J91" s="341">
        <v>355</v>
      </c>
      <c r="K91" s="343" t="str">
        <f>IF(J91&lt;=0,"",IF(J91&lt;=2,"Muy Baja",IF(J91&lt;=24,"Baja",IF(J91&lt;=500,"Media",IF(J91&lt;=5000,"Alta","Muy Alta")))))</f>
        <v>Media</v>
      </c>
      <c r="L91" s="346">
        <f>IF(K91="","",IF(K91="Muy Baja",0.2,IF(K91="Baja",0.4,IF(K91="Media",0.6,IF(K91="Alta",0.8,IF(K91="Muy Alta",1,))))))</f>
        <v>0.6</v>
      </c>
      <c r="M91" s="349" t="s">
        <v>493</v>
      </c>
      <c r="N91" s="125" t="str">
        <f>IF(NOT(ISERROR(MATCH(M91,'Tabla Impacto'!$B$221:$B$223,0))),'Tabla Impacto'!$F$223&amp;"Por favor no seleccionar los criterios de impacto(Afectación Económica o presupuestal y Pérdida Reputacional)",M91)</f>
        <v xml:space="preserve"> El riesgo afecta la imagen de la entidad con efecto publicitario sostenido a nivel de sector administrativo, nivel departamental o municipal</v>
      </c>
      <c r="O91" s="343" t="str">
        <f>IF(OR(N91='Tabla Impacto'!$C$11,N91='Tabla Impacto'!$D$11),"Leve",IF(OR(N91='Tabla Impacto'!$C$12,N91='Tabla Impacto'!$D$12),"Menor",IF(OR(N91='Tabla Impacto'!$C$13,N91='Tabla Impacto'!$D$13),"Moderado",IF(OR(N91='Tabla Impacto'!$C$14,N91='Tabla Impacto'!$D$14),"Mayor",IF(OR(N91='Tabla Impacto'!$C$15,N91='Tabla Impacto'!$D$15),"Catastrófico","")))))</f>
        <v>Mayor</v>
      </c>
      <c r="P91" s="346">
        <f>IF(O91="","",IF(O91="Leve",0.2,IF(O91="Menor",0.4,IF(O91="Moderado",0.6,IF(O91="Mayor",0.8,IF(O91="Catastrófico",1,))))))</f>
        <v>0.8</v>
      </c>
      <c r="Q91" s="336" t="str">
        <f>IF(OR(AND(K91="Muy Baja",O91="Leve"),AND(K91="Muy Baja",O91="Menor"),AND(K91="Baja",O91="Leve")),"Bajo",IF(OR(AND(K91="Muy baja",O91="Moderado"),AND(K91="Baja",O91="Menor"),AND(K91="Baja",O91="Moderado"),AND(K91="Media",O91="Leve"),AND(K91="Media",O91="Menor"),AND(K91="Media",O91="Moderado"),AND(K91="Alta",O91="Leve"),AND(K91="Alta",O91="Menor")),"Moderado",IF(OR(AND(K91="Muy Baja",O91="Mayor"),AND(K91="Baja",O91="Mayor"),AND(K91="Media",O91="Mayor"),AND(K91="Alta",O91="Moderado"),AND(K91="Alta",O91="Mayor"),AND(K91="Muy Alta",O91="Leve"),AND(K91="Muy Alta",O91="Menor"),AND(K91="Muy Alta",O91="Moderado"),AND(K91="Muy Alta",O91="Mayor")),"Alto",IF(OR(AND(K91="Muy Baja",O91="Catastrófico"),AND(K91="Baja",O91="Catastrófico"),AND(K91="Media",O91="Catastrófico"),AND(K91="Alta",O91="Catastrófico"),AND(K91="Muy Alta",O91="Catastrófico")),"Extremo",""))))</f>
        <v>Alto</v>
      </c>
      <c r="R91" s="126">
        <v>1</v>
      </c>
      <c r="S91" s="95" t="s">
        <v>462</v>
      </c>
      <c r="T91" s="127" t="str">
        <f t="shared" si="25"/>
        <v>Probabilidad</v>
      </c>
      <c r="U91" s="128" t="s">
        <v>14</v>
      </c>
      <c r="V91" s="128" t="s">
        <v>9</v>
      </c>
      <c r="W91" s="129" t="str">
        <f t="shared" si="26"/>
        <v>40%</v>
      </c>
      <c r="X91" s="128" t="s">
        <v>19</v>
      </c>
      <c r="Y91" s="128" t="s">
        <v>22</v>
      </c>
      <c r="Z91" s="128" t="s">
        <v>110</v>
      </c>
      <c r="AA91" s="144">
        <f t="shared" ref="AA91" si="131">IFERROR(IF(T91="Probabilidad",(L91-(+L91*W91)),IF(T91="Impacto",L91,"")),"")</f>
        <v>0.36</v>
      </c>
      <c r="AB91" s="131" t="str">
        <f t="shared" si="28"/>
        <v>Baja</v>
      </c>
      <c r="AC91" s="132">
        <f t="shared" si="29"/>
        <v>0.36</v>
      </c>
      <c r="AD91" s="131" t="str">
        <f t="shared" si="30"/>
        <v>Mayor</v>
      </c>
      <c r="AE91" s="132">
        <f t="shared" si="31"/>
        <v>0.8</v>
      </c>
      <c r="AF91" s="133" t="str">
        <f t="shared" si="32"/>
        <v>Alto</v>
      </c>
      <c r="AG91" s="134" t="s">
        <v>122</v>
      </c>
      <c r="AH91" s="95" t="s">
        <v>301</v>
      </c>
      <c r="AI91" s="117" t="s">
        <v>260</v>
      </c>
      <c r="AJ91" s="124" t="s">
        <v>199</v>
      </c>
      <c r="AK91" s="124" t="s">
        <v>199</v>
      </c>
      <c r="AL91" s="122" t="s">
        <v>400</v>
      </c>
      <c r="AM91" s="121" t="s">
        <v>680</v>
      </c>
      <c r="AN91" s="216" t="s">
        <v>681</v>
      </c>
      <c r="AO91" s="218">
        <v>1</v>
      </c>
      <c r="AP91" s="216" t="s">
        <v>829</v>
      </c>
      <c r="AQ91" s="216" t="s">
        <v>682</v>
      </c>
      <c r="AR91" s="218">
        <v>1</v>
      </c>
      <c r="AS91" s="95"/>
      <c r="AT91" s="232" t="s">
        <v>629</v>
      </c>
      <c r="AU91" s="137" t="s">
        <v>630</v>
      </c>
      <c r="AV91" s="137" t="s">
        <v>630</v>
      </c>
      <c r="AW91" s="137" t="s">
        <v>630</v>
      </c>
      <c r="AX91" s="95"/>
    </row>
    <row r="92" spans="1:50" s="147" customFormat="1" ht="151.5" customHeight="1" x14ac:dyDescent="0.25">
      <c r="A92" s="372"/>
      <c r="B92" s="374"/>
      <c r="C92" s="381"/>
      <c r="D92" s="381"/>
      <c r="E92" s="340"/>
      <c r="F92" s="340"/>
      <c r="G92" s="340"/>
      <c r="H92" s="335"/>
      <c r="I92" s="340"/>
      <c r="J92" s="342"/>
      <c r="K92" s="344"/>
      <c r="L92" s="347"/>
      <c r="M92" s="350"/>
      <c r="N92" s="136"/>
      <c r="O92" s="344"/>
      <c r="P92" s="347"/>
      <c r="Q92" s="337"/>
      <c r="R92" s="126">
        <v>2</v>
      </c>
      <c r="S92" s="95" t="s">
        <v>343</v>
      </c>
      <c r="T92" s="127" t="str">
        <f t="shared" ref="T92:T93" si="132">IF(OR(U92="Preventivo",U92="Detectivo"),"Probabilidad",IF(U92="Correctivo","Impacto",""))</f>
        <v/>
      </c>
      <c r="U92" s="128" t="s">
        <v>332</v>
      </c>
      <c r="V92" s="128" t="s">
        <v>9</v>
      </c>
      <c r="W92" s="129" t="str">
        <f t="shared" ref="W92" si="133">IF(AND(U92="Preventivo",V92="Automático"),"50%",IF(AND(U92="Preventivo",V92="Manual"),"40%",IF(AND(U92="Detectivo",V92="Automático"),"40%",IF(AND(U92="Detectivo",V92="Manual"),"30%",IF(AND(U92="Correctivo",V92="Automático"),"35%",IF(AND(U92="Correctivo",V92="Manual"),"25%",""))))))</f>
        <v/>
      </c>
      <c r="X92" s="128" t="s">
        <v>20</v>
      </c>
      <c r="Y92" s="128" t="s">
        <v>22</v>
      </c>
      <c r="Z92" s="128" t="s">
        <v>110</v>
      </c>
      <c r="AA92" s="145" t="str">
        <f>IFERROR(IF(T92="Probabilidad",(AA91-(+AA91*W92)),IF(T92="Impacto",L92,"")),"")</f>
        <v/>
      </c>
      <c r="AB92" s="131" t="str">
        <f t="shared" ref="AB92:AB93" si="134">IFERROR(IF(AA92="","",IF(AA92&lt;=0.2,"Muy Baja",IF(AA92&lt;=0.4,"Baja",IF(AA92&lt;=0.6,"Media",IF(AA92&lt;=0.8,"Alta","Muy Alta"))))),"")</f>
        <v/>
      </c>
      <c r="AC92" s="132" t="str">
        <f t="shared" ref="AC92:AC93" si="135">+AA92</f>
        <v/>
      </c>
      <c r="AD92" s="131" t="str">
        <f t="shared" ref="AD92:AD93" si="136">IFERROR(IF(AE92="","",IF(AE92&lt;=0.2,"Leve",IF(AE92&lt;=0.4,"Menor",IF(AE92&lt;=0.6,"Moderado",IF(AE92&lt;=0.8,"Mayor","Catastrófico"))))),"")</f>
        <v/>
      </c>
      <c r="AE92" s="132" t="str">
        <f t="shared" ref="AE92:AE93" si="137">IFERROR(IF(T92="Impacto",(P92-(+P92*W92)),IF(T92="Probabilidad",P92,"")),"")</f>
        <v/>
      </c>
      <c r="AF92" s="133" t="str">
        <f t="shared" ref="AF92:AF93" si="138">IFERROR(IF(OR(AND(AB92="Muy Baja",AD92="Leve"),AND(AB92="Muy Baja",AD92="Menor"),AND(AB92="Baja",AD92="Leve")),"Bajo",IF(OR(AND(AB92="Muy baja",AD92="Moderado"),AND(AB92="Baja",AD92="Menor"),AND(AB92="Baja",AD92="Moderado"),AND(AB92="Media",AD92="Leve"),AND(AB92="Media",AD92="Menor"),AND(AB92="Media",AD92="Moderado"),AND(AB92="Alta",AD92="Leve"),AND(AB92="Alta",AD92="Menor")),"Moderado",IF(OR(AND(AB92="Muy Baja",AD92="Mayor"),AND(AB92="Baja",AD92="Mayor"),AND(AB92="Media",AD92="Mayor"),AND(AB92="Alta",AD92="Moderado"),AND(AB92="Alta",AD92="Mayor"),AND(AB92="Muy Alta",AD92="Leve"),AND(AB92="Muy Alta",AD92="Menor"),AND(AB92="Muy Alta",AD92="Moderado"),AND(AB92="Muy Alta",AD92="Mayor")),"Alto",IF(OR(AND(AB92="Muy Baja",AD92="Catastrófico"),AND(AB92="Baja",AD92="Catastrófico"),AND(AB92="Media",AD92="Catastrófico"),AND(AB92="Alta",AD92="Catastrófico"),AND(AB92="Muy Alta",AD92="Catastrófico")),"Extremo","")))),"")</f>
        <v/>
      </c>
      <c r="AG92" s="134" t="s">
        <v>122</v>
      </c>
      <c r="AH92" s="95" t="s">
        <v>301</v>
      </c>
      <c r="AI92" s="117" t="s">
        <v>260</v>
      </c>
      <c r="AJ92" s="124" t="s">
        <v>199</v>
      </c>
      <c r="AK92" s="124" t="s">
        <v>199</v>
      </c>
      <c r="AL92" s="122" t="s">
        <v>400</v>
      </c>
      <c r="AM92" s="121" t="s">
        <v>680</v>
      </c>
      <c r="AN92" s="216" t="s">
        <v>681</v>
      </c>
      <c r="AO92" s="218">
        <v>1</v>
      </c>
      <c r="AP92" s="216" t="s">
        <v>683</v>
      </c>
      <c r="AQ92" s="216" t="s">
        <v>684</v>
      </c>
      <c r="AR92" s="218">
        <v>1</v>
      </c>
      <c r="AS92" s="95"/>
      <c r="AT92" s="232" t="s">
        <v>629</v>
      </c>
      <c r="AU92" s="137" t="s">
        <v>630</v>
      </c>
      <c r="AV92" s="137" t="s">
        <v>630</v>
      </c>
      <c r="AW92" s="137" t="s">
        <v>630</v>
      </c>
      <c r="AX92" s="95"/>
    </row>
    <row r="93" spans="1:50" s="147" customFormat="1" ht="151.5" hidden="1" customHeight="1" x14ac:dyDescent="0.25">
      <c r="A93" s="372"/>
      <c r="B93" s="375"/>
      <c r="C93" s="417"/>
      <c r="D93" s="381"/>
      <c r="E93" s="340"/>
      <c r="F93" s="340"/>
      <c r="G93" s="340"/>
      <c r="H93" s="335"/>
      <c r="I93" s="340"/>
      <c r="J93" s="342"/>
      <c r="K93" s="345"/>
      <c r="L93" s="348"/>
      <c r="M93" s="350"/>
      <c r="N93" s="136"/>
      <c r="O93" s="345"/>
      <c r="P93" s="348"/>
      <c r="Q93" s="338"/>
      <c r="R93" s="126">
        <v>3</v>
      </c>
      <c r="S93" s="95"/>
      <c r="T93" s="127" t="str">
        <f t="shared" si="132"/>
        <v/>
      </c>
      <c r="U93" s="128"/>
      <c r="V93" s="128"/>
      <c r="W93" s="129"/>
      <c r="X93" s="128"/>
      <c r="Y93" s="128"/>
      <c r="Z93" s="128"/>
      <c r="AA93" s="130" t="str">
        <f>IFERROR(IF(T93="Probabilidad",(AA92-(+AA92*W93)),IF(T93="Impacto",L93,"")),"")</f>
        <v/>
      </c>
      <c r="AB93" s="131" t="str">
        <f t="shared" si="134"/>
        <v/>
      </c>
      <c r="AC93" s="132" t="str">
        <f t="shared" si="135"/>
        <v/>
      </c>
      <c r="AD93" s="131" t="str">
        <f t="shared" si="136"/>
        <v/>
      </c>
      <c r="AE93" s="132" t="str">
        <f t="shared" si="137"/>
        <v/>
      </c>
      <c r="AF93" s="133" t="str">
        <f t="shared" si="138"/>
        <v/>
      </c>
      <c r="AG93" s="134"/>
      <c r="AH93" s="95"/>
      <c r="AI93" s="123"/>
      <c r="AJ93" s="135"/>
      <c r="AK93" s="135"/>
      <c r="AL93" s="95"/>
      <c r="AM93" s="95"/>
      <c r="AN93" s="95"/>
      <c r="AO93" s="218">
        <v>1</v>
      </c>
      <c r="AP93" s="95"/>
      <c r="AQ93" s="95"/>
      <c r="AR93" s="218">
        <v>1</v>
      </c>
      <c r="AS93" s="95"/>
      <c r="AT93" s="232" t="s">
        <v>629</v>
      </c>
      <c r="AU93" s="137" t="s">
        <v>630</v>
      </c>
      <c r="AV93" s="137" t="s">
        <v>630</v>
      </c>
      <c r="AW93" s="137" t="s">
        <v>630</v>
      </c>
      <c r="AX93" s="95"/>
    </row>
    <row r="94" spans="1:50" s="147" customFormat="1" ht="151.5" customHeight="1" x14ac:dyDescent="0.25">
      <c r="A94" s="372">
        <v>30</v>
      </c>
      <c r="B94" s="373" t="s">
        <v>302</v>
      </c>
      <c r="C94" s="376" t="s">
        <v>358</v>
      </c>
      <c r="D94" s="376" t="s">
        <v>401</v>
      </c>
      <c r="E94" s="339" t="s">
        <v>120</v>
      </c>
      <c r="F94" s="387" t="s">
        <v>464</v>
      </c>
      <c r="G94" s="387" t="s">
        <v>463</v>
      </c>
      <c r="H94" s="334" t="s">
        <v>303</v>
      </c>
      <c r="I94" s="339" t="s">
        <v>328</v>
      </c>
      <c r="J94" s="341">
        <v>850</v>
      </c>
      <c r="K94" s="343" t="str">
        <f>IF(J94&lt;=0,"",IF(J94&lt;=2,"Muy Baja",IF(J94&lt;=24,"Baja",IF(J94&lt;=500,"Media",IF(J94&lt;=5000,"Alta","Muy Alta")))))</f>
        <v>Alta</v>
      </c>
      <c r="L94" s="346">
        <f>IF(K94="","",IF(K94="Muy Baja",0.2,IF(K94="Baja",0.4,IF(K94="Media",0.6,IF(K94="Alta",0.8,IF(K94="Muy Alta",1,))))))</f>
        <v>0.8</v>
      </c>
      <c r="M94" s="349" t="s">
        <v>493</v>
      </c>
      <c r="N94" s="125" t="str">
        <f>IF(NOT(ISERROR(MATCH(M94,'Tabla Impacto'!$B$221:$B$223,0))),'Tabla Impacto'!$F$223&amp;"Por favor no seleccionar los criterios de impacto(Afectación Económica o presupuestal y Pérdida Reputacional)",M94)</f>
        <v xml:space="preserve"> El riesgo afecta la imagen de la entidad con efecto publicitario sostenido a nivel de sector administrativo, nivel departamental o municipal</v>
      </c>
      <c r="O94" s="343" t="str">
        <f>IF(OR(N94='Tabla Impacto'!$C$11,N94='Tabla Impacto'!$D$11),"Leve",IF(OR(N94='Tabla Impacto'!$C$12,N94='Tabla Impacto'!$D$12),"Menor",IF(OR(N94='Tabla Impacto'!$C$13,N94='Tabla Impacto'!$D$13),"Moderado",IF(OR(N94='Tabla Impacto'!$C$14,N94='Tabla Impacto'!$D$14),"Mayor",IF(OR(N94='Tabla Impacto'!$C$15,N94='Tabla Impacto'!$D$15),"Catastrófico","")))))</f>
        <v>Mayor</v>
      </c>
      <c r="P94" s="346">
        <f>IF(O94="","",IF(O94="Leve",0.2,IF(O94="Menor",0.4,IF(O94="Moderado",0.6,IF(O94="Mayor",0.8,IF(O94="Catastrófico",1,))))))</f>
        <v>0.8</v>
      </c>
      <c r="Q94" s="336" t="str">
        <f>IF(OR(AND(K94="Muy Baja",O94="Leve"),AND(K94="Muy Baja",O94="Menor"),AND(K94="Baja",O94="Leve")),"Bajo",IF(OR(AND(K94="Muy baja",O94="Moderado"),AND(K94="Baja",O94="Menor"),AND(K94="Baja",O94="Moderado"),AND(K94="Media",O94="Leve"),AND(K94="Media",O94="Menor"),AND(K94="Media",O94="Moderado"),AND(K94="Alta",O94="Leve"),AND(K94="Alta",O94="Menor")),"Moderado",IF(OR(AND(K94="Muy Baja",O94="Mayor"),AND(K94="Baja",O94="Mayor"),AND(K94="Media",O94="Mayor"),AND(K94="Alta",O94="Moderado"),AND(K94="Alta",O94="Mayor"),AND(K94="Muy Alta",O94="Leve"),AND(K94="Muy Alta",O94="Menor"),AND(K94="Muy Alta",O94="Moderado"),AND(K94="Muy Alta",O94="Mayor")),"Alto",IF(OR(AND(K94="Muy Baja",O94="Catastrófico"),AND(K94="Baja",O94="Catastrófico"),AND(K94="Media",O94="Catastrófico"),AND(K94="Alta",O94="Catastrófico"),AND(K94="Muy Alta",O94="Catastrófico")),"Extremo",""))))</f>
        <v>Alto</v>
      </c>
      <c r="R94" s="126">
        <v>1</v>
      </c>
      <c r="S94" s="95" t="s">
        <v>304</v>
      </c>
      <c r="T94" s="127" t="str">
        <f t="shared" ref="T94:T96" si="139">IF(OR(U94="Preventivo",U94="Detectivo"),"Probabilidad",IF(U94="Correctivo","Impacto",""))</f>
        <v>Probabilidad</v>
      </c>
      <c r="U94" s="128" t="s">
        <v>14</v>
      </c>
      <c r="V94" s="128" t="s">
        <v>9</v>
      </c>
      <c r="W94" s="129" t="str">
        <f t="shared" ref="W94:W95" si="140">IF(AND(U94="Preventivo",V94="Automático"),"50%",IF(AND(U94="Preventivo",V94="Manual"),"40%",IF(AND(U94="Detectivo",V94="Automático"),"40%",IF(AND(U94="Detectivo",V94="Manual"),"30%",IF(AND(U94="Correctivo",V94="Automático"),"35%",IF(AND(U94="Correctivo",V94="Manual"),"25%",""))))))</f>
        <v>40%</v>
      </c>
      <c r="X94" s="128" t="s">
        <v>20</v>
      </c>
      <c r="Y94" s="128" t="s">
        <v>22</v>
      </c>
      <c r="Z94" s="128" t="s">
        <v>110</v>
      </c>
      <c r="AA94" s="130">
        <f t="shared" ref="AA94" si="141">IFERROR(IF(T94="Probabilidad",(L94-(+L94*W94)),IF(T94="Impacto",L94,"")),"")</f>
        <v>0.48</v>
      </c>
      <c r="AB94" s="131" t="str">
        <f t="shared" ref="AB94:AB96" si="142">IFERROR(IF(AA94="","",IF(AA94&lt;=0.2,"Muy Baja",IF(AA94&lt;=0.4,"Baja",IF(AA94&lt;=0.6,"Media",IF(AA94&lt;=0.8,"Alta","Muy Alta"))))),"")</f>
        <v>Media</v>
      </c>
      <c r="AC94" s="132">
        <f t="shared" ref="AC94:AC96" si="143">+AA94</f>
        <v>0.48</v>
      </c>
      <c r="AD94" s="131" t="str">
        <f t="shared" ref="AD94:AD96" si="144">IFERROR(IF(AE94="","",IF(AE94&lt;=0.2,"Leve",IF(AE94&lt;=0.4,"Menor",IF(AE94&lt;=0.6,"Moderado",IF(AE94&lt;=0.8,"Mayor","Catastrófico"))))),"")</f>
        <v>Mayor</v>
      </c>
      <c r="AE94" s="132">
        <f t="shared" ref="AE94:AE96" si="145">IFERROR(IF(T94="Impacto",(P94-(+P94*W94)),IF(T94="Probabilidad",P94,"")),"")</f>
        <v>0.8</v>
      </c>
      <c r="AF94" s="133" t="str">
        <f t="shared" ref="AF94:AF96" si="146">IFERROR(IF(OR(AND(AB94="Muy Baja",AD94="Leve"),AND(AB94="Muy Baja",AD94="Menor"),AND(AB94="Baja",AD94="Leve")),"Bajo",IF(OR(AND(AB94="Muy baja",AD94="Moderado"),AND(AB94="Baja",AD94="Menor"),AND(AB94="Baja",AD94="Moderado"),AND(AB94="Media",AD94="Leve"),AND(AB94="Media",AD94="Menor"),AND(AB94="Media",AD94="Moderado"),AND(AB94="Alta",AD94="Leve"),AND(AB94="Alta",AD94="Menor")),"Moderado",IF(OR(AND(AB94="Muy Baja",AD94="Mayor"),AND(AB94="Baja",AD94="Mayor"),AND(AB94="Media",AD94="Mayor"),AND(AB94="Alta",AD94="Moderado"),AND(AB94="Alta",AD94="Mayor"),AND(AB94="Muy Alta",AD94="Leve"),AND(AB94="Muy Alta",AD94="Menor"),AND(AB94="Muy Alta",AD94="Moderado"),AND(AB94="Muy Alta",AD94="Mayor")),"Alto",IF(OR(AND(AB94="Muy Baja",AD94="Catastrófico"),AND(AB94="Baja",AD94="Catastrófico"),AND(AB94="Media",AD94="Catastrófico"),AND(AB94="Alta",AD94="Catastrófico"),AND(AB94="Muy Alta",AD94="Catastrófico")),"Extremo","")))),"")</f>
        <v>Alto</v>
      </c>
      <c r="AG94" s="134" t="s">
        <v>122</v>
      </c>
      <c r="AH94" s="146" t="s">
        <v>306</v>
      </c>
      <c r="AI94" s="123" t="s">
        <v>198</v>
      </c>
      <c r="AJ94" s="124">
        <v>44562</v>
      </c>
      <c r="AK94" s="124" t="s">
        <v>373</v>
      </c>
      <c r="AL94" s="95" t="s">
        <v>307</v>
      </c>
      <c r="AM94" s="216" t="s">
        <v>711</v>
      </c>
      <c r="AN94" s="216" t="s">
        <v>712</v>
      </c>
      <c r="AO94" s="218">
        <v>1</v>
      </c>
      <c r="AP94" s="216" t="s">
        <v>830</v>
      </c>
      <c r="AQ94" s="216" t="s">
        <v>713</v>
      </c>
      <c r="AR94" s="218">
        <v>1</v>
      </c>
      <c r="AS94" s="95"/>
      <c r="AT94" s="232" t="s">
        <v>629</v>
      </c>
      <c r="AU94" s="137" t="s">
        <v>630</v>
      </c>
      <c r="AV94" s="137" t="s">
        <v>630</v>
      </c>
      <c r="AW94" s="137" t="s">
        <v>630</v>
      </c>
      <c r="AX94" s="95"/>
    </row>
    <row r="95" spans="1:50" s="147" customFormat="1" ht="151.5" customHeight="1" x14ac:dyDescent="0.25">
      <c r="A95" s="372"/>
      <c r="B95" s="374"/>
      <c r="C95" s="381"/>
      <c r="D95" s="381"/>
      <c r="E95" s="340"/>
      <c r="F95" s="340"/>
      <c r="G95" s="340"/>
      <c r="H95" s="335"/>
      <c r="I95" s="340"/>
      <c r="J95" s="342"/>
      <c r="K95" s="344"/>
      <c r="L95" s="347"/>
      <c r="M95" s="350"/>
      <c r="N95" s="136"/>
      <c r="O95" s="344"/>
      <c r="P95" s="347"/>
      <c r="Q95" s="337"/>
      <c r="R95" s="126">
        <v>2</v>
      </c>
      <c r="S95" s="95" t="s">
        <v>305</v>
      </c>
      <c r="T95" s="127" t="str">
        <f t="shared" si="139"/>
        <v>Probabilidad</v>
      </c>
      <c r="U95" s="128" t="s">
        <v>14</v>
      </c>
      <c r="V95" s="128" t="s">
        <v>9</v>
      </c>
      <c r="W95" s="129" t="str">
        <f t="shared" si="140"/>
        <v>40%</v>
      </c>
      <c r="X95" s="128" t="s">
        <v>20</v>
      </c>
      <c r="Y95" s="128" t="s">
        <v>22</v>
      </c>
      <c r="Z95" s="128" t="s">
        <v>110</v>
      </c>
      <c r="AA95" s="130">
        <f>IFERROR(IF(T95="Probabilidad",(AA94-(+AA94*W95)),IF(T95="Impacto",L95,"")),"")</f>
        <v>0.28799999999999998</v>
      </c>
      <c r="AB95" s="131" t="str">
        <f t="shared" si="142"/>
        <v>Baja</v>
      </c>
      <c r="AC95" s="132">
        <f t="shared" si="143"/>
        <v>0.28799999999999998</v>
      </c>
      <c r="AD95" s="131" t="str">
        <f t="shared" si="144"/>
        <v>Mayor</v>
      </c>
      <c r="AE95" s="132">
        <v>0.8</v>
      </c>
      <c r="AF95" s="133" t="str">
        <f t="shared" si="146"/>
        <v>Alto</v>
      </c>
      <c r="AG95" s="134" t="s">
        <v>122</v>
      </c>
      <c r="AH95" s="122" t="s">
        <v>308</v>
      </c>
      <c r="AI95" s="117" t="s">
        <v>198</v>
      </c>
      <c r="AJ95" s="124">
        <v>44562</v>
      </c>
      <c r="AK95" s="124" t="s">
        <v>373</v>
      </c>
      <c r="AL95" s="122" t="s">
        <v>307</v>
      </c>
      <c r="AM95" s="221" t="s">
        <v>831</v>
      </c>
      <c r="AN95" s="221" t="s">
        <v>832</v>
      </c>
      <c r="AO95" s="218">
        <v>1</v>
      </c>
      <c r="AP95" s="221" t="s">
        <v>833</v>
      </c>
      <c r="AQ95" s="95" t="s">
        <v>834</v>
      </c>
      <c r="AR95" s="215">
        <v>1</v>
      </c>
      <c r="AS95" s="95"/>
      <c r="AT95" s="232" t="s">
        <v>629</v>
      </c>
      <c r="AU95" s="137" t="s">
        <v>630</v>
      </c>
      <c r="AV95" s="137" t="s">
        <v>630</v>
      </c>
      <c r="AW95" s="137" t="s">
        <v>630</v>
      </c>
      <c r="AX95" s="95"/>
    </row>
    <row r="96" spans="1:50" s="147" customFormat="1" ht="151.5" hidden="1" customHeight="1" x14ac:dyDescent="0.25">
      <c r="A96" s="382"/>
      <c r="B96" s="375"/>
      <c r="C96" s="381"/>
      <c r="D96" s="381"/>
      <c r="E96" s="340"/>
      <c r="F96" s="340"/>
      <c r="G96" s="340"/>
      <c r="H96" s="335"/>
      <c r="I96" s="340"/>
      <c r="J96" s="342"/>
      <c r="K96" s="345"/>
      <c r="L96" s="348"/>
      <c r="M96" s="350"/>
      <c r="N96" s="136"/>
      <c r="O96" s="345"/>
      <c r="P96" s="348"/>
      <c r="Q96" s="338"/>
      <c r="R96" s="126">
        <v>3</v>
      </c>
      <c r="S96" s="95"/>
      <c r="T96" s="127" t="str">
        <f t="shared" si="139"/>
        <v/>
      </c>
      <c r="U96" s="128"/>
      <c r="V96" s="128"/>
      <c r="W96" s="129"/>
      <c r="X96" s="128"/>
      <c r="Y96" s="128"/>
      <c r="Z96" s="128"/>
      <c r="AA96" s="130" t="str">
        <f>IFERROR(IF(T96="Probabilidad",(AA95-(+AA95*W96)),IF(T96="Impacto",L96,"")),"")</f>
        <v/>
      </c>
      <c r="AB96" s="131" t="str">
        <f t="shared" si="142"/>
        <v/>
      </c>
      <c r="AC96" s="132" t="str">
        <f t="shared" si="143"/>
        <v/>
      </c>
      <c r="AD96" s="131" t="str">
        <f t="shared" si="144"/>
        <v/>
      </c>
      <c r="AE96" s="132" t="str">
        <f t="shared" si="145"/>
        <v/>
      </c>
      <c r="AF96" s="133" t="str">
        <f t="shared" si="146"/>
        <v/>
      </c>
      <c r="AG96" s="134"/>
      <c r="AH96" s="95"/>
      <c r="AI96" s="123"/>
      <c r="AJ96" s="135"/>
      <c r="AK96" s="135"/>
      <c r="AL96" s="95"/>
      <c r="AM96" s="95"/>
      <c r="AN96" s="95"/>
      <c r="AO96" s="218">
        <v>1</v>
      </c>
      <c r="AP96" s="95"/>
      <c r="AQ96" s="95"/>
      <c r="AR96" s="137"/>
      <c r="AS96" s="95"/>
      <c r="AT96" s="232" t="s">
        <v>629</v>
      </c>
      <c r="AU96" s="137" t="s">
        <v>630</v>
      </c>
      <c r="AV96" s="137" t="s">
        <v>630</v>
      </c>
      <c r="AW96" s="137" t="s">
        <v>630</v>
      </c>
      <c r="AX96" s="95"/>
    </row>
    <row r="97" spans="1:50" s="147" customFormat="1" ht="223.5" customHeight="1" x14ac:dyDescent="0.25">
      <c r="A97" s="416">
        <v>31</v>
      </c>
      <c r="B97" s="404" t="s">
        <v>309</v>
      </c>
      <c r="C97" s="402" t="s">
        <v>359</v>
      </c>
      <c r="D97" s="402" t="s">
        <v>402</v>
      </c>
      <c r="E97" s="391" t="s">
        <v>118</v>
      </c>
      <c r="F97" s="411" t="s">
        <v>595</v>
      </c>
      <c r="G97" s="411" t="s">
        <v>472</v>
      </c>
      <c r="H97" s="408" t="s">
        <v>596</v>
      </c>
      <c r="I97" s="391" t="s">
        <v>328</v>
      </c>
      <c r="J97" s="389">
        <v>12</v>
      </c>
      <c r="K97" s="394" t="str">
        <f>IF(J97&lt;=0,"",IF(J97&lt;=2,"Muy Baja",IF(J97&lt;=24,"Baja",IF(J97&lt;=500,"Media",IF(J97&lt;=5000,"Alta","Muy Alta")))))</f>
        <v>Baja</v>
      </c>
      <c r="L97" s="397">
        <f>IF(K97="","",IF(K97="Muy Baja",0.2,IF(K97="Baja",0.4,IF(K97="Media",0.6,IF(K97="Alta",0.8,IF(K97="Muy Alta",1,))))))</f>
        <v>0.4</v>
      </c>
      <c r="M97" s="400" t="s">
        <v>486</v>
      </c>
      <c r="N97" s="161" t="str">
        <f>IF(NOT(ISERROR(MATCH(M97,'Tabla Impacto'!$B$221:$B$223,0))),'Tabla Impacto'!$F$223&amp;"Por favor no seleccionar los criterios de impacto(Afectación Económica o presupuestal y Pérdida Reputacional)",M97)</f>
        <v xml:space="preserve"> El riesgo afecta la imagen de la entidad con algunos usuarios de relevancia frente al logro de los objetivos</v>
      </c>
      <c r="O97" s="394" t="str">
        <f>IF(OR(N97='Tabla Impacto'!$C$11,N97='Tabla Impacto'!$D$11),"Leve",IF(OR(N97='Tabla Impacto'!$C$12,N97='Tabla Impacto'!$D$12),"Menor",IF(OR(N97='Tabla Impacto'!$C$13,N97='Tabla Impacto'!$D$13),"Moderado",IF(OR(N97='Tabla Impacto'!$C$14,N97='Tabla Impacto'!$D$14),"Mayor",IF(OR(N97='Tabla Impacto'!$C$15,N97='Tabla Impacto'!$D$15),"Catastrófico","")))))</f>
        <v>Moderado</v>
      </c>
      <c r="P97" s="397">
        <f>IF(O97="","",IF(O97="Leve",0.2,IF(O97="Menor",0.4,IF(O97="Moderado",0.6,IF(O97="Mayor",0.8,IF(O97="Catastrófico",1,))))))</f>
        <v>0.6</v>
      </c>
      <c r="Q97" s="413" t="str">
        <f>IF(OR(AND(K97="Muy Baja",O97="Leve"),AND(K97="Muy Baja",O97="Menor"),AND(K97="Baja",O97="Leve")),"Bajo",IF(OR(AND(K97="Muy baja",O97="Moderado"),AND(K97="Baja",O97="Menor"),AND(K97="Baja",O97="Moderado"),AND(K97="Media",O97="Leve"),AND(K97="Media",O97="Menor"),AND(K97="Media",O97="Moderado"),AND(K97="Alta",O97="Leve"),AND(K97="Alta",O97="Menor")),"Moderado",IF(OR(AND(K97="Muy Baja",O97="Mayor"),AND(K97="Baja",O97="Mayor"),AND(K97="Media",O97="Mayor"),AND(K97="Alta",O97="Moderado"),AND(K97="Alta",O97="Mayor"),AND(K97="Muy Alta",O97="Leve"),AND(K97="Muy Alta",O97="Menor"),AND(K97="Muy Alta",O97="Moderado"),AND(K97="Muy Alta",O97="Mayor")),"Alto",IF(OR(AND(K97="Muy Baja",O97="Catastrófico"),AND(K97="Baja",O97="Catastrófico"),AND(K97="Media",O97="Catastrófico"),AND(K97="Alta",O97="Catastrófico"),AND(K97="Muy Alta",O97="Catastrófico")),"Extremo",""))))</f>
        <v>Moderado</v>
      </c>
      <c r="R97" s="157">
        <v>1</v>
      </c>
      <c r="S97" s="158" t="s">
        <v>588</v>
      </c>
      <c r="T97" s="159" t="str">
        <f t="shared" si="25"/>
        <v>Probabilidad</v>
      </c>
      <c r="U97" s="162" t="s">
        <v>14</v>
      </c>
      <c r="V97" s="162" t="s">
        <v>9</v>
      </c>
      <c r="W97" s="163" t="str">
        <f t="shared" si="26"/>
        <v>40%</v>
      </c>
      <c r="X97" s="162" t="s">
        <v>19</v>
      </c>
      <c r="Y97" s="162" t="s">
        <v>22</v>
      </c>
      <c r="Z97" s="162" t="s">
        <v>110</v>
      </c>
      <c r="AA97" s="142">
        <f t="shared" si="27"/>
        <v>0.24</v>
      </c>
      <c r="AB97" s="152" t="str">
        <f t="shared" si="28"/>
        <v>Baja</v>
      </c>
      <c r="AC97" s="153">
        <f t="shared" si="29"/>
        <v>0.24</v>
      </c>
      <c r="AD97" s="152" t="str">
        <f t="shared" si="30"/>
        <v>Moderado</v>
      </c>
      <c r="AE97" s="153">
        <f t="shared" si="31"/>
        <v>0.6</v>
      </c>
      <c r="AF97" s="154" t="str">
        <f t="shared" si="32"/>
        <v>Moderado</v>
      </c>
      <c r="AG97" s="155" t="s">
        <v>122</v>
      </c>
      <c r="AH97" s="174" t="s">
        <v>590</v>
      </c>
      <c r="AI97" s="148" t="s">
        <v>589</v>
      </c>
      <c r="AJ97" s="149" t="s">
        <v>286</v>
      </c>
      <c r="AK97" s="149" t="s">
        <v>287</v>
      </c>
      <c r="AL97" s="158" t="s">
        <v>597</v>
      </c>
      <c r="AM97" s="95" t="s">
        <v>643</v>
      </c>
      <c r="AN97" s="223" t="s">
        <v>644</v>
      </c>
      <c r="AO97" s="218">
        <v>1</v>
      </c>
      <c r="AP97" s="95" t="s">
        <v>645</v>
      </c>
      <c r="AQ97" s="223" t="s">
        <v>644</v>
      </c>
      <c r="AR97" s="218">
        <v>1</v>
      </c>
      <c r="AS97" s="95"/>
      <c r="AT97" s="232" t="s">
        <v>629</v>
      </c>
      <c r="AU97" s="137" t="s">
        <v>630</v>
      </c>
      <c r="AV97" s="137" t="s">
        <v>630</v>
      </c>
      <c r="AW97" s="137" t="s">
        <v>630</v>
      </c>
      <c r="AX97" s="95"/>
    </row>
    <row r="98" spans="1:50" s="147" customFormat="1" ht="151.5" hidden="1" customHeight="1" x14ac:dyDescent="0.25">
      <c r="A98" s="407"/>
      <c r="B98" s="405"/>
      <c r="C98" s="403"/>
      <c r="D98" s="403"/>
      <c r="E98" s="392"/>
      <c r="F98" s="418"/>
      <c r="G98" s="418"/>
      <c r="H98" s="409"/>
      <c r="I98" s="392"/>
      <c r="J98" s="390"/>
      <c r="K98" s="395"/>
      <c r="L98" s="398"/>
      <c r="M98" s="401"/>
      <c r="N98" s="167"/>
      <c r="O98" s="395"/>
      <c r="P98" s="398"/>
      <c r="Q98" s="414"/>
      <c r="R98" s="157">
        <v>2</v>
      </c>
      <c r="S98" s="158"/>
      <c r="T98" s="159"/>
      <c r="U98" s="162"/>
      <c r="V98" s="162"/>
      <c r="W98" s="163"/>
      <c r="X98" s="162"/>
      <c r="Y98" s="162"/>
      <c r="Z98" s="162"/>
      <c r="AA98" s="142"/>
      <c r="AB98" s="152"/>
      <c r="AC98" s="153"/>
      <c r="AD98" s="152"/>
      <c r="AE98" s="153"/>
      <c r="AF98" s="154"/>
      <c r="AG98" s="155"/>
      <c r="AH98" s="174"/>
      <c r="AI98" s="175"/>
      <c r="AJ98" s="149"/>
      <c r="AK98" s="149"/>
      <c r="AL98" s="158"/>
      <c r="AM98" s="95"/>
      <c r="AN98" s="95"/>
      <c r="AO98" s="218">
        <v>1</v>
      </c>
      <c r="AP98" s="95"/>
      <c r="AQ98" s="95"/>
      <c r="AR98" s="137"/>
      <c r="AS98" s="95"/>
      <c r="AT98" s="232" t="s">
        <v>629</v>
      </c>
      <c r="AU98" s="137" t="s">
        <v>630</v>
      </c>
      <c r="AV98" s="137" t="s">
        <v>630</v>
      </c>
      <c r="AW98" s="137" t="s">
        <v>630</v>
      </c>
      <c r="AX98" s="95"/>
    </row>
    <row r="99" spans="1:50" s="147" customFormat="1" ht="151.5" hidden="1" customHeight="1" x14ac:dyDescent="0.25">
      <c r="A99" s="407"/>
      <c r="B99" s="405"/>
      <c r="C99" s="410"/>
      <c r="D99" s="410"/>
      <c r="E99" s="392"/>
      <c r="F99" s="392"/>
      <c r="G99" s="392"/>
      <c r="H99" s="409"/>
      <c r="I99" s="392"/>
      <c r="J99" s="390"/>
      <c r="K99" s="395"/>
      <c r="L99" s="398"/>
      <c r="M99" s="401"/>
      <c r="N99" s="167"/>
      <c r="O99" s="395"/>
      <c r="P99" s="398"/>
      <c r="Q99" s="414"/>
      <c r="R99" s="211">
        <v>3</v>
      </c>
      <c r="S99" s="158"/>
      <c r="T99" s="159"/>
      <c r="U99" s="162"/>
      <c r="V99" s="162"/>
      <c r="W99" s="163"/>
      <c r="X99" s="162"/>
      <c r="Y99" s="162"/>
      <c r="Z99" s="162"/>
      <c r="AA99" s="142"/>
      <c r="AB99" s="152"/>
      <c r="AC99" s="153"/>
      <c r="AD99" s="152"/>
      <c r="AE99" s="153"/>
      <c r="AF99" s="154"/>
      <c r="AG99" s="155"/>
      <c r="AH99" s="174"/>
      <c r="AI99" s="148"/>
      <c r="AJ99" s="149"/>
      <c r="AK99" s="149"/>
      <c r="AL99" s="158"/>
      <c r="AM99" s="95"/>
      <c r="AN99" s="95"/>
      <c r="AO99" s="218">
        <v>1</v>
      </c>
      <c r="AP99" s="95"/>
      <c r="AQ99" s="95"/>
      <c r="AR99" s="137"/>
      <c r="AS99" s="95"/>
      <c r="AT99" s="232" t="s">
        <v>629</v>
      </c>
      <c r="AU99" s="137" t="s">
        <v>630</v>
      </c>
      <c r="AV99" s="137" t="s">
        <v>630</v>
      </c>
      <c r="AW99" s="137" t="s">
        <v>630</v>
      </c>
      <c r="AX99" s="95"/>
    </row>
    <row r="100" spans="1:50" s="147" customFormat="1" ht="151.5" customHeight="1" x14ac:dyDescent="0.25">
      <c r="A100" s="407">
        <v>32</v>
      </c>
      <c r="B100" s="404" t="s">
        <v>309</v>
      </c>
      <c r="C100" s="404" t="s">
        <v>353</v>
      </c>
      <c r="D100" s="404" t="s">
        <v>402</v>
      </c>
      <c r="E100" s="391" t="s">
        <v>118</v>
      </c>
      <c r="F100" s="391" t="s">
        <v>522</v>
      </c>
      <c r="G100" s="391" t="s">
        <v>523</v>
      </c>
      <c r="H100" s="408" t="s">
        <v>524</v>
      </c>
      <c r="I100" s="408" t="s">
        <v>328</v>
      </c>
      <c r="J100" s="423">
        <v>1096</v>
      </c>
      <c r="K100" s="394" t="str">
        <f>IF(J100&lt;=0,"",IF(J100&lt;=2,"Muy Baja",IF(J100&lt;=24,"Baja",IF(J100&lt;=500,"Media",IF(J100&lt;=5000,"Alta","Muy Alta")))))</f>
        <v>Alta</v>
      </c>
      <c r="L100" s="397">
        <f>IF(K100="","",IF(K100="Muy Baja",0.2,IF(K100="Baja",0.4,IF(K100="Media",0.6,IF(K100="Alta",0.8,IF(K100="Muy Alta",1,))))))</f>
        <v>0.8</v>
      </c>
      <c r="M100" s="419" t="s">
        <v>486</v>
      </c>
      <c r="N100" s="397" t="str">
        <f>IF(NOT(ISERROR(MATCH(M100,'[1]Tabla Impacto'!$B$221:$B$223,0))),'[1]Tabla Impacto'!$F$223&amp;"Por favor no seleccionar los criterios de impacto(Afectación Económica o presupuestal y Pérdida Reputacional)",M100)</f>
        <v xml:space="preserve"> El riesgo afecta la imagen de la entidad con algunos usuarios de relevancia frente al logro de los objetivos</v>
      </c>
      <c r="O100" s="394" t="str">
        <f>IF(OR(N100='[1]Tabla Impacto'!$C$11,N100='[1]Tabla Impacto'!$D$11),"Leve",IF(OR(N100='[1]Tabla Impacto'!$C$12,N100='[1]Tabla Impacto'!$D$12),"Menor",IF(OR(N100='[1]Tabla Impacto'!$C$13,N100='[1]Tabla Impacto'!$D$13),"Moderado",IF(OR(N100='[1]Tabla Impacto'!$C$14,N100='[1]Tabla Impacto'!$D$14),"Mayor",IF(OR(N100='[1]Tabla Impacto'!$C$15,N100='[1]Tabla Impacto'!$D$15),"Catastrófico","")))))</f>
        <v>Moderado</v>
      </c>
      <c r="P100" s="397">
        <f>IF(O100="","",IF(O100="Leve",0.2,IF(O100="Menor",0.4,IF(O100="Moderado",0.6,IF(O100="Mayor",0.8,IF(O100="Catastrófico",1,))))))</f>
        <v>0.6</v>
      </c>
      <c r="Q100" s="413" t="str">
        <f>IF(OR(AND(K100="Muy Baja",O100="Leve"),AND(K100="Muy Baja",O100="Menor"),AND(K100="Baja",O100="Leve")),"Bajo",IF(OR(AND(K100="Muy baja",O100="Moderado"),AND(K100="Baja",O100="Menor"),AND(K100="Baja",O100="Moderado"),AND(K100="Media",O100="Leve"),AND(K100="Media",O100="Menor"),AND(K100="Media",O100="Moderado"),AND(K100="Alta",O100="Leve"),AND(K100="Alta",O100="Menor")),"Moderado",IF(OR(AND(K100="Muy Baja",O100="Mayor"),AND(K100="Baja",O100="Mayor"),AND(K100="Media",O100="Mayor"),AND(K100="Alta",O100="Moderado"),AND(K100="Alta",O100="Mayor"),AND(K100="Muy Alta",O100="Leve"),AND(K100="Muy Alta",O100="Menor"),AND(K100="Muy Alta",O100="Moderado"),AND(K100="Muy Alta",O100="Mayor")),"Alto",IF(OR(AND(K100="Muy Baja",O100="Catastrófico"),AND(K100="Baja",O100="Catastrófico"),AND(K100="Media",O100="Catastrófico"),AND(K100="Alta",O100="Catastrófico"),AND(K100="Muy Alta",O100="Catastrófico")),"Extremo",""))))</f>
        <v>Alto</v>
      </c>
      <c r="R100" s="157">
        <v>1</v>
      </c>
      <c r="S100" s="158" t="s">
        <v>591</v>
      </c>
      <c r="T100" s="201" t="str">
        <f t="shared" ref="T100" si="147">IF(OR(U100="Preventivo",U100="Detectivo"),"Probabilidad",IF(U100="Correctivo","Impacto",""))</f>
        <v>Probabilidad</v>
      </c>
      <c r="U100" s="202" t="s">
        <v>14</v>
      </c>
      <c r="V100" s="202" t="s">
        <v>9</v>
      </c>
      <c r="W100" s="203" t="str">
        <f t="shared" ref="W100" si="148">IF(AND(U100="Preventivo",V100="Automático"),"50%",IF(AND(U100="Preventivo",V100="Manual"),"40%",IF(AND(U100="Detectivo",V100="Automático"),"40%",IF(AND(U100="Detectivo",V100="Manual"),"30%",IF(AND(U100="Correctivo",V100="Automático"),"35%",IF(AND(U100="Correctivo",V100="Manual"),"25%",""))))))</f>
        <v>40%</v>
      </c>
      <c r="X100" s="202" t="s">
        <v>20</v>
      </c>
      <c r="Y100" s="202" t="s">
        <v>22</v>
      </c>
      <c r="Z100" s="202" t="s">
        <v>110</v>
      </c>
      <c r="AA100" s="204">
        <f t="shared" ref="AA100" si="149">IFERROR(IF(T100="Probabilidad",(L100-(+L100*W100)),IF(T100="Impacto",L100,"")),"")</f>
        <v>0.48</v>
      </c>
      <c r="AB100" s="205" t="str">
        <f t="shared" ref="AB100" si="150">IFERROR(IF(AA100="","",IF(AA100&lt;=0.2,"Muy Baja",IF(AA100&lt;=0.4,"Baja",IF(AA100&lt;=0.6,"Media",IF(AA100&lt;=0.8,"Alta","Muy Alta"))))),"")</f>
        <v>Media</v>
      </c>
      <c r="AC100" s="206">
        <f t="shared" ref="AC100" si="151">+AA100</f>
        <v>0.48</v>
      </c>
      <c r="AD100" s="205" t="str">
        <f t="shared" ref="AD100" si="152">IFERROR(IF(AE100="","",IF(AE100&lt;=0.2,"Leve",IF(AE100&lt;=0.4,"Menor",IF(AE100&lt;=0.6,"Moderado",IF(AE100&lt;=0.8,"Mayor","Catastrófico"))))),"")</f>
        <v>Moderado</v>
      </c>
      <c r="AE100" s="206">
        <f t="shared" ref="AE100" si="153">IFERROR(IF(T100="Impacto",(P100-(+P100*W100)),IF(T100="Probabilidad",P100,"")),"")</f>
        <v>0.6</v>
      </c>
      <c r="AF100" s="207" t="str">
        <f t="shared" ref="AF100" si="154">IFERROR(IF(OR(AND(AB100="Muy Baja",AD100="Leve"),AND(AB100="Muy Baja",AD100="Menor"),AND(AB100="Baja",AD100="Leve")),"Bajo",IF(OR(AND(AB100="Muy baja",AD100="Moderado"),AND(AB100="Baja",AD100="Menor"),AND(AB100="Baja",AD100="Moderado"),AND(AB100="Media",AD100="Leve"),AND(AB100="Media",AD100="Menor"),AND(AB100="Media",AD100="Moderado"),AND(AB100="Alta",AD100="Leve"),AND(AB100="Alta",AD100="Menor")),"Moderado",IF(OR(AND(AB100="Muy Baja",AD100="Mayor"),AND(AB100="Baja",AD100="Mayor"),AND(AB100="Media",AD100="Mayor"),AND(AB100="Alta",AD100="Moderado"),AND(AB100="Alta",AD100="Mayor"),AND(AB100="Muy Alta",AD100="Leve"),AND(AB100="Muy Alta",AD100="Menor"),AND(AB100="Muy Alta",AD100="Moderado"),AND(AB100="Muy Alta",AD100="Mayor")),"Alto",IF(OR(AND(AB100="Muy Baja",AD100="Catastrófico"),AND(AB100="Baja",AD100="Catastrófico"),AND(AB100="Media",AD100="Catastrófico"),AND(AB100="Alta",AD100="Catastrófico"),AND(AB100="Muy Alta",AD100="Catastrófico")),"Extremo","")))),"")</f>
        <v>Moderado</v>
      </c>
      <c r="AG100" s="208" t="s">
        <v>122</v>
      </c>
      <c r="AH100" s="156" t="s">
        <v>592</v>
      </c>
      <c r="AI100" s="148" t="s">
        <v>589</v>
      </c>
      <c r="AJ100" s="149" t="s">
        <v>286</v>
      </c>
      <c r="AK100" s="149" t="s">
        <v>287</v>
      </c>
      <c r="AL100" s="150" t="s">
        <v>473</v>
      </c>
      <c r="AM100" s="95" t="s">
        <v>835</v>
      </c>
      <c r="AN100" s="223" t="s">
        <v>646</v>
      </c>
      <c r="AO100" s="218">
        <v>1</v>
      </c>
      <c r="AP100" s="95" t="s">
        <v>836</v>
      </c>
      <c r="AQ100" s="223" t="s">
        <v>647</v>
      </c>
      <c r="AR100" s="218">
        <v>1</v>
      </c>
      <c r="AS100" s="95"/>
      <c r="AT100" s="232" t="s">
        <v>629</v>
      </c>
      <c r="AU100" s="137" t="s">
        <v>630</v>
      </c>
      <c r="AV100" s="137" t="s">
        <v>630</v>
      </c>
      <c r="AW100" s="137" t="s">
        <v>630</v>
      </c>
      <c r="AX100" s="95"/>
    </row>
    <row r="101" spans="1:50" s="147" customFormat="1" ht="151.5" hidden="1" customHeight="1" x14ac:dyDescent="0.25">
      <c r="A101" s="407"/>
      <c r="B101" s="405"/>
      <c r="C101" s="405"/>
      <c r="D101" s="405"/>
      <c r="E101" s="392"/>
      <c r="F101" s="392"/>
      <c r="G101" s="392"/>
      <c r="H101" s="409"/>
      <c r="I101" s="409"/>
      <c r="J101" s="424"/>
      <c r="K101" s="395"/>
      <c r="L101" s="398"/>
      <c r="M101" s="420"/>
      <c r="N101" s="398"/>
      <c r="O101" s="395"/>
      <c r="P101" s="398"/>
      <c r="Q101" s="414"/>
      <c r="R101" s="157">
        <v>2</v>
      </c>
      <c r="S101" s="158"/>
      <c r="T101" s="159"/>
      <c r="U101" s="151"/>
      <c r="V101" s="151"/>
      <c r="W101" s="160"/>
      <c r="X101" s="151"/>
      <c r="Y101" s="151"/>
      <c r="Z101" s="151"/>
      <c r="AA101" s="142"/>
      <c r="AB101" s="152"/>
      <c r="AC101" s="153"/>
      <c r="AD101" s="152"/>
      <c r="AE101" s="153"/>
      <c r="AF101" s="154"/>
      <c r="AG101" s="155"/>
      <c r="AH101" s="156"/>
      <c r="AI101" s="148"/>
      <c r="AJ101" s="149"/>
      <c r="AK101" s="149"/>
      <c r="AL101" s="150"/>
      <c r="AM101" s="95"/>
      <c r="AN101" s="95"/>
      <c r="AO101" s="218">
        <v>1</v>
      </c>
      <c r="AP101" s="95"/>
      <c r="AQ101" s="95"/>
      <c r="AR101" s="137"/>
      <c r="AS101" s="95"/>
      <c r="AT101" s="232" t="s">
        <v>629</v>
      </c>
      <c r="AU101" s="137" t="s">
        <v>630</v>
      </c>
      <c r="AV101" s="137" t="s">
        <v>630</v>
      </c>
      <c r="AW101" s="137" t="s">
        <v>630</v>
      </c>
      <c r="AX101" s="95"/>
    </row>
    <row r="102" spans="1:50" s="147" customFormat="1" ht="151.5" hidden="1" customHeight="1" x14ac:dyDescent="0.25">
      <c r="A102" s="407"/>
      <c r="B102" s="406"/>
      <c r="C102" s="406"/>
      <c r="D102" s="406"/>
      <c r="E102" s="428"/>
      <c r="F102" s="428"/>
      <c r="G102" s="428"/>
      <c r="H102" s="422"/>
      <c r="I102" s="422"/>
      <c r="J102" s="425"/>
      <c r="K102" s="396"/>
      <c r="L102" s="399"/>
      <c r="M102" s="421"/>
      <c r="N102" s="399"/>
      <c r="O102" s="396"/>
      <c r="P102" s="399"/>
      <c r="Q102" s="415"/>
      <c r="R102" s="157">
        <v>3</v>
      </c>
      <c r="S102" s="158"/>
      <c r="T102" s="159"/>
      <c r="U102" s="151"/>
      <c r="V102" s="151"/>
      <c r="W102" s="160"/>
      <c r="X102" s="151"/>
      <c r="Y102" s="151"/>
      <c r="Z102" s="151"/>
      <c r="AA102" s="142"/>
      <c r="AB102" s="152"/>
      <c r="AC102" s="153"/>
      <c r="AD102" s="152"/>
      <c r="AE102" s="153"/>
      <c r="AF102" s="154"/>
      <c r="AG102" s="155"/>
      <c r="AH102" s="156"/>
      <c r="AI102" s="148"/>
      <c r="AJ102" s="149"/>
      <c r="AK102" s="149"/>
      <c r="AL102" s="150"/>
      <c r="AM102" s="95"/>
      <c r="AN102" s="95"/>
      <c r="AO102" s="218">
        <v>1</v>
      </c>
      <c r="AP102" s="95"/>
      <c r="AQ102" s="95"/>
      <c r="AR102" s="137"/>
      <c r="AS102" s="95"/>
      <c r="AT102" s="232" t="s">
        <v>629</v>
      </c>
      <c r="AU102" s="137" t="s">
        <v>630</v>
      </c>
      <c r="AV102" s="137" t="s">
        <v>630</v>
      </c>
      <c r="AW102" s="137" t="s">
        <v>630</v>
      </c>
      <c r="AX102" s="95"/>
    </row>
    <row r="103" spans="1:50" s="147" customFormat="1" ht="151.5" customHeight="1" x14ac:dyDescent="0.25">
      <c r="A103" s="407">
        <v>33</v>
      </c>
      <c r="B103" s="404" t="s">
        <v>310</v>
      </c>
      <c r="C103" s="402" t="s">
        <v>360</v>
      </c>
      <c r="D103" s="402" t="s">
        <v>403</v>
      </c>
      <c r="E103" s="391" t="s">
        <v>118</v>
      </c>
      <c r="F103" s="391" t="s">
        <v>311</v>
      </c>
      <c r="G103" s="391" t="s">
        <v>466</v>
      </c>
      <c r="H103" s="408" t="s">
        <v>465</v>
      </c>
      <c r="I103" s="391" t="s">
        <v>117</v>
      </c>
      <c r="J103" s="389">
        <v>365</v>
      </c>
      <c r="K103" s="394" t="str">
        <f>IF(J103&lt;=0,"",IF(J103&lt;=2,"Muy Baja",IF(J103&lt;=24,"Baja",IF(J103&lt;=500,"Media",IF(J103&lt;=5000,"Alta","Muy Alta")))))</f>
        <v>Media</v>
      </c>
      <c r="L103" s="397">
        <f>IF(K103="","",IF(K103="Muy Baja",0.2,IF(K103="Baja",0.4,IF(K103="Media",0.6,IF(K103="Alta",0.8,IF(K103="Muy Alta",1,))))))</f>
        <v>0.6</v>
      </c>
      <c r="M103" s="400" t="s">
        <v>486</v>
      </c>
      <c r="N103" s="161" t="str">
        <f>IF(NOT(ISERROR(MATCH(M103,'Tabla Impacto'!$B$221:$B$223,0))),'Tabla Impacto'!$F$223&amp;"Por favor no seleccionar los criterios de impacto(Afectación Económica o presupuestal y Pérdida Reputacional)",M103)</f>
        <v xml:space="preserve"> El riesgo afecta la imagen de la entidad con algunos usuarios de relevancia frente al logro de los objetivos</v>
      </c>
      <c r="O103" s="394" t="str">
        <f>IF(OR(N103='Tabla Impacto'!$C$11,N103='Tabla Impacto'!$D$11),"Leve",IF(OR(N103='Tabla Impacto'!$C$12,N103='Tabla Impacto'!$D$12),"Menor",IF(OR(N103='Tabla Impacto'!$C$13,N103='Tabla Impacto'!$D$13),"Moderado",IF(OR(N103='Tabla Impacto'!$C$14,N103='Tabla Impacto'!$D$14),"Mayor",IF(OR(N103='Tabla Impacto'!$C$15,N103='Tabla Impacto'!$D$15),"Catastrófico","")))))</f>
        <v>Moderado</v>
      </c>
      <c r="P103" s="397">
        <f>IF(O103="","",IF(O103="Leve",0.2,IF(O103="Menor",0.4,IF(O103="Moderado",0.6,IF(O103="Mayor",0.8,IF(O103="Catastrófico",1,))))))</f>
        <v>0.6</v>
      </c>
      <c r="Q103" s="413" t="str">
        <f>IF(OR(AND(K103="Muy Baja",O103="Leve"),AND(K103="Muy Baja",O103="Menor"),AND(K103="Baja",O103="Leve")),"Bajo",IF(OR(AND(K103="Muy baja",O103="Moderado"),AND(K103="Baja",O103="Menor"),AND(K103="Baja",O103="Moderado"),AND(K103="Media",O103="Leve"),AND(K103="Media",O103="Menor"),AND(K103="Media",O103="Moderado"),AND(K103="Alta",O103="Leve"),AND(K103="Alta",O103="Menor")),"Moderado",IF(OR(AND(K103="Muy Baja",O103="Mayor"),AND(K103="Baja",O103="Mayor"),AND(K103="Media",O103="Mayor"),AND(K103="Alta",O103="Moderado"),AND(K103="Alta",O103="Mayor"),AND(K103="Muy Alta",O103="Leve"),AND(K103="Muy Alta",O103="Menor"),AND(K103="Muy Alta",O103="Moderado"),AND(K103="Muy Alta",O103="Mayor")),"Alto",IF(OR(AND(K103="Muy Baja",O103="Catastrófico"),AND(K103="Baja",O103="Catastrófico"),AND(K103="Media",O103="Catastrófico"),AND(K103="Alta",O103="Catastrófico"),AND(K103="Muy Alta",O103="Catastrófico")),"Extremo",""))))</f>
        <v>Moderado</v>
      </c>
      <c r="R103" s="157">
        <v>1</v>
      </c>
      <c r="S103" s="158" t="s">
        <v>344</v>
      </c>
      <c r="T103" s="159" t="str">
        <f t="shared" ref="T103:T105" si="155">IF(OR(U103="Preventivo",U103="Detectivo"),"Probabilidad",IF(U103="Correctivo","Impacto",""))</f>
        <v>Probabilidad</v>
      </c>
      <c r="U103" s="162" t="s">
        <v>15</v>
      </c>
      <c r="V103" s="162" t="s">
        <v>9</v>
      </c>
      <c r="W103" s="163" t="str">
        <f t="shared" ref="W103:W104" si="156">IF(AND(U103="Preventivo",V103="Automático"),"50%",IF(AND(U103="Preventivo",V103="Manual"),"40%",IF(AND(U103="Detectivo",V103="Automático"),"40%",IF(AND(U103="Detectivo",V103="Manual"),"30%",IF(AND(U103="Correctivo",V103="Automático"),"35%",IF(AND(U103="Correctivo",V103="Manual"),"25%",""))))))</f>
        <v>30%</v>
      </c>
      <c r="X103" s="162" t="s">
        <v>19</v>
      </c>
      <c r="Y103" s="162" t="s">
        <v>22</v>
      </c>
      <c r="Z103" s="162" t="s">
        <v>110</v>
      </c>
      <c r="AA103" s="142">
        <f t="shared" ref="AA103" si="157">IFERROR(IF(T103="Probabilidad",(L103-(+L103*W103)),IF(T103="Impacto",L103,"")),"")</f>
        <v>0.42</v>
      </c>
      <c r="AB103" s="152" t="str">
        <f t="shared" ref="AB103:AB105" si="158">IFERROR(IF(AA103="","",IF(AA103&lt;=0.2,"Muy Baja",IF(AA103&lt;=0.4,"Baja",IF(AA103&lt;=0.6,"Media",IF(AA103&lt;=0.8,"Alta","Muy Alta"))))),"")</f>
        <v>Media</v>
      </c>
      <c r="AC103" s="153">
        <f t="shared" ref="AC103:AC105" si="159">+AA103</f>
        <v>0.42</v>
      </c>
      <c r="AD103" s="152" t="str">
        <f t="shared" ref="AD103:AD105" si="160">IFERROR(IF(AE103="","",IF(AE103&lt;=0.2,"Leve",IF(AE103&lt;=0.4,"Menor",IF(AE103&lt;=0.6,"Moderado",IF(AE103&lt;=0.8,"Mayor","Catastrófico"))))),"")</f>
        <v>Moderado</v>
      </c>
      <c r="AE103" s="153">
        <f t="shared" ref="AE103:AE105" si="161">IFERROR(IF(T103="Impacto",(P103-(+P103*W103)),IF(T103="Probabilidad",P103,"")),"")</f>
        <v>0.6</v>
      </c>
      <c r="AF103" s="154" t="str">
        <f t="shared" ref="AF103:AF105" si="162">IFERROR(IF(OR(AND(AB103="Muy Baja",AD103="Leve"),AND(AB103="Muy Baja",AD103="Menor"),AND(AB103="Baja",AD103="Leve")),"Bajo",IF(OR(AND(AB103="Muy baja",AD103="Moderado"),AND(AB103="Baja",AD103="Menor"),AND(AB103="Baja",AD103="Moderado"),AND(AB103="Media",AD103="Leve"),AND(AB103="Media",AD103="Menor"),AND(AB103="Media",AD103="Moderado"),AND(AB103="Alta",AD103="Leve"),AND(AB103="Alta",AD103="Menor")),"Moderado",IF(OR(AND(AB103="Muy Baja",AD103="Mayor"),AND(AB103="Baja",AD103="Mayor"),AND(AB103="Media",AD103="Mayor"),AND(AB103="Alta",AD103="Moderado"),AND(AB103="Alta",AD103="Mayor"),AND(AB103="Muy Alta",AD103="Leve"),AND(AB103="Muy Alta",AD103="Menor"),AND(AB103="Muy Alta",AD103="Moderado"),AND(AB103="Muy Alta",AD103="Mayor")),"Alto",IF(OR(AND(AB103="Muy Baja",AD103="Catastrófico"),AND(AB103="Baja",AD103="Catastrófico"),AND(AB103="Media",AD103="Catastrófico"),AND(AB103="Alta",AD103="Catastrófico"),AND(AB103="Muy Alta",AD103="Catastrófico")),"Extremo","")))),"")</f>
        <v>Moderado</v>
      </c>
      <c r="AG103" s="155" t="s">
        <v>122</v>
      </c>
      <c r="AH103" s="156" t="s">
        <v>404</v>
      </c>
      <c r="AI103" s="148" t="s">
        <v>203</v>
      </c>
      <c r="AJ103" s="149" t="s">
        <v>199</v>
      </c>
      <c r="AK103" s="149" t="s">
        <v>199</v>
      </c>
      <c r="AL103" s="150" t="s">
        <v>406</v>
      </c>
      <c r="AM103" s="95" t="s">
        <v>864</v>
      </c>
      <c r="AN103" s="540" t="s">
        <v>714</v>
      </c>
      <c r="AO103" s="542">
        <v>1</v>
      </c>
      <c r="AP103" s="540" t="s">
        <v>715</v>
      </c>
      <c r="AQ103" s="545"/>
      <c r="AR103" s="542">
        <v>0.66</v>
      </c>
      <c r="AS103" s="540"/>
      <c r="AT103" s="544" t="s">
        <v>629</v>
      </c>
      <c r="AU103" s="538" t="s">
        <v>630</v>
      </c>
      <c r="AV103" s="538" t="s">
        <v>630</v>
      </c>
      <c r="AW103" s="538" t="s">
        <v>630</v>
      </c>
      <c r="AX103" s="540" t="s">
        <v>850</v>
      </c>
    </row>
    <row r="104" spans="1:50" s="147" customFormat="1" ht="151.5" customHeight="1" x14ac:dyDescent="0.25">
      <c r="A104" s="407"/>
      <c r="B104" s="405"/>
      <c r="C104" s="410"/>
      <c r="D104" s="410"/>
      <c r="E104" s="392"/>
      <c r="F104" s="392"/>
      <c r="G104" s="392"/>
      <c r="H104" s="409"/>
      <c r="I104" s="392"/>
      <c r="J104" s="390"/>
      <c r="K104" s="395"/>
      <c r="L104" s="398"/>
      <c r="M104" s="401"/>
      <c r="N104" s="167"/>
      <c r="O104" s="395"/>
      <c r="P104" s="398"/>
      <c r="Q104" s="414"/>
      <c r="R104" s="157">
        <v>2</v>
      </c>
      <c r="S104" s="158" t="s">
        <v>350</v>
      </c>
      <c r="T104" s="159" t="str">
        <f t="shared" si="155"/>
        <v>Probabilidad</v>
      </c>
      <c r="U104" s="162" t="s">
        <v>14</v>
      </c>
      <c r="V104" s="162" t="s">
        <v>9</v>
      </c>
      <c r="W104" s="163" t="str">
        <f t="shared" si="156"/>
        <v>40%</v>
      </c>
      <c r="X104" s="162" t="s">
        <v>19</v>
      </c>
      <c r="Y104" s="162" t="s">
        <v>23</v>
      </c>
      <c r="Z104" s="162" t="s">
        <v>110</v>
      </c>
      <c r="AA104" s="142">
        <f>IFERROR(IF(T104="Probabilidad",(AA103-(+AA103*W104)),IF(T104="Impacto",L104,"")),"")</f>
        <v>0.252</v>
      </c>
      <c r="AB104" s="152" t="str">
        <f t="shared" si="158"/>
        <v>Baja</v>
      </c>
      <c r="AC104" s="153">
        <f t="shared" si="159"/>
        <v>0.252</v>
      </c>
      <c r="AD104" s="152" t="str">
        <f t="shared" si="160"/>
        <v>Moderado</v>
      </c>
      <c r="AE104" s="153">
        <v>0.6</v>
      </c>
      <c r="AF104" s="154" t="str">
        <f t="shared" si="162"/>
        <v>Moderado</v>
      </c>
      <c r="AG104" s="155" t="s">
        <v>122</v>
      </c>
      <c r="AH104" s="164" t="s">
        <v>312</v>
      </c>
      <c r="AI104" s="165" t="s">
        <v>212</v>
      </c>
      <c r="AJ104" s="166" t="s">
        <v>199</v>
      </c>
      <c r="AK104" s="166" t="s">
        <v>199</v>
      </c>
      <c r="AL104" s="164" t="s">
        <v>405</v>
      </c>
      <c r="AM104" s="224" t="s">
        <v>716</v>
      </c>
      <c r="AN104" s="221" t="s">
        <v>837</v>
      </c>
      <c r="AO104" s="218">
        <v>1</v>
      </c>
      <c r="AP104" s="221" t="s">
        <v>717</v>
      </c>
      <c r="AQ104" s="224" t="s">
        <v>718</v>
      </c>
      <c r="AR104" s="218">
        <v>1</v>
      </c>
      <c r="AS104" s="95"/>
      <c r="AT104" s="232" t="s">
        <v>629</v>
      </c>
      <c r="AU104" s="137" t="s">
        <v>630</v>
      </c>
      <c r="AV104" s="137" t="s">
        <v>630</v>
      </c>
      <c r="AW104" s="137" t="s">
        <v>630</v>
      </c>
      <c r="AX104" s="95"/>
    </row>
    <row r="105" spans="1:50" s="147" customFormat="1" ht="99.75" hidden="1" customHeight="1" x14ac:dyDescent="0.25">
      <c r="A105" s="407"/>
      <c r="B105" s="406"/>
      <c r="C105" s="410"/>
      <c r="D105" s="410"/>
      <c r="E105" s="392"/>
      <c r="F105" s="392"/>
      <c r="G105" s="392"/>
      <c r="H105" s="409"/>
      <c r="I105" s="392"/>
      <c r="J105" s="390"/>
      <c r="K105" s="396"/>
      <c r="L105" s="399"/>
      <c r="M105" s="401"/>
      <c r="N105" s="167"/>
      <c r="O105" s="396"/>
      <c r="P105" s="399"/>
      <c r="Q105" s="415"/>
      <c r="R105" s="157">
        <v>3</v>
      </c>
      <c r="S105" s="158"/>
      <c r="T105" s="159" t="str">
        <f t="shared" si="155"/>
        <v/>
      </c>
      <c r="U105" s="162"/>
      <c r="V105" s="162"/>
      <c r="W105" s="163"/>
      <c r="X105" s="162"/>
      <c r="Y105" s="162"/>
      <c r="Z105" s="162"/>
      <c r="AA105" s="142" t="str">
        <f>IFERROR(IF(T105="Probabilidad",(AA104-(+AA104*W105)),IF(T105="Impacto",L105,"")),"")</f>
        <v/>
      </c>
      <c r="AB105" s="152" t="str">
        <f t="shared" si="158"/>
        <v/>
      </c>
      <c r="AC105" s="153" t="str">
        <f t="shared" si="159"/>
        <v/>
      </c>
      <c r="AD105" s="152" t="str">
        <f t="shared" si="160"/>
        <v/>
      </c>
      <c r="AE105" s="153" t="str">
        <f t="shared" si="161"/>
        <v/>
      </c>
      <c r="AF105" s="154" t="str">
        <f t="shared" si="162"/>
        <v/>
      </c>
      <c r="AG105" s="155"/>
      <c r="AH105" s="158"/>
      <c r="AI105" s="148"/>
      <c r="AJ105" s="149"/>
      <c r="AK105" s="149"/>
      <c r="AL105" s="158"/>
      <c r="AM105" s="95"/>
      <c r="AN105" s="95"/>
      <c r="AO105" s="218">
        <v>1</v>
      </c>
      <c r="AP105" s="95"/>
      <c r="AQ105" s="95"/>
      <c r="AR105" s="218">
        <v>1</v>
      </c>
      <c r="AS105" s="95"/>
      <c r="AT105" s="232" t="s">
        <v>629</v>
      </c>
      <c r="AU105" s="137" t="s">
        <v>630</v>
      </c>
      <c r="AV105" s="137" t="s">
        <v>630</v>
      </c>
      <c r="AW105" s="137" t="s">
        <v>630</v>
      </c>
      <c r="AX105" s="95"/>
    </row>
    <row r="106" spans="1:50" s="147" customFormat="1" ht="151.5" customHeight="1" x14ac:dyDescent="0.25">
      <c r="A106" s="407">
        <v>34</v>
      </c>
      <c r="B106" s="404" t="s">
        <v>310</v>
      </c>
      <c r="C106" s="402" t="s">
        <v>360</v>
      </c>
      <c r="D106" s="402" t="s">
        <v>403</v>
      </c>
      <c r="E106" s="391" t="s">
        <v>118</v>
      </c>
      <c r="F106" s="391" t="s">
        <v>313</v>
      </c>
      <c r="G106" s="391" t="s">
        <v>333</v>
      </c>
      <c r="H106" s="408" t="s">
        <v>407</v>
      </c>
      <c r="I106" s="391" t="s">
        <v>328</v>
      </c>
      <c r="J106" s="389">
        <v>365</v>
      </c>
      <c r="K106" s="394" t="str">
        <f>IF(J106&lt;=0,"",IF(J106&lt;=2,"Muy Baja",IF(J106&lt;=24,"Baja",IF(J106&lt;=500,"Media",IF(J106&lt;=5000,"Alta","Muy Alta")))))</f>
        <v>Media</v>
      </c>
      <c r="L106" s="397">
        <f>IF(K106="","",IF(K106="Muy Baja",0.2,IF(K106="Baja",0.4,IF(K106="Media",0.6,IF(K106="Alta",0.8,IF(K106="Muy Alta",1,))))))</f>
        <v>0.6</v>
      </c>
      <c r="M106" s="400" t="s">
        <v>486</v>
      </c>
      <c r="N106" s="161" t="str">
        <f>IF(NOT(ISERROR(MATCH(M106,'Tabla Impacto'!$B$221:$B$223,0))),'Tabla Impacto'!$F$223&amp;"Por favor no seleccionar los criterios de impacto(Afectación Económica o presupuestal y Pérdida Reputacional)",M106)</f>
        <v xml:space="preserve"> El riesgo afecta la imagen de la entidad con algunos usuarios de relevancia frente al logro de los objetivos</v>
      </c>
      <c r="O106" s="394" t="str">
        <f>IF(OR(N106='Tabla Impacto'!$C$11,N106='Tabla Impacto'!$D$11),"Leve",IF(OR(N106='Tabla Impacto'!$C$12,N106='Tabla Impacto'!$D$12),"Menor",IF(OR(N106='Tabla Impacto'!$C$13,N106='Tabla Impacto'!$D$13),"Moderado",IF(OR(N106='Tabla Impacto'!$C$14,N106='Tabla Impacto'!$D$14),"Mayor",IF(OR(N106='Tabla Impacto'!$C$15,N106='Tabla Impacto'!$D$15),"Catastrófico","")))))</f>
        <v>Moderado</v>
      </c>
      <c r="P106" s="397">
        <f>IF(O106="","",IF(O106="Leve",0.2,IF(O106="Menor",0.4,IF(O106="Moderado",0.6,IF(O106="Mayor",0.8,IF(O106="Catastrófico",1,))))))</f>
        <v>0.6</v>
      </c>
      <c r="Q106" s="413" t="str">
        <f>IF(OR(AND(K106="Muy Baja",O106="Leve"),AND(K106="Muy Baja",O106="Menor"),AND(K106="Baja",O106="Leve")),"Bajo",IF(OR(AND(K106="Muy baja",O106="Moderado"),AND(K106="Baja",O106="Menor"),AND(K106="Baja",O106="Moderado"),AND(K106="Media",O106="Leve"),AND(K106="Media",O106="Menor"),AND(K106="Media",O106="Moderado"),AND(K106="Alta",O106="Leve"),AND(K106="Alta",O106="Menor")),"Moderado",IF(OR(AND(K106="Muy Baja",O106="Mayor"),AND(K106="Baja",O106="Mayor"),AND(K106="Media",O106="Mayor"),AND(K106="Alta",O106="Moderado"),AND(K106="Alta",O106="Mayor"),AND(K106="Muy Alta",O106="Leve"),AND(K106="Muy Alta",O106="Menor"),AND(K106="Muy Alta",O106="Moderado"),AND(K106="Muy Alta",O106="Mayor")),"Alto",IF(OR(AND(K106="Muy Baja",O106="Catastrófico"),AND(K106="Baja",O106="Catastrófico"),AND(K106="Media",O106="Catastrófico"),AND(K106="Alta",O106="Catastrófico"),AND(K106="Muy Alta",O106="Catastrófico")),"Extremo",""))))</f>
        <v>Moderado</v>
      </c>
      <c r="R106" s="157">
        <v>1</v>
      </c>
      <c r="S106" s="158" t="s">
        <v>334</v>
      </c>
      <c r="T106" s="159" t="str">
        <f t="shared" si="25"/>
        <v>Probabilidad</v>
      </c>
      <c r="U106" s="162" t="s">
        <v>14</v>
      </c>
      <c r="V106" s="162" t="s">
        <v>9</v>
      </c>
      <c r="W106" s="163" t="str">
        <f t="shared" si="26"/>
        <v>40%</v>
      </c>
      <c r="X106" s="162" t="s">
        <v>19</v>
      </c>
      <c r="Y106" s="162" t="s">
        <v>23</v>
      </c>
      <c r="Z106" s="162" t="s">
        <v>110</v>
      </c>
      <c r="AA106" s="142">
        <f t="shared" si="27"/>
        <v>0.36</v>
      </c>
      <c r="AB106" s="152" t="str">
        <f t="shared" si="28"/>
        <v>Baja</v>
      </c>
      <c r="AC106" s="153">
        <f t="shared" si="29"/>
        <v>0.36</v>
      </c>
      <c r="AD106" s="152" t="str">
        <f t="shared" si="30"/>
        <v>Moderado</v>
      </c>
      <c r="AE106" s="153">
        <f t="shared" si="31"/>
        <v>0.6</v>
      </c>
      <c r="AF106" s="154" t="str">
        <f t="shared" si="32"/>
        <v>Moderado</v>
      </c>
      <c r="AG106" s="155" t="s">
        <v>122</v>
      </c>
      <c r="AH106" s="164" t="s">
        <v>335</v>
      </c>
      <c r="AI106" s="165" t="s">
        <v>282</v>
      </c>
      <c r="AJ106" s="166" t="s">
        <v>199</v>
      </c>
      <c r="AK106" s="166" t="s">
        <v>199</v>
      </c>
      <c r="AL106" s="164" t="s">
        <v>408</v>
      </c>
      <c r="AM106" s="221" t="s">
        <v>719</v>
      </c>
      <c r="AN106" s="224" t="s">
        <v>838</v>
      </c>
      <c r="AO106" s="218">
        <v>1</v>
      </c>
      <c r="AP106" s="221" t="s">
        <v>720</v>
      </c>
      <c r="AQ106" s="224" t="s">
        <v>838</v>
      </c>
      <c r="AR106" s="218">
        <v>1</v>
      </c>
      <c r="AS106" s="95"/>
      <c r="AT106" s="232" t="s">
        <v>629</v>
      </c>
      <c r="AU106" s="137" t="s">
        <v>630</v>
      </c>
      <c r="AV106" s="137" t="s">
        <v>630</v>
      </c>
      <c r="AW106" s="137" t="s">
        <v>630</v>
      </c>
      <c r="AX106" s="95"/>
    </row>
    <row r="107" spans="1:50" s="147" customFormat="1" ht="151.5" customHeight="1" x14ac:dyDescent="0.25">
      <c r="A107" s="407"/>
      <c r="B107" s="405"/>
      <c r="C107" s="410"/>
      <c r="D107" s="410"/>
      <c r="E107" s="392"/>
      <c r="F107" s="392"/>
      <c r="G107" s="392"/>
      <c r="H107" s="409"/>
      <c r="I107" s="392"/>
      <c r="J107" s="390"/>
      <c r="K107" s="395"/>
      <c r="L107" s="398"/>
      <c r="M107" s="401"/>
      <c r="N107" s="167"/>
      <c r="O107" s="395"/>
      <c r="P107" s="398"/>
      <c r="Q107" s="414"/>
      <c r="R107" s="157">
        <v>2</v>
      </c>
      <c r="S107" s="158" t="s">
        <v>345</v>
      </c>
      <c r="T107" s="159" t="str">
        <f t="shared" ref="T107:T108" si="163">IF(OR(U107="Preventivo",U107="Detectivo"),"Probabilidad",IF(U107="Correctivo","Impacto",""))</f>
        <v>Probabilidad</v>
      </c>
      <c r="U107" s="162" t="s">
        <v>14</v>
      </c>
      <c r="V107" s="162" t="s">
        <v>9</v>
      </c>
      <c r="W107" s="163" t="str">
        <f t="shared" ref="W107" si="164">IF(AND(U107="Preventivo",V107="Automático"),"50%",IF(AND(U107="Preventivo",V107="Manual"),"40%",IF(AND(U107="Detectivo",V107="Automático"),"40%",IF(AND(U107="Detectivo",V107="Manual"),"30%",IF(AND(U107="Correctivo",V107="Automático"),"35%",IF(AND(U107="Correctivo",V107="Manual"),"25%",""))))))</f>
        <v>40%</v>
      </c>
      <c r="X107" s="162" t="s">
        <v>20</v>
      </c>
      <c r="Y107" s="162" t="s">
        <v>22</v>
      </c>
      <c r="Z107" s="162" t="s">
        <v>110</v>
      </c>
      <c r="AA107" s="142">
        <f>IFERROR(IF(T107="Probabilidad",(AA106-(+AA106*W107)),IF(T107="Impacto",L107,"")),"")</f>
        <v>0.216</v>
      </c>
      <c r="AB107" s="152" t="str">
        <f t="shared" ref="AB107:AB108" si="165">IFERROR(IF(AA107="","",IF(AA107&lt;=0.2,"Muy Baja",IF(AA107&lt;=0.4,"Baja",IF(AA107&lt;=0.6,"Media",IF(AA107&lt;=0.8,"Alta","Muy Alta"))))),"")</f>
        <v>Baja</v>
      </c>
      <c r="AC107" s="153">
        <f t="shared" ref="AC107:AC108" si="166">+AA107</f>
        <v>0.216</v>
      </c>
      <c r="AD107" s="152" t="str">
        <f t="shared" ref="AD107:AD108" si="167">IFERROR(IF(AE107="","",IF(AE107&lt;=0.2,"Leve",IF(AE107&lt;=0.4,"Menor",IF(AE107&lt;=0.6,"Moderado",IF(AE107&lt;=0.8,"Mayor","Catastrófico"))))),"")</f>
        <v>Moderado</v>
      </c>
      <c r="AE107" s="153">
        <v>0.6</v>
      </c>
      <c r="AF107" s="154" t="str">
        <f t="shared" ref="AF107:AF108" si="168">IFERROR(IF(OR(AND(AB107="Muy Baja",AD107="Leve"),AND(AB107="Muy Baja",AD107="Menor"),AND(AB107="Baja",AD107="Leve")),"Bajo",IF(OR(AND(AB107="Muy baja",AD107="Moderado"),AND(AB107="Baja",AD107="Menor"),AND(AB107="Baja",AD107="Moderado"),AND(AB107="Media",AD107="Leve"),AND(AB107="Media",AD107="Menor"),AND(AB107="Media",AD107="Moderado"),AND(AB107="Alta",AD107="Leve"),AND(AB107="Alta",AD107="Menor")),"Moderado",IF(OR(AND(AB107="Muy Baja",AD107="Mayor"),AND(AB107="Baja",AD107="Mayor"),AND(AB107="Media",AD107="Mayor"),AND(AB107="Alta",AD107="Moderado"),AND(AB107="Alta",AD107="Mayor"),AND(AB107="Muy Alta",AD107="Leve"),AND(AB107="Muy Alta",AD107="Menor"),AND(AB107="Muy Alta",AD107="Moderado"),AND(AB107="Muy Alta",AD107="Mayor")),"Alto",IF(OR(AND(AB107="Muy Baja",AD107="Catastrófico"),AND(AB107="Baja",AD107="Catastrófico"),AND(AB107="Media",AD107="Catastrófico"),AND(AB107="Alta",AD107="Catastrófico"),AND(AB107="Muy Alta",AD107="Catastrófico")),"Extremo","")))),"")</f>
        <v>Moderado</v>
      </c>
      <c r="AG107" s="155" t="s">
        <v>122</v>
      </c>
      <c r="AH107" s="164" t="s">
        <v>404</v>
      </c>
      <c r="AI107" s="165" t="s">
        <v>203</v>
      </c>
      <c r="AJ107" s="166" t="s">
        <v>199</v>
      </c>
      <c r="AK107" s="166" t="s">
        <v>199</v>
      </c>
      <c r="AL107" s="164" t="s">
        <v>406</v>
      </c>
      <c r="AM107" s="224" t="s">
        <v>839</v>
      </c>
      <c r="AN107" s="221" t="s">
        <v>721</v>
      </c>
      <c r="AO107" s="218">
        <v>1</v>
      </c>
      <c r="AP107" s="221" t="s">
        <v>722</v>
      </c>
      <c r="AQ107" s="221" t="s">
        <v>723</v>
      </c>
      <c r="AR107" s="218">
        <v>1</v>
      </c>
      <c r="AS107" s="95"/>
      <c r="AT107" s="232" t="s">
        <v>629</v>
      </c>
      <c r="AU107" s="137" t="s">
        <v>630</v>
      </c>
      <c r="AV107" s="137" t="s">
        <v>630</v>
      </c>
      <c r="AW107" s="137" t="s">
        <v>630</v>
      </c>
      <c r="AX107" s="95"/>
    </row>
    <row r="108" spans="1:50" s="147" customFormat="1" ht="151.5" hidden="1" customHeight="1" x14ac:dyDescent="0.25">
      <c r="A108" s="407"/>
      <c r="B108" s="406"/>
      <c r="C108" s="410"/>
      <c r="D108" s="410"/>
      <c r="E108" s="392"/>
      <c r="F108" s="392"/>
      <c r="G108" s="392"/>
      <c r="H108" s="409"/>
      <c r="I108" s="392"/>
      <c r="J108" s="390"/>
      <c r="K108" s="396"/>
      <c r="L108" s="399"/>
      <c r="M108" s="401"/>
      <c r="N108" s="167"/>
      <c r="O108" s="396"/>
      <c r="P108" s="399"/>
      <c r="Q108" s="415"/>
      <c r="R108" s="157">
        <v>3</v>
      </c>
      <c r="S108" s="158"/>
      <c r="T108" s="159" t="str">
        <f t="shared" si="163"/>
        <v/>
      </c>
      <c r="U108" s="162"/>
      <c r="V108" s="162"/>
      <c r="W108" s="163"/>
      <c r="X108" s="162"/>
      <c r="Y108" s="162"/>
      <c r="Z108" s="162"/>
      <c r="AA108" s="142" t="str">
        <f>IFERROR(IF(T108="Probabilidad",(AA107-(+AA107*W108)),IF(T108="Impacto",L108,"")),"")</f>
        <v/>
      </c>
      <c r="AB108" s="152" t="str">
        <f t="shared" si="165"/>
        <v/>
      </c>
      <c r="AC108" s="153" t="str">
        <f t="shared" si="166"/>
        <v/>
      </c>
      <c r="AD108" s="152" t="str">
        <f t="shared" si="167"/>
        <v/>
      </c>
      <c r="AE108" s="153" t="str">
        <f t="shared" ref="AE108" si="169">IFERROR(IF(T108="Impacto",(P108-(+P108*W108)),IF(T108="Probabilidad",P108,"")),"")</f>
        <v/>
      </c>
      <c r="AF108" s="154" t="str">
        <f t="shared" si="168"/>
        <v/>
      </c>
      <c r="AG108" s="155"/>
      <c r="AH108" s="158"/>
      <c r="AI108" s="148"/>
      <c r="AJ108" s="149"/>
      <c r="AK108" s="149"/>
      <c r="AL108" s="158"/>
      <c r="AM108" s="95"/>
      <c r="AN108" s="95"/>
      <c r="AO108" s="218">
        <v>1</v>
      </c>
      <c r="AP108" s="95"/>
      <c r="AQ108" s="95"/>
      <c r="AR108" s="218">
        <v>1</v>
      </c>
      <c r="AS108" s="95"/>
      <c r="AT108" s="232" t="s">
        <v>629</v>
      </c>
      <c r="AU108" s="137" t="s">
        <v>630</v>
      </c>
      <c r="AV108" s="137" t="s">
        <v>630</v>
      </c>
      <c r="AW108" s="137" t="s">
        <v>630</v>
      </c>
      <c r="AX108" s="95"/>
    </row>
    <row r="109" spans="1:50" s="147" customFormat="1" ht="151.5" customHeight="1" x14ac:dyDescent="0.25">
      <c r="A109" s="407">
        <v>35</v>
      </c>
      <c r="B109" s="404" t="s">
        <v>310</v>
      </c>
      <c r="C109" s="402" t="s">
        <v>360</v>
      </c>
      <c r="D109" s="402" t="s">
        <v>403</v>
      </c>
      <c r="E109" s="391" t="s">
        <v>120</v>
      </c>
      <c r="F109" s="391" t="s">
        <v>315</v>
      </c>
      <c r="G109" s="391" t="s">
        <v>316</v>
      </c>
      <c r="H109" s="408" t="s">
        <v>314</v>
      </c>
      <c r="I109" s="391" t="s">
        <v>336</v>
      </c>
      <c r="J109" s="389">
        <v>365</v>
      </c>
      <c r="K109" s="394" t="str">
        <f>IF(J109&lt;=0,"",IF(J109&lt;=2,"Muy Baja",IF(J109&lt;=24,"Baja",IF(J109&lt;=500,"Media",IF(J109&lt;=5000,"Alta","Muy Alta")))))</f>
        <v>Media</v>
      </c>
      <c r="L109" s="397">
        <f>IF(K109="","",IF(K109="Muy Baja",0.2,IF(K109="Baja",0.4,IF(K109="Media",0.6,IF(K109="Alta",0.8,IF(K109="Muy Alta",1,))))))</f>
        <v>0.6</v>
      </c>
      <c r="M109" s="400" t="s">
        <v>493</v>
      </c>
      <c r="N109" s="161" t="str">
        <f>IF(NOT(ISERROR(MATCH(M109,'Tabla Impacto'!$B$221:$B$223,0))),'Tabla Impacto'!$F$223&amp;"Por favor no seleccionar los criterios de impacto(Afectación Económica o presupuestal y Pérdida Reputacional)",M109)</f>
        <v xml:space="preserve"> El riesgo afecta la imagen de la entidad con efecto publicitario sostenido a nivel de sector administrativo, nivel departamental o municipal</v>
      </c>
      <c r="O109" s="394" t="str">
        <f>IF(OR(N109='Tabla Impacto'!$C$11,N109='Tabla Impacto'!$D$11),"Leve",IF(OR(N109='Tabla Impacto'!$C$12,N109='Tabla Impacto'!$D$12),"Menor",IF(OR(N109='Tabla Impacto'!$C$13,N109='Tabla Impacto'!$D$13),"Moderado",IF(OR(N109='Tabla Impacto'!$C$14,N109='Tabla Impacto'!$D$14),"Mayor",IF(OR(N109='Tabla Impacto'!$C$15,N109='Tabla Impacto'!$D$15),"Catastrófico","")))))</f>
        <v>Mayor</v>
      </c>
      <c r="P109" s="397">
        <f>IF(O109="","",IF(O109="Leve",0.2,IF(O109="Menor",0.4,IF(O109="Moderado",0.6,IF(O109="Mayor",0.8,IF(O109="Catastrófico",1,))))))</f>
        <v>0.8</v>
      </c>
      <c r="Q109" s="413" t="str">
        <f>IF(OR(AND(K109="Muy Baja",O109="Leve"),AND(K109="Muy Baja",O109="Menor"),AND(K109="Baja",O109="Leve")),"Bajo",IF(OR(AND(K109="Muy baja",O109="Moderado"),AND(K109="Baja",O109="Menor"),AND(K109="Baja",O109="Moderado"),AND(K109="Media",O109="Leve"),AND(K109="Media",O109="Menor"),AND(K109="Media",O109="Moderado"),AND(K109="Alta",O109="Leve"),AND(K109="Alta",O109="Menor")),"Moderado",IF(OR(AND(K109="Muy Baja",O109="Mayor"),AND(K109="Baja",O109="Mayor"),AND(K109="Media",O109="Mayor"),AND(K109="Alta",O109="Moderado"),AND(K109="Alta",O109="Mayor"),AND(K109="Muy Alta",O109="Leve"),AND(K109="Muy Alta",O109="Menor"),AND(K109="Muy Alta",O109="Moderado"),AND(K109="Muy Alta",O109="Mayor")),"Alto",IF(OR(AND(K109="Muy Baja",O109="Catastrófico"),AND(K109="Baja",O109="Catastrófico"),AND(K109="Media",O109="Catastrófico"),AND(K109="Alta",O109="Catastrófico"),AND(K109="Muy Alta",O109="Catastrófico")),"Extremo",""))))</f>
        <v>Alto</v>
      </c>
      <c r="R109" s="157">
        <v>1</v>
      </c>
      <c r="S109" s="158" t="s">
        <v>351</v>
      </c>
      <c r="T109" s="159" t="str">
        <f t="shared" ref="T109:T111" si="170">IF(OR(U109="Preventivo",U109="Detectivo"),"Probabilidad",IF(U109="Correctivo","Impacto",""))</f>
        <v>Probabilidad</v>
      </c>
      <c r="U109" s="162" t="s">
        <v>14</v>
      </c>
      <c r="V109" s="162" t="s">
        <v>9</v>
      </c>
      <c r="W109" s="163" t="str">
        <f t="shared" ref="W109:W110" si="171">IF(AND(U109="Preventivo",V109="Automático"),"50%",IF(AND(U109="Preventivo",V109="Manual"),"40%",IF(AND(U109="Detectivo",V109="Automático"),"40%",IF(AND(U109="Detectivo",V109="Manual"),"30%",IF(AND(U109="Correctivo",V109="Automático"),"35%",IF(AND(U109="Correctivo",V109="Manual"),"25%",""))))))</f>
        <v>40%</v>
      </c>
      <c r="X109" s="162" t="s">
        <v>19</v>
      </c>
      <c r="Y109" s="162" t="s">
        <v>22</v>
      </c>
      <c r="Z109" s="162" t="s">
        <v>110</v>
      </c>
      <c r="AA109" s="142">
        <f t="shared" ref="AA109" si="172">IFERROR(IF(T109="Probabilidad",(L109-(+L109*W109)),IF(T109="Impacto",L109,"")),"")</f>
        <v>0.36</v>
      </c>
      <c r="AB109" s="152" t="str">
        <f t="shared" ref="AB109:AB111" si="173">IFERROR(IF(AA109="","",IF(AA109&lt;=0.2,"Muy Baja",IF(AA109&lt;=0.4,"Baja",IF(AA109&lt;=0.6,"Media",IF(AA109&lt;=0.8,"Alta","Muy Alta"))))),"")</f>
        <v>Baja</v>
      </c>
      <c r="AC109" s="153">
        <f t="shared" ref="AC109:AC111" si="174">+AA109</f>
        <v>0.36</v>
      </c>
      <c r="AD109" s="152" t="str">
        <f t="shared" ref="AD109:AD111" si="175">IFERROR(IF(AE109="","",IF(AE109&lt;=0.2,"Leve",IF(AE109&lt;=0.4,"Menor",IF(AE109&lt;=0.6,"Moderado",IF(AE109&lt;=0.8,"Mayor","Catastrófico"))))),"")</f>
        <v>Mayor</v>
      </c>
      <c r="AE109" s="153">
        <f t="shared" ref="AE109:AE111" si="176">IFERROR(IF(T109="Impacto",(P109-(+P109*W109)),IF(T109="Probabilidad",P109,"")),"")</f>
        <v>0.8</v>
      </c>
      <c r="AF109" s="154" t="str">
        <f t="shared" ref="AF109:AF111" si="177">IFERROR(IF(OR(AND(AB109="Muy Baja",AD109="Leve"),AND(AB109="Muy Baja",AD109="Menor"),AND(AB109="Baja",AD109="Leve")),"Bajo",IF(OR(AND(AB109="Muy baja",AD109="Moderado"),AND(AB109="Baja",AD109="Menor"),AND(AB109="Baja",AD109="Moderado"),AND(AB109="Media",AD109="Leve"),AND(AB109="Media",AD109="Menor"),AND(AB109="Media",AD109="Moderado"),AND(AB109="Alta",AD109="Leve"),AND(AB109="Alta",AD109="Menor")),"Moderado",IF(OR(AND(AB109="Muy Baja",AD109="Mayor"),AND(AB109="Baja",AD109="Mayor"),AND(AB109="Media",AD109="Mayor"),AND(AB109="Alta",AD109="Moderado"),AND(AB109="Alta",AD109="Mayor"),AND(AB109="Muy Alta",AD109="Leve"),AND(AB109="Muy Alta",AD109="Menor"),AND(AB109="Muy Alta",AD109="Moderado"),AND(AB109="Muy Alta",AD109="Mayor")),"Alto",IF(OR(AND(AB109="Muy Baja",AD109="Catastrófico"),AND(AB109="Baja",AD109="Catastrófico"),AND(AB109="Media",AD109="Catastrófico"),AND(AB109="Alta",AD109="Catastrófico"),AND(AB109="Muy Alta",AD109="Catastrófico")),"Extremo","")))),"")</f>
        <v>Alto</v>
      </c>
      <c r="AG109" s="155" t="s">
        <v>122</v>
      </c>
      <c r="AH109" s="164" t="s">
        <v>312</v>
      </c>
      <c r="AI109" s="165" t="s">
        <v>212</v>
      </c>
      <c r="AJ109" s="166" t="s">
        <v>199</v>
      </c>
      <c r="AK109" s="166" t="s">
        <v>199</v>
      </c>
      <c r="AL109" s="164" t="s">
        <v>405</v>
      </c>
      <c r="AM109" s="221" t="s">
        <v>724</v>
      </c>
      <c r="AN109" s="221" t="s">
        <v>840</v>
      </c>
      <c r="AO109" s="218">
        <v>1</v>
      </c>
      <c r="AP109" s="221" t="s">
        <v>725</v>
      </c>
      <c r="AQ109" s="221" t="s">
        <v>841</v>
      </c>
      <c r="AR109" s="218">
        <v>1</v>
      </c>
      <c r="AS109" s="95"/>
      <c r="AT109" s="232" t="s">
        <v>629</v>
      </c>
      <c r="AU109" s="137" t="s">
        <v>630</v>
      </c>
      <c r="AV109" s="137" t="s">
        <v>630</v>
      </c>
      <c r="AW109" s="137" t="s">
        <v>630</v>
      </c>
      <c r="AX109" s="95"/>
    </row>
    <row r="110" spans="1:50" s="147" customFormat="1" ht="151.5" customHeight="1" x14ac:dyDescent="0.25">
      <c r="A110" s="407"/>
      <c r="B110" s="405"/>
      <c r="C110" s="410"/>
      <c r="D110" s="410"/>
      <c r="E110" s="392"/>
      <c r="F110" s="392"/>
      <c r="G110" s="392"/>
      <c r="H110" s="409"/>
      <c r="I110" s="392"/>
      <c r="J110" s="390"/>
      <c r="K110" s="395"/>
      <c r="L110" s="398"/>
      <c r="M110" s="401"/>
      <c r="N110" s="167"/>
      <c r="O110" s="395"/>
      <c r="P110" s="398"/>
      <c r="Q110" s="414"/>
      <c r="R110" s="157">
        <v>2</v>
      </c>
      <c r="S110" s="158" t="s">
        <v>346</v>
      </c>
      <c r="T110" s="159" t="str">
        <f t="shared" si="170"/>
        <v>Probabilidad</v>
      </c>
      <c r="U110" s="162" t="s">
        <v>15</v>
      </c>
      <c r="V110" s="162" t="s">
        <v>10</v>
      </c>
      <c r="W110" s="163" t="str">
        <f t="shared" si="171"/>
        <v>40%</v>
      </c>
      <c r="X110" s="162" t="s">
        <v>19</v>
      </c>
      <c r="Y110" s="162" t="s">
        <v>22</v>
      </c>
      <c r="Z110" s="162" t="s">
        <v>110</v>
      </c>
      <c r="AA110" s="142">
        <f>IFERROR(IF(T110="Probabilidad",(AA109-(+AA109*W110)),IF(T110="Impacto",L110,"")),"")</f>
        <v>0.216</v>
      </c>
      <c r="AB110" s="152" t="str">
        <f t="shared" si="173"/>
        <v>Baja</v>
      </c>
      <c r="AC110" s="153">
        <f t="shared" si="174"/>
        <v>0.216</v>
      </c>
      <c r="AD110" s="152" t="str">
        <f t="shared" si="175"/>
        <v>Mayor</v>
      </c>
      <c r="AE110" s="153">
        <v>0.8</v>
      </c>
      <c r="AF110" s="154" t="str">
        <f t="shared" si="177"/>
        <v>Alto</v>
      </c>
      <c r="AG110" s="155" t="s">
        <v>122</v>
      </c>
      <c r="AH110" s="168" t="s">
        <v>409</v>
      </c>
      <c r="AI110" s="165" t="s">
        <v>203</v>
      </c>
      <c r="AJ110" s="166" t="s">
        <v>199</v>
      </c>
      <c r="AK110" s="166" t="s">
        <v>199</v>
      </c>
      <c r="AL110" s="164" t="s">
        <v>410</v>
      </c>
      <c r="AM110" s="221" t="s">
        <v>842</v>
      </c>
      <c r="AN110" s="221" t="s">
        <v>837</v>
      </c>
      <c r="AO110" s="218">
        <v>1</v>
      </c>
      <c r="AP110" s="221" t="s">
        <v>843</v>
      </c>
      <c r="AQ110" s="221" t="s">
        <v>844</v>
      </c>
      <c r="AR110" s="218">
        <v>1</v>
      </c>
      <c r="AS110" s="95"/>
      <c r="AT110" s="232" t="s">
        <v>629</v>
      </c>
      <c r="AU110" s="137" t="s">
        <v>630</v>
      </c>
      <c r="AV110" s="137" t="s">
        <v>630</v>
      </c>
      <c r="AW110" s="137" t="s">
        <v>630</v>
      </c>
      <c r="AX110" s="95"/>
    </row>
    <row r="111" spans="1:50" s="147" customFormat="1" ht="151.5" hidden="1" customHeight="1" x14ac:dyDescent="0.25">
      <c r="A111" s="407"/>
      <c r="B111" s="406"/>
      <c r="C111" s="410"/>
      <c r="D111" s="410"/>
      <c r="E111" s="392"/>
      <c r="F111" s="392"/>
      <c r="G111" s="392"/>
      <c r="H111" s="409"/>
      <c r="I111" s="392"/>
      <c r="J111" s="390"/>
      <c r="K111" s="396"/>
      <c r="L111" s="399"/>
      <c r="M111" s="401"/>
      <c r="N111" s="167"/>
      <c r="O111" s="396"/>
      <c r="P111" s="399"/>
      <c r="Q111" s="415"/>
      <c r="R111" s="157">
        <v>3</v>
      </c>
      <c r="S111" s="158"/>
      <c r="T111" s="159" t="str">
        <f t="shared" si="170"/>
        <v/>
      </c>
      <c r="U111" s="162"/>
      <c r="V111" s="162"/>
      <c r="W111" s="163"/>
      <c r="X111" s="162"/>
      <c r="Y111" s="162"/>
      <c r="Z111" s="162"/>
      <c r="AA111" s="142" t="str">
        <f>IFERROR(IF(T111="Probabilidad",(AA110-(+AA110*W111)),IF(T111="Impacto",L111,"")),"")</f>
        <v/>
      </c>
      <c r="AB111" s="152" t="str">
        <f t="shared" si="173"/>
        <v/>
      </c>
      <c r="AC111" s="153" t="str">
        <f t="shared" si="174"/>
        <v/>
      </c>
      <c r="AD111" s="152" t="str">
        <f t="shared" si="175"/>
        <v/>
      </c>
      <c r="AE111" s="153" t="str">
        <f t="shared" si="176"/>
        <v/>
      </c>
      <c r="AF111" s="154" t="str">
        <f t="shared" si="177"/>
        <v/>
      </c>
      <c r="AG111" s="155"/>
      <c r="AH111" s="158"/>
      <c r="AI111" s="148"/>
      <c r="AJ111" s="149"/>
      <c r="AK111" s="149"/>
      <c r="AL111" s="158"/>
      <c r="AM111" s="221"/>
      <c r="AN111" s="221"/>
      <c r="AO111" s="218">
        <v>1</v>
      </c>
      <c r="AP111" s="95"/>
      <c r="AQ111" s="95"/>
      <c r="AR111" s="218">
        <v>1</v>
      </c>
      <c r="AS111" s="95"/>
      <c r="AT111" s="232" t="s">
        <v>629</v>
      </c>
      <c r="AU111" s="137" t="s">
        <v>630</v>
      </c>
      <c r="AV111" s="137" t="s">
        <v>630</v>
      </c>
      <c r="AW111" s="137" t="s">
        <v>630</v>
      </c>
      <c r="AX111" s="95"/>
    </row>
    <row r="112" spans="1:50" s="147" customFormat="1" ht="151.5" customHeight="1" x14ac:dyDescent="0.25">
      <c r="A112" s="407">
        <v>36</v>
      </c>
      <c r="B112" s="404" t="s">
        <v>317</v>
      </c>
      <c r="C112" s="402" t="s">
        <v>352</v>
      </c>
      <c r="D112" s="402" t="s">
        <v>411</v>
      </c>
      <c r="E112" s="391" t="s">
        <v>120</v>
      </c>
      <c r="F112" s="391" t="s">
        <v>467</v>
      </c>
      <c r="G112" s="391" t="s">
        <v>468</v>
      </c>
      <c r="H112" s="408" t="s">
        <v>412</v>
      </c>
      <c r="I112" s="391" t="s">
        <v>328</v>
      </c>
      <c r="J112" s="389">
        <v>35</v>
      </c>
      <c r="K112" s="394" t="str">
        <f>IF(J112&lt;=0,"",IF(J112&lt;=2,"Muy Baja",IF(J112&lt;=24,"Baja",IF(J112&lt;=500,"Media",IF(J112&lt;=5000,"Alta","Muy Alta")))))</f>
        <v>Media</v>
      </c>
      <c r="L112" s="397">
        <f>IF(K112="","",IF(K112="Muy Baja",0.2,IF(K112="Baja",0.4,IF(K112="Media",0.6,IF(K112="Alta",0.8,IF(K112="Muy Alta",1,))))))</f>
        <v>0.6</v>
      </c>
      <c r="M112" s="400" t="s">
        <v>491</v>
      </c>
      <c r="N112" s="161" t="str">
        <f>IF(NOT(ISERROR(MATCH(M112,'Tabla Impacto'!$B$221:$B$223,0))),'Tabla Impacto'!$F$223&amp;"Por favor no seleccionar los criterios de impacto(Afectación Económica o presupuestal y Pérdida Reputacional)",M112)</f>
        <v xml:space="preserve"> El riesgo afecta la imagen de la entidad internamente, de conocimiento general, nivel interno, de junta directiva y accionistas y/o de proveedores</v>
      </c>
      <c r="O112" s="394" t="str">
        <f>IF(OR(N112='Tabla Impacto'!$C$11,N112='Tabla Impacto'!$D$11),"Leve",IF(OR(N112='Tabla Impacto'!$C$12,N112='Tabla Impacto'!$D$12),"Menor",IF(OR(N112='Tabla Impacto'!$C$13,N112='Tabla Impacto'!$D$13),"Moderado",IF(OR(N112='Tabla Impacto'!$C$14,N112='Tabla Impacto'!$D$14),"Mayor",IF(OR(N112='Tabla Impacto'!$C$15,N112='Tabla Impacto'!$D$15),"Catastrófico","")))))</f>
        <v>Menor</v>
      </c>
      <c r="P112" s="397">
        <f>IF(O112="","",IF(O112="Leve",0.2,IF(O112="Menor",0.4,IF(O112="Moderado",0.6,IF(O112="Mayor",0.8,IF(O112="Catastrófico",1,))))))</f>
        <v>0.4</v>
      </c>
      <c r="Q112" s="413" t="str">
        <f>IF(OR(AND(K112="Muy Baja",O112="Leve"),AND(K112="Muy Baja",O112="Menor"),AND(K112="Baja",O112="Leve")),"Bajo",IF(OR(AND(K112="Muy baja",O112="Moderado"),AND(K112="Baja",O112="Menor"),AND(K112="Baja",O112="Moderado"),AND(K112="Media",O112="Leve"),AND(K112="Media",O112="Menor"),AND(K112="Media",O112="Moderado"),AND(K112="Alta",O112="Leve"),AND(K112="Alta",O112="Menor")),"Moderado",IF(OR(AND(K112="Muy Baja",O112="Mayor"),AND(K112="Baja",O112="Mayor"),AND(K112="Media",O112="Mayor"),AND(K112="Alta",O112="Moderado"),AND(K112="Alta",O112="Mayor"),AND(K112="Muy Alta",O112="Leve"),AND(K112="Muy Alta",O112="Menor"),AND(K112="Muy Alta",O112="Moderado"),AND(K112="Muy Alta",O112="Mayor")),"Alto",IF(OR(AND(K112="Muy Baja",O112="Catastrófico"),AND(K112="Baja",O112="Catastrófico"),AND(K112="Media",O112="Catastrófico"),AND(K112="Alta",O112="Catastrófico"),AND(K112="Muy Alta",O112="Catastrófico")),"Extremo",""))))</f>
        <v>Moderado</v>
      </c>
      <c r="R112" s="157">
        <v>1</v>
      </c>
      <c r="S112" s="158" t="s">
        <v>337</v>
      </c>
      <c r="T112" s="159" t="str">
        <f t="shared" ref="T112:T123" si="178">IF(OR(U112="Preventivo",U112="Detectivo"),"Probabilidad",IF(U112="Correctivo","Impacto",""))</f>
        <v>Probabilidad</v>
      </c>
      <c r="U112" s="162" t="s">
        <v>14</v>
      </c>
      <c r="V112" s="162" t="s">
        <v>9</v>
      </c>
      <c r="W112" s="163" t="str">
        <f t="shared" ref="W112:W122" si="179">IF(AND(U112="Preventivo",V112="Automático"),"50%",IF(AND(U112="Preventivo",V112="Manual"),"40%",IF(AND(U112="Detectivo",V112="Automático"),"40%",IF(AND(U112="Detectivo",V112="Manual"),"30%",IF(AND(U112="Correctivo",V112="Automático"),"35%",IF(AND(U112="Correctivo",V112="Manual"),"25%",""))))))</f>
        <v>40%</v>
      </c>
      <c r="X112" s="162" t="s">
        <v>19</v>
      </c>
      <c r="Y112" s="162" t="s">
        <v>22</v>
      </c>
      <c r="Z112" s="162" t="s">
        <v>110</v>
      </c>
      <c r="AA112" s="142">
        <f t="shared" ref="AA112:AA121" si="180">IFERROR(IF(T112="Probabilidad",(L112-(+L112*W112)),IF(T112="Impacto",L112,"")),"")</f>
        <v>0.36</v>
      </c>
      <c r="AB112" s="152" t="str">
        <f t="shared" ref="AB112:AB122" si="181">IFERROR(IF(AA112="","",IF(AA112&lt;=0.2,"Muy Baja",IF(AA112&lt;=0.4,"Baja",IF(AA112&lt;=0.6,"Media",IF(AA112&lt;=0.8,"Alta","Muy Alta"))))),"")</f>
        <v>Baja</v>
      </c>
      <c r="AC112" s="153">
        <f t="shared" ref="AC112:AC122" si="182">+AA112</f>
        <v>0.36</v>
      </c>
      <c r="AD112" s="152" t="str">
        <f t="shared" ref="AD112:AD122" si="183">IFERROR(IF(AE112="","",IF(AE112&lt;=0.2,"Leve",IF(AE112&lt;=0.4,"Menor",IF(AE112&lt;=0.6,"Moderado",IF(AE112&lt;=0.8,"Mayor","Catastrófico"))))),"")</f>
        <v>Menor</v>
      </c>
      <c r="AE112" s="153">
        <f t="shared" ref="AE112:AE122" si="184">IFERROR(IF(T112="Impacto",(P112-(+P112*W112)),IF(T112="Probabilidad",P112,"")),"")</f>
        <v>0.4</v>
      </c>
      <c r="AF112" s="154" t="str">
        <f t="shared" ref="AF112:AF122" si="185">IFERROR(IF(OR(AND(AB112="Muy Baja",AD112="Leve"),AND(AB112="Muy Baja",AD112="Menor"),AND(AB112="Baja",AD112="Leve")),"Bajo",IF(OR(AND(AB112="Muy baja",AD112="Moderado"),AND(AB112="Baja",AD112="Menor"),AND(AB112="Baja",AD112="Moderado"),AND(AB112="Media",AD112="Leve"),AND(AB112="Media",AD112="Menor"),AND(AB112="Media",AD112="Moderado"),AND(AB112="Alta",AD112="Leve"),AND(AB112="Alta",AD112="Menor")),"Moderado",IF(OR(AND(AB112="Muy Baja",AD112="Mayor"),AND(AB112="Baja",AD112="Mayor"),AND(AB112="Media",AD112="Mayor"),AND(AB112="Alta",AD112="Moderado"),AND(AB112="Alta",AD112="Mayor"),AND(AB112="Muy Alta",AD112="Leve"),AND(AB112="Muy Alta",AD112="Menor"),AND(AB112="Muy Alta",AD112="Moderado"),AND(AB112="Muy Alta",AD112="Mayor")),"Alto",IF(OR(AND(AB112="Muy Baja",AD112="Catastrófico"),AND(AB112="Baja",AD112="Catastrófico"),AND(AB112="Media",AD112="Catastrófico"),AND(AB112="Alta",AD112="Catastrófico"),AND(AB112="Muy Alta",AD112="Catastrófico")),"Extremo","")))),"")</f>
        <v>Moderado</v>
      </c>
      <c r="AG112" s="155" t="s">
        <v>122</v>
      </c>
      <c r="AH112" s="158" t="s">
        <v>513</v>
      </c>
      <c r="AI112" s="148" t="s">
        <v>260</v>
      </c>
      <c r="AJ112" s="149">
        <v>44563</v>
      </c>
      <c r="AK112" s="149" t="s">
        <v>373</v>
      </c>
      <c r="AL112" s="158" t="s">
        <v>413</v>
      </c>
      <c r="AM112" s="221" t="s">
        <v>805</v>
      </c>
      <c r="AN112" s="221" t="s">
        <v>726</v>
      </c>
      <c r="AO112" s="218">
        <v>1</v>
      </c>
      <c r="AP112" s="221" t="s">
        <v>727</v>
      </c>
      <c r="AQ112" s="221" t="s">
        <v>728</v>
      </c>
      <c r="AR112" s="218">
        <v>1</v>
      </c>
      <c r="AS112" s="95"/>
      <c r="AT112" s="232" t="s">
        <v>629</v>
      </c>
      <c r="AU112" s="137" t="s">
        <v>630</v>
      </c>
      <c r="AV112" s="137" t="s">
        <v>630</v>
      </c>
      <c r="AW112" s="137" t="s">
        <v>630</v>
      </c>
      <c r="AX112" s="95" t="s">
        <v>871</v>
      </c>
    </row>
    <row r="113" spans="1:50" s="147" customFormat="1" ht="151.5" customHeight="1" x14ac:dyDescent="0.25">
      <c r="A113" s="407"/>
      <c r="B113" s="405"/>
      <c r="C113" s="403"/>
      <c r="D113" s="410"/>
      <c r="E113" s="392"/>
      <c r="F113" s="392"/>
      <c r="G113" s="392"/>
      <c r="H113" s="409"/>
      <c r="I113" s="392"/>
      <c r="J113" s="390"/>
      <c r="K113" s="395"/>
      <c r="L113" s="398"/>
      <c r="M113" s="401"/>
      <c r="N113" s="167"/>
      <c r="O113" s="395"/>
      <c r="P113" s="398"/>
      <c r="Q113" s="414"/>
      <c r="R113" s="157">
        <v>2</v>
      </c>
      <c r="S113" s="158" t="s">
        <v>347</v>
      </c>
      <c r="T113" s="159" t="str">
        <f t="shared" si="178"/>
        <v>Probabilidad</v>
      </c>
      <c r="U113" s="162" t="s">
        <v>15</v>
      </c>
      <c r="V113" s="162" t="s">
        <v>9</v>
      </c>
      <c r="W113" s="163" t="str">
        <f t="shared" si="179"/>
        <v>30%</v>
      </c>
      <c r="X113" s="162" t="s">
        <v>19</v>
      </c>
      <c r="Y113" s="162" t="s">
        <v>22</v>
      </c>
      <c r="Z113" s="162" t="s">
        <v>110</v>
      </c>
      <c r="AA113" s="142">
        <f>IFERROR(IF(T113="Probabilidad",(AA112-(+AA112*W113)),IF(T113="Impacto",L113,"")),"")</f>
        <v>0.252</v>
      </c>
      <c r="AB113" s="152" t="str">
        <f t="shared" si="181"/>
        <v>Baja</v>
      </c>
      <c r="AC113" s="153">
        <f t="shared" si="182"/>
        <v>0.252</v>
      </c>
      <c r="AD113" s="152" t="str">
        <f t="shared" si="183"/>
        <v>Menor</v>
      </c>
      <c r="AE113" s="153">
        <v>0.4</v>
      </c>
      <c r="AF113" s="154" t="str">
        <f t="shared" si="185"/>
        <v>Moderado</v>
      </c>
      <c r="AG113" s="155" t="s">
        <v>122</v>
      </c>
      <c r="AH113" s="158" t="s">
        <v>513</v>
      </c>
      <c r="AI113" s="148" t="s">
        <v>260</v>
      </c>
      <c r="AJ113" s="149">
        <v>44563</v>
      </c>
      <c r="AK113" s="149" t="s">
        <v>373</v>
      </c>
      <c r="AL113" s="158" t="s">
        <v>413</v>
      </c>
      <c r="AM113" s="221" t="s">
        <v>729</v>
      </c>
      <c r="AN113" s="221" t="s">
        <v>730</v>
      </c>
      <c r="AO113" s="218">
        <v>1</v>
      </c>
      <c r="AP113" s="221" t="s">
        <v>845</v>
      </c>
      <c r="AQ113" s="221" t="s">
        <v>846</v>
      </c>
      <c r="AR113" s="218">
        <v>1</v>
      </c>
      <c r="AS113" s="95"/>
      <c r="AT113" s="232" t="s">
        <v>629</v>
      </c>
      <c r="AU113" s="137" t="s">
        <v>630</v>
      </c>
      <c r="AV113" s="137" t="s">
        <v>630</v>
      </c>
      <c r="AW113" s="137" t="s">
        <v>630</v>
      </c>
      <c r="AX113" s="95" t="s">
        <v>871</v>
      </c>
    </row>
    <row r="114" spans="1:50" s="147" customFormat="1" ht="151.5" hidden="1" customHeight="1" x14ac:dyDescent="0.25">
      <c r="A114" s="407"/>
      <c r="B114" s="406"/>
      <c r="C114" s="403"/>
      <c r="D114" s="410"/>
      <c r="E114" s="392"/>
      <c r="F114" s="392"/>
      <c r="G114" s="392"/>
      <c r="H114" s="409"/>
      <c r="I114" s="392"/>
      <c r="J114" s="390"/>
      <c r="K114" s="396"/>
      <c r="L114" s="399"/>
      <c r="M114" s="401"/>
      <c r="N114" s="167"/>
      <c r="O114" s="396"/>
      <c r="P114" s="399"/>
      <c r="Q114" s="415"/>
      <c r="R114" s="157">
        <v>3</v>
      </c>
      <c r="S114" s="158"/>
      <c r="T114" s="159" t="str">
        <f t="shared" si="178"/>
        <v/>
      </c>
      <c r="U114" s="162"/>
      <c r="V114" s="162"/>
      <c r="W114" s="163"/>
      <c r="X114" s="162"/>
      <c r="Y114" s="162"/>
      <c r="Z114" s="162"/>
      <c r="AA114" s="142" t="str">
        <f>IFERROR(IF(T114="Probabilidad",(AA113-(+AA113*W114)),IF(T114="Impacto",L114,"")),"")</f>
        <v/>
      </c>
      <c r="AB114" s="152" t="str">
        <f t="shared" si="181"/>
        <v/>
      </c>
      <c r="AC114" s="153" t="str">
        <f t="shared" si="182"/>
        <v/>
      </c>
      <c r="AD114" s="152" t="str">
        <f t="shared" si="183"/>
        <v/>
      </c>
      <c r="AE114" s="153" t="str">
        <f t="shared" si="184"/>
        <v/>
      </c>
      <c r="AF114" s="154" t="str">
        <f t="shared" si="185"/>
        <v/>
      </c>
      <c r="AG114" s="155"/>
      <c r="AH114" s="158"/>
      <c r="AI114" s="148"/>
      <c r="AJ114" s="149"/>
      <c r="AK114" s="149"/>
      <c r="AL114" s="158"/>
      <c r="AM114" s="95"/>
      <c r="AN114" s="95"/>
      <c r="AO114" s="218">
        <v>1</v>
      </c>
      <c r="AP114" s="95"/>
      <c r="AQ114" s="95"/>
      <c r="AR114" s="218">
        <v>1</v>
      </c>
      <c r="AS114" s="95"/>
      <c r="AT114" s="232" t="s">
        <v>629</v>
      </c>
      <c r="AU114" s="137" t="s">
        <v>630</v>
      </c>
      <c r="AV114" s="137" t="s">
        <v>630</v>
      </c>
      <c r="AW114" s="137" t="s">
        <v>630</v>
      </c>
      <c r="AX114" s="95"/>
    </row>
    <row r="115" spans="1:50" s="147" customFormat="1" ht="151.5" customHeight="1" x14ac:dyDescent="0.25">
      <c r="A115" s="407">
        <v>37</v>
      </c>
      <c r="B115" s="404" t="s">
        <v>317</v>
      </c>
      <c r="C115" s="402" t="s">
        <v>352</v>
      </c>
      <c r="D115" s="402" t="s">
        <v>411</v>
      </c>
      <c r="E115" s="391" t="s">
        <v>120</v>
      </c>
      <c r="F115" s="391" t="s">
        <v>469</v>
      </c>
      <c r="G115" s="391" t="s">
        <v>470</v>
      </c>
      <c r="H115" s="408" t="s">
        <v>338</v>
      </c>
      <c r="I115" s="391" t="s">
        <v>328</v>
      </c>
      <c r="J115" s="389">
        <v>12</v>
      </c>
      <c r="K115" s="394" t="str">
        <f>IF(J115&lt;=0,"",IF(J115&lt;=2,"Muy Baja",IF(J115&lt;=24,"Baja",IF(J115&lt;=500,"Media",IF(J115&lt;=5000,"Alta","Muy Alta")))))</f>
        <v>Baja</v>
      </c>
      <c r="L115" s="397">
        <f>IF(K115="","",IF(K115="Muy Baja",0.2,IF(K115="Baja",0.4,IF(K115="Media",0.6,IF(K115="Alta",0.8,IF(K115="Muy Alta",1,))))))</f>
        <v>0.4</v>
      </c>
      <c r="M115" s="400" t="s">
        <v>491</v>
      </c>
      <c r="N115" s="161" t="str">
        <f>IF(NOT(ISERROR(MATCH(M115,'Tabla Impacto'!$B$221:$B$223,0))),'Tabla Impacto'!$F$223&amp;"Por favor no seleccionar los criterios de impacto(Afectación Económica o presupuestal y Pérdida Reputacional)",M115)</f>
        <v xml:space="preserve"> El riesgo afecta la imagen de la entidad internamente, de conocimiento general, nivel interno, de junta directiva y accionistas y/o de proveedores</v>
      </c>
      <c r="O115" s="394" t="str">
        <f>IF(OR(N115='Tabla Impacto'!$C$11,N115='Tabla Impacto'!$D$11),"Leve",IF(OR(N115='Tabla Impacto'!$C$12,N115='Tabla Impacto'!$D$12),"Menor",IF(OR(N115='Tabla Impacto'!$C$13,N115='Tabla Impacto'!$D$13),"Moderado",IF(OR(N115='Tabla Impacto'!$C$14,N115='Tabla Impacto'!$D$14),"Mayor",IF(OR(N115='Tabla Impacto'!$C$15,N115='Tabla Impacto'!$D$15),"Catastrófico","")))))</f>
        <v>Menor</v>
      </c>
      <c r="P115" s="397">
        <f>IF(O115="","",IF(O115="Leve",0.2,IF(O115="Menor",0.4,IF(O115="Moderado",0.6,IF(O115="Mayor",0.8,IF(O115="Catastrófico",1,))))))</f>
        <v>0.4</v>
      </c>
      <c r="Q115" s="413" t="str">
        <f>IF(OR(AND(K115="Muy Baja",O115="Leve"),AND(K115="Muy Baja",O115="Menor"),AND(K115="Baja",O115="Leve")),"Bajo",IF(OR(AND(K115="Muy baja",O115="Moderado"),AND(K115="Baja",O115="Menor"),AND(K115="Baja",O115="Moderado"),AND(K115="Media",O115="Leve"),AND(K115="Media",O115="Menor"),AND(K115="Media",O115="Moderado"),AND(K115="Alta",O115="Leve"),AND(K115="Alta",O115="Menor")),"Moderado",IF(OR(AND(K115="Muy Baja",O115="Mayor"),AND(K115="Baja",O115="Mayor"),AND(K115="Media",O115="Mayor"),AND(K115="Alta",O115="Moderado"),AND(K115="Alta",O115="Mayor"),AND(K115="Muy Alta",O115="Leve"),AND(K115="Muy Alta",O115="Menor"),AND(K115="Muy Alta",O115="Moderado"),AND(K115="Muy Alta",O115="Mayor")),"Alto",IF(OR(AND(K115="Muy Baja",O115="Catastrófico"),AND(K115="Baja",O115="Catastrófico"),AND(K115="Media",O115="Catastrófico"),AND(K115="Alta",O115="Catastrófico"),AND(K115="Muy Alta",O115="Catastrófico")),"Extremo",""))))</f>
        <v>Moderado</v>
      </c>
      <c r="R115" s="157">
        <v>1</v>
      </c>
      <c r="S115" s="158" t="s">
        <v>514</v>
      </c>
      <c r="T115" s="159" t="str">
        <f t="shared" si="178"/>
        <v>Probabilidad</v>
      </c>
      <c r="U115" s="162" t="s">
        <v>14</v>
      </c>
      <c r="V115" s="162" t="s">
        <v>9</v>
      </c>
      <c r="W115" s="163" t="str">
        <f t="shared" si="179"/>
        <v>40%</v>
      </c>
      <c r="X115" s="162" t="s">
        <v>19</v>
      </c>
      <c r="Y115" s="162" t="s">
        <v>22</v>
      </c>
      <c r="Z115" s="162" t="s">
        <v>110</v>
      </c>
      <c r="AA115" s="142">
        <f t="shared" si="180"/>
        <v>0.24</v>
      </c>
      <c r="AB115" s="152" t="str">
        <f t="shared" si="181"/>
        <v>Baja</v>
      </c>
      <c r="AC115" s="153">
        <f t="shared" si="182"/>
        <v>0.24</v>
      </c>
      <c r="AD115" s="152" t="str">
        <f t="shared" si="183"/>
        <v>Menor</v>
      </c>
      <c r="AE115" s="153">
        <f t="shared" si="184"/>
        <v>0.4</v>
      </c>
      <c r="AF115" s="154" t="str">
        <f t="shared" si="185"/>
        <v>Moderado</v>
      </c>
      <c r="AG115" s="155" t="s">
        <v>122</v>
      </c>
      <c r="AH115" s="158" t="s">
        <v>515</v>
      </c>
      <c r="AI115" s="148" t="s">
        <v>203</v>
      </c>
      <c r="AJ115" s="149">
        <v>44568</v>
      </c>
      <c r="AK115" s="149" t="s">
        <v>373</v>
      </c>
      <c r="AL115" s="158" t="s">
        <v>414</v>
      </c>
      <c r="AM115" s="226" t="s">
        <v>731</v>
      </c>
      <c r="AN115" s="221" t="s">
        <v>730</v>
      </c>
      <c r="AO115" s="218">
        <v>1</v>
      </c>
      <c r="AP115" s="221" t="s">
        <v>732</v>
      </c>
      <c r="AQ115" s="221" t="s">
        <v>733</v>
      </c>
      <c r="AR115" s="218">
        <v>1</v>
      </c>
      <c r="AS115" s="221"/>
      <c r="AT115" s="232" t="s">
        <v>629</v>
      </c>
      <c r="AU115" s="137" t="s">
        <v>630</v>
      </c>
      <c r="AV115" s="137" t="s">
        <v>630</v>
      </c>
      <c r="AW115" s="137" t="s">
        <v>630</v>
      </c>
      <c r="AX115" s="95"/>
    </row>
    <row r="116" spans="1:50" s="147" customFormat="1" ht="151.5" customHeight="1" x14ac:dyDescent="0.25">
      <c r="A116" s="407"/>
      <c r="B116" s="405"/>
      <c r="C116" s="403"/>
      <c r="D116" s="410"/>
      <c r="E116" s="392"/>
      <c r="F116" s="392"/>
      <c r="G116" s="392"/>
      <c r="H116" s="409"/>
      <c r="I116" s="392"/>
      <c r="J116" s="390"/>
      <c r="K116" s="395"/>
      <c r="L116" s="398"/>
      <c r="M116" s="401"/>
      <c r="N116" s="167"/>
      <c r="O116" s="395"/>
      <c r="P116" s="398"/>
      <c r="Q116" s="414"/>
      <c r="R116" s="157">
        <v>2</v>
      </c>
      <c r="S116" s="158" t="s">
        <v>361</v>
      </c>
      <c r="T116" s="159" t="str">
        <f t="shared" si="178"/>
        <v>Probabilidad</v>
      </c>
      <c r="U116" s="162" t="s">
        <v>15</v>
      </c>
      <c r="V116" s="162" t="s">
        <v>9</v>
      </c>
      <c r="W116" s="163" t="str">
        <f t="shared" si="179"/>
        <v>30%</v>
      </c>
      <c r="X116" s="162" t="s">
        <v>19</v>
      </c>
      <c r="Y116" s="162" t="s">
        <v>22</v>
      </c>
      <c r="Z116" s="162" t="s">
        <v>110</v>
      </c>
      <c r="AA116" s="142">
        <f>IFERROR(IF(T116="Probabilidad",(AA115-(+AA115*W116)),IF(T116="Impacto",L116,"")),"")</f>
        <v>0.16799999999999998</v>
      </c>
      <c r="AB116" s="152" t="str">
        <f t="shared" si="181"/>
        <v>Muy Baja</v>
      </c>
      <c r="AC116" s="153">
        <f t="shared" si="182"/>
        <v>0.16799999999999998</v>
      </c>
      <c r="AD116" s="152" t="str">
        <f t="shared" si="183"/>
        <v>Menor</v>
      </c>
      <c r="AE116" s="153">
        <v>0.4</v>
      </c>
      <c r="AF116" s="154" t="str">
        <f t="shared" si="185"/>
        <v>Bajo</v>
      </c>
      <c r="AG116" s="155" t="s">
        <v>122</v>
      </c>
      <c r="AH116" s="158" t="s">
        <v>516</v>
      </c>
      <c r="AI116" s="148" t="s">
        <v>203</v>
      </c>
      <c r="AJ116" s="149">
        <v>44564</v>
      </c>
      <c r="AK116" s="149" t="s">
        <v>373</v>
      </c>
      <c r="AL116" s="158" t="s">
        <v>414</v>
      </c>
      <c r="AM116" s="221" t="s">
        <v>847</v>
      </c>
      <c r="AN116" s="221" t="s">
        <v>734</v>
      </c>
      <c r="AO116" s="218">
        <v>1</v>
      </c>
      <c r="AP116" s="221" t="s">
        <v>848</v>
      </c>
      <c r="AQ116" s="221" t="s">
        <v>849</v>
      </c>
      <c r="AR116" s="218">
        <v>0.8</v>
      </c>
      <c r="AS116" s="221"/>
      <c r="AT116" s="232" t="s">
        <v>629</v>
      </c>
      <c r="AU116" s="137" t="s">
        <v>630</v>
      </c>
      <c r="AV116" s="137" t="s">
        <v>630</v>
      </c>
      <c r="AW116" s="137" t="s">
        <v>630</v>
      </c>
      <c r="AX116" s="95"/>
    </row>
    <row r="117" spans="1:50" s="147" customFormat="1" ht="151.5" hidden="1" customHeight="1" x14ac:dyDescent="0.25">
      <c r="A117" s="407"/>
      <c r="B117" s="406"/>
      <c r="C117" s="403"/>
      <c r="D117" s="410"/>
      <c r="E117" s="392"/>
      <c r="F117" s="392"/>
      <c r="G117" s="392"/>
      <c r="H117" s="409"/>
      <c r="I117" s="392"/>
      <c r="J117" s="390"/>
      <c r="K117" s="396"/>
      <c r="L117" s="399"/>
      <c r="M117" s="401"/>
      <c r="N117" s="167"/>
      <c r="O117" s="396"/>
      <c r="P117" s="399"/>
      <c r="Q117" s="415"/>
      <c r="R117" s="157">
        <v>3</v>
      </c>
      <c r="S117" s="158"/>
      <c r="T117" s="159" t="str">
        <f t="shared" si="178"/>
        <v/>
      </c>
      <c r="U117" s="162"/>
      <c r="V117" s="162"/>
      <c r="W117" s="163"/>
      <c r="X117" s="162"/>
      <c r="Y117" s="162"/>
      <c r="Z117" s="162"/>
      <c r="AA117" s="142" t="str">
        <f>IFERROR(IF(T117="Probabilidad",(AA116-(+AA116*W117)),IF(T117="Impacto",L117,"")),"")</f>
        <v/>
      </c>
      <c r="AB117" s="152" t="str">
        <f t="shared" si="181"/>
        <v/>
      </c>
      <c r="AC117" s="153" t="str">
        <f t="shared" si="182"/>
        <v/>
      </c>
      <c r="AD117" s="152" t="str">
        <f t="shared" si="183"/>
        <v/>
      </c>
      <c r="AE117" s="153" t="str">
        <f t="shared" si="184"/>
        <v/>
      </c>
      <c r="AF117" s="154" t="str">
        <f t="shared" si="185"/>
        <v/>
      </c>
      <c r="AG117" s="155"/>
      <c r="AH117" s="158"/>
      <c r="AI117" s="148"/>
      <c r="AJ117" s="149"/>
      <c r="AK117" s="149"/>
      <c r="AL117" s="158"/>
      <c r="AM117" s="95"/>
      <c r="AN117" s="221"/>
      <c r="AO117" s="218">
        <v>1</v>
      </c>
      <c r="AP117" s="221"/>
      <c r="AQ117" s="221"/>
      <c r="AR117" s="215"/>
      <c r="AS117" s="221"/>
      <c r="AT117" s="232" t="s">
        <v>629</v>
      </c>
      <c r="AU117" s="137" t="s">
        <v>630</v>
      </c>
      <c r="AV117" s="137" t="s">
        <v>630</v>
      </c>
      <c r="AW117" s="137" t="s">
        <v>630</v>
      </c>
      <c r="AX117" s="95"/>
    </row>
    <row r="118" spans="1:50" s="147" customFormat="1" ht="151.5" customHeight="1" x14ac:dyDescent="0.25">
      <c r="A118" s="407">
        <v>38</v>
      </c>
      <c r="B118" s="373" t="s">
        <v>317</v>
      </c>
      <c r="C118" s="402" t="s">
        <v>352</v>
      </c>
      <c r="D118" s="402" t="s">
        <v>415</v>
      </c>
      <c r="E118" s="391" t="s">
        <v>120</v>
      </c>
      <c r="F118" s="391" t="s">
        <v>471</v>
      </c>
      <c r="G118" s="391" t="s">
        <v>547</v>
      </c>
      <c r="H118" s="408" t="s">
        <v>558</v>
      </c>
      <c r="I118" s="391" t="s">
        <v>115</v>
      </c>
      <c r="J118" s="389">
        <v>3000</v>
      </c>
      <c r="K118" s="394" t="str">
        <f>IF(J118&lt;=0,"",IF(J118&lt;=2,"Muy Baja",IF(J118&lt;=24,"Baja",IF(J118&lt;=500,"Media",IF(J118&lt;=5000,"Alta","Muy Alta")))))</f>
        <v>Alta</v>
      </c>
      <c r="L118" s="397">
        <f>IF(K118="","",IF(K118="Muy Baja",0.2,IF(K118="Baja",0.4,IF(K118="Media",0.6,IF(K118="Alta",0.8,IF(K118="Muy Alta",1,))))))</f>
        <v>0.8</v>
      </c>
      <c r="M118" s="400" t="s">
        <v>485</v>
      </c>
      <c r="N118" s="161" t="str">
        <f>IF(NOT(ISERROR(MATCH(M118,'Tabla Impacto'!$B$221:$B$223,0))),'Tabla Impacto'!$F$223&amp;"Por favor no seleccionar los criterios de impacto(Afectación Económica o presupuestal y Pérdida Reputacional)",M118)</f>
        <v xml:space="preserve"> Entre 50 y 100 SMLMV </v>
      </c>
      <c r="O118" s="394" t="str">
        <f>IF(OR(N118='Tabla Impacto'!$C$11,N118='Tabla Impacto'!$D$11),"Leve",IF(OR(N118='Tabla Impacto'!$C$12,N118='Tabla Impacto'!$D$12),"Menor",IF(OR(N118='Tabla Impacto'!$C$13,N118='Tabla Impacto'!$D$13),"Moderado",IF(OR(N118='Tabla Impacto'!$C$14,N118='Tabla Impacto'!$D$14),"Mayor",IF(OR(N118='Tabla Impacto'!$C$15,N118='Tabla Impacto'!$D$15),"Catastrófico","")))))</f>
        <v>Moderado</v>
      </c>
      <c r="P118" s="397">
        <f>IF(O118="","",IF(O118="Leve",0.2,IF(O118="Menor",0.4,IF(O118="Moderado",0.6,IF(O118="Mayor",0.8,IF(O118="Catastrófico",1,))))))</f>
        <v>0.6</v>
      </c>
      <c r="Q118" s="413" t="str">
        <f>IF(OR(AND(K118="Muy Baja",O118="Leve"),AND(K118="Muy Baja",O118="Menor"),AND(K118="Baja",O118="Leve")),"Bajo",IF(OR(AND(K118="Muy baja",O118="Moderado"),AND(K118="Baja",O118="Menor"),AND(K118="Baja",O118="Moderado"),AND(K118="Media",O118="Leve"),AND(K118="Media",O118="Menor"),AND(K118="Media",O118="Moderado"),AND(K118="Alta",O118="Leve"),AND(K118="Alta",O118="Menor")),"Moderado",IF(OR(AND(K118="Muy Baja",O118="Mayor"),AND(K118="Baja",O118="Mayor"),AND(K118="Media",O118="Mayor"),AND(K118="Alta",O118="Moderado"),AND(K118="Alta",O118="Mayor"),AND(K118="Muy Alta",O118="Leve"),AND(K118="Muy Alta",O118="Menor"),AND(K118="Muy Alta",O118="Moderado"),AND(K118="Muy Alta",O118="Mayor")),"Alto",IF(OR(AND(K118="Muy Baja",O118="Catastrófico"),AND(K118="Baja",O118="Catastrófico"),AND(K118="Media",O118="Catastrófico"),AND(K118="Alta",O118="Catastrófico"),AND(K118="Muy Alta",O118="Catastrófico")),"Extremo",""))))</f>
        <v>Alto</v>
      </c>
      <c r="R118" s="157">
        <v>1</v>
      </c>
      <c r="S118" s="158" t="s">
        <v>362</v>
      </c>
      <c r="T118" s="159" t="str">
        <f t="shared" si="178"/>
        <v>Probabilidad</v>
      </c>
      <c r="U118" s="162" t="s">
        <v>14</v>
      </c>
      <c r="V118" s="162" t="s">
        <v>9</v>
      </c>
      <c r="W118" s="163" t="str">
        <f t="shared" si="179"/>
        <v>40%</v>
      </c>
      <c r="X118" s="162" t="s">
        <v>19</v>
      </c>
      <c r="Y118" s="162" t="s">
        <v>22</v>
      </c>
      <c r="Z118" s="162" t="s">
        <v>110</v>
      </c>
      <c r="AA118" s="142">
        <f t="shared" si="180"/>
        <v>0.48</v>
      </c>
      <c r="AB118" s="152" t="str">
        <f t="shared" si="181"/>
        <v>Media</v>
      </c>
      <c r="AC118" s="153">
        <f t="shared" si="182"/>
        <v>0.48</v>
      </c>
      <c r="AD118" s="152" t="str">
        <f t="shared" si="183"/>
        <v>Moderado</v>
      </c>
      <c r="AE118" s="153">
        <f t="shared" si="184"/>
        <v>0.6</v>
      </c>
      <c r="AF118" s="154" t="str">
        <f t="shared" si="185"/>
        <v>Moderado</v>
      </c>
      <c r="AG118" s="155" t="s">
        <v>122</v>
      </c>
      <c r="AH118" s="158" t="s">
        <v>517</v>
      </c>
      <c r="AI118" s="148" t="s">
        <v>203</v>
      </c>
      <c r="AJ118" s="149">
        <v>44564</v>
      </c>
      <c r="AK118" s="149" t="s">
        <v>373</v>
      </c>
      <c r="AL118" s="158" t="s">
        <v>413</v>
      </c>
      <c r="AM118" s="228" t="s">
        <v>735</v>
      </c>
      <c r="AN118" s="221" t="s">
        <v>736</v>
      </c>
      <c r="AO118" s="218">
        <v>1</v>
      </c>
      <c r="AP118" s="221" t="s">
        <v>737</v>
      </c>
      <c r="AQ118" s="221" t="s">
        <v>738</v>
      </c>
      <c r="AR118" s="218">
        <v>0.8</v>
      </c>
      <c r="AS118" s="221"/>
      <c r="AT118" s="232" t="s">
        <v>629</v>
      </c>
      <c r="AU118" s="137" t="s">
        <v>630</v>
      </c>
      <c r="AV118" s="137" t="s">
        <v>630</v>
      </c>
      <c r="AW118" s="137" t="s">
        <v>630</v>
      </c>
      <c r="AX118" s="95"/>
    </row>
    <row r="119" spans="1:50" s="147" customFormat="1" ht="151.5" customHeight="1" x14ac:dyDescent="0.25">
      <c r="A119" s="407"/>
      <c r="B119" s="374"/>
      <c r="C119" s="403"/>
      <c r="D119" s="410"/>
      <c r="E119" s="392"/>
      <c r="F119" s="392"/>
      <c r="G119" s="392"/>
      <c r="H119" s="409"/>
      <c r="I119" s="392"/>
      <c r="J119" s="390"/>
      <c r="K119" s="395"/>
      <c r="L119" s="398"/>
      <c r="M119" s="401"/>
      <c r="N119" s="167"/>
      <c r="O119" s="395"/>
      <c r="P119" s="398"/>
      <c r="Q119" s="414"/>
      <c r="R119" s="157">
        <v>2</v>
      </c>
      <c r="S119" s="158" t="s">
        <v>416</v>
      </c>
      <c r="T119" s="159" t="str">
        <f t="shared" si="178"/>
        <v>Probabilidad</v>
      </c>
      <c r="U119" s="162" t="s">
        <v>14</v>
      </c>
      <c r="V119" s="162" t="s">
        <v>9</v>
      </c>
      <c r="W119" s="163" t="str">
        <f t="shared" si="179"/>
        <v>40%</v>
      </c>
      <c r="X119" s="162" t="s">
        <v>19</v>
      </c>
      <c r="Y119" s="162" t="s">
        <v>22</v>
      </c>
      <c r="Z119" s="162" t="s">
        <v>110</v>
      </c>
      <c r="AA119" s="142">
        <f>IFERROR(IF(T119="Probabilidad",(AA118-(+AA118*W119)),IF(T119="Impacto",L119,"")),"")</f>
        <v>0.28799999999999998</v>
      </c>
      <c r="AB119" s="152" t="str">
        <f t="shared" si="181"/>
        <v>Baja</v>
      </c>
      <c r="AC119" s="153">
        <f t="shared" si="182"/>
        <v>0.28799999999999998</v>
      </c>
      <c r="AD119" s="152" t="str">
        <f t="shared" si="183"/>
        <v>Menor</v>
      </c>
      <c r="AE119" s="153">
        <v>0.4</v>
      </c>
      <c r="AF119" s="154" t="str">
        <f t="shared" si="185"/>
        <v>Moderado</v>
      </c>
      <c r="AG119" s="155" t="s">
        <v>122</v>
      </c>
      <c r="AH119" s="158" t="s">
        <v>517</v>
      </c>
      <c r="AI119" s="148" t="s">
        <v>203</v>
      </c>
      <c r="AJ119" s="149">
        <v>44564</v>
      </c>
      <c r="AK119" s="149" t="s">
        <v>373</v>
      </c>
      <c r="AL119" s="158" t="s">
        <v>413</v>
      </c>
      <c r="AM119" s="95" t="s">
        <v>739</v>
      </c>
      <c r="AN119" s="95" t="s">
        <v>736</v>
      </c>
      <c r="AO119" s="218">
        <v>1</v>
      </c>
      <c r="AP119" s="221" t="s">
        <v>737</v>
      </c>
      <c r="AQ119" s="221" t="s">
        <v>738</v>
      </c>
      <c r="AR119" s="218">
        <v>0.8</v>
      </c>
      <c r="AS119" s="221"/>
      <c r="AT119" s="232" t="s">
        <v>629</v>
      </c>
      <c r="AU119" s="137" t="s">
        <v>630</v>
      </c>
      <c r="AV119" s="137" t="s">
        <v>630</v>
      </c>
      <c r="AW119" s="137" t="s">
        <v>630</v>
      </c>
      <c r="AX119" s="95"/>
    </row>
    <row r="120" spans="1:50" s="147" customFormat="1" ht="151.5" customHeight="1" x14ac:dyDescent="0.25">
      <c r="A120" s="407"/>
      <c r="B120" s="375"/>
      <c r="C120" s="403"/>
      <c r="D120" s="410"/>
      <c r="E120" s="392"/>
      <c r="F120" s="392"/>
      <c r="G120" s="392"/>
      <c r="H120" s="409"/>
      <c r="I120" s="392"/>
      <c r="J120" s="390"/>
      <c r="K120" s="396"/>
      <c r="L120" s="399"/>
      <c r="M120" s="401"/>
      <c r="N120" s="167"/>
      <c r="O120" s="396"/>
      <c r="P120" s="399"/>
      <c r="Q120" s="415"/>
      <c r="R120" s="157">
        <v>3</v>
      </c>
      <c r="S120" s="158" t="s">
        <v>363</v>
      </c>
      <c r="T120" s="159" t="str">
        <f t="shared" si="178"/>
        <v>Probabilidad</v>
      </c>
      <c r="U120" s="162" t="s">
        <v>14</v>
      </c>
      <c r="V120" s="162" t="s">
        <v>9</v>
      </c>
      <c r="W120" s="163" t="str">
        <f t="shared" si="179"/>
        <v>40%</v>
      </c>
      <c r="X120" s="162" t="s">
        <v>19</v>
      </c>
      <c r="Y120" s="162" t="s">
        <v>22</v>
      </c>
      <c r="Z120" s="162" t="s">
        <v>110</v>
      </c>
      <c r="AA120" s="142">
        <f>IFERROR(IF(T120="Probabilidad",(AA119-(+A119*W120)),IF(T120="Impacto",L120,"")),"")</f>
        <v>0.28799999999999998</v>
      </c>
      <c r="AB120" s="152" t="str">
        <f t="shared" si="181"/>
        <v>Baja</v>
      </c>
      <c r="AC120" s="153">
        <f t="shared" si="182"/>
        <v>0.28799999999999998</v>
      </c>
      <c r="AD120" s="152" t="str">
        <f t="shared" si="183"/>
        <v>Menor</v>
      </c>
      <c r="AE120" s="153">
        <v>0.4</v>
      </c>
      <c r="AF120" s="154" t="str">
        <f t="shared" si="185"/>
        <v>Moderado</v>
      </c>
      <c r="AG120" s="155" t="s">
        <v>122</v>
      </c>
      <c r="AH120" s="158" t="s">
        <v>517</v>
      </c>
      <c r="AI120" s="148" t="s">
        <v>203</v>
      </c>
      <c r="AJ120" s="149">
        <v>44564</v>
      </c>
      <c r="AK120" s="149" t="s">
        <v>373</v>
      </c>
      <c r="AL120" s="158" t="s">
        <v>413</v>
      </c>
      <c r="AM120" s="95" t="s">
        <v>739</v>
      </c>
      <c r="AN120" s="95" t="s">
        <v>736</v>
      </c>
      <c r="AO120" s="218">
        <v>1</v>
      </c>
      <c r="AP120" s="221" t="s">
        <v>737</v>
      </c>
      <c r="AQ120" s="221" t="s">
        <v>738</v>
      </c>
      <c r="AR120" s="218">
        <v>0.8</v>
      </c>
      <c r="AS120" s="221"/>
      <c r="AT120" s="232" t="s">
        <v>629</v>
      </c>
      <c r="AU120" s="137" t="s">
        <v>630</v>
      </c>
      <c r="AV120" s="137" t="s">
        <v>630</v>
      </c>
      <c r="AW120" s="137" t="s">
        <v>630</v>
      </c>
      <c r="AX120" s="95"/>
    </row>
    <row r="121" spans="1:50" s="147" customFormat="1" ht="151.5" customHeight="1" x14ac:dyDescent="0.25">
      <c r="A121" s="407">
        <v>39</v>
      </c>
      <c r="B121" s="546" t="s">
        <v>417</v>
      </c>
      <c r="C121" s="412" t="s">
        <v>418</v>
      </c>
      <c r="D121" s="402" t="s">
        <v>419</v>
      </c>
      <c r="E121" s="391" t="s">
        <v>120</v>
      </c>
      <c r="F121" s="411" t="s">
        <v>498</v>
      </c>
      <c r="G121" s="411" t="s">
        <v>420</v>
      </c>
      <c r="H121" s="408" t="s">
        <v>499</v>
      </c>
      <c r="I121" s="391" t="s">
        <v>328</v>
      </c>
      <c r="J121" s="389">
        <v>49</v>
      </c>
      <c r="K121" s="394" t="str">
        <f>IF(J121&lt;=0,"",IF(J121&lt;=2,"Muy Baja",IF(J121&lt;=24,"Baja",IF(J121&lt;=500,"Media",IF(J121&lt;=5000,"Alta","Muy Alta")))))</f>
        <v>Media</v>
      </c>
      <c r="L121" s="397">
        <f>IF(K121="","",IF(K121="Muy Baja",0.2,IF(K121="Baja",0.4,IF(K121="Media",0.6,IF(K121="Alta",0.8,IF(K121="Muy Alta",1,))))))</f>
        <v>0.6</v>
      </c>
      <c r="M121" s="400" t="s">
        <v>486</v>
      </c>
      <c r="N121" s="161" t="str">
        <f>IF(NOT(ISERROR(MATCH(M121,'Tabla Impacto'!$B$221:$B$223,0))),'Tabla Impacto'!$F$223&amp;"Por favor no seleccionar los criterios de impacto(Afectación Económica o presupuestal y Pérdida Reputacional)",M121)</f>
        <v xml:space="preserve"> El riesgo afecta la imagen de la entidad con algunos usuarios de relevancia frente al logro de los objetivos</v>
      </c>
      <c r="O121" s="394" t="str">
        <f>IF(OR(N121='Tabla Impacto'!$C$11,N121='Tabla Impacto'!$D$11),"Leve",IF(OR(N121='Tabla Impacto'!$C$12,N121='Tabla Impacto'!$D$12),"Menor",IF(OR(N121='Tabla Impacto'!$C$13,N121='Tabla Impacto'!$D$13),"Moderado",IF(OR(N121='Tabla Impacto'!$C$14,N121='Tabla Impacto'!$D$14),"Mayor",IF(OR(N121='Tabla Impacto'!$C$15,N121='Tabla Impacto'!$D$15),"Catastrófico","")))))</f>
        <v>Moderado</v>
      </c>
      <c r="P121" s="397">
        <f>IF(O121="","",IF(O121="Leve",0.2,IF(O121="Menor",0.4,IF(O121="Moderado",0.6,IF(O121="Mayor",0.8,IF(O121="Catastrófico",1,))))))</f>
        <v>0.6</v>
      </c>
      <c r="Q121" s="413" t="str">
        <f>IF(OR(AND(K121="Muy Baja",O121="Leve"),AND(K121="Muy Baja",O121="Menor"),AND(K121="Baja",O121="Leve")),"Bajo",IF(OR(AND(K121="Muy baja",O121="Moderado"),AND(K121="Baja",O121="Menor"),AND(K121="Baja",O121="Moderado"),AND(K121="Media",O121="Leve"),AND(K121="Media",O121="Menor"),AND(K121="Media",O121="Moderado"),AND(K121="Alta",O121="Leve"),AND(K121="Alta",O121="Menor")),"Moderado",IF(OR(AND(K121="Muy Baja",O121="Mayor"),AND(K121="Baja",O121="Mayor"),AND(K121="Media",O121="Mayor"),AND(K121="Alta",O121="Moderado"),AND(K121="Alta",O121="Mayor"),AND(K121="Muy Alta",O121="Leve"),AND(K121="Muy Alta",O121="Menor"),AND(K121="Muy Alta",O121="Moderado"),AND(K121="Muy Alta",O121="Mayor")),"Alto",IF(OR(AND(K121="Muy Baja",O121="Catastrófico"),AND(K121="Baja",O121="Catastrófico"),AND(K121="Media",O121="Catastrófico"),AND(K121="Alta",O121="Catastrófico"),AND(K121="Muy Alta",O121="Catastrófico")),"Extremo",""))))</f>
        <v>Moderado</v>
      </c>
      <c r="R121" s="157">
        <v>1</v>
      </c>
      <c r="S121" s="169" t="s">
        <v>500</v>
      </c>
      <c r="T121" s="159" t="str">
        <f t="shared" si="178"/>
        <v>Probabilidad</v>
      </c>
      <c r="U121" s="162" t="s">
        <v>14</v>
      </c>
      <c r="V121" s="162" t="s">
        <v>9</v>
      </c>
      <c r="W121" s="163" t="str">
        <f t="shared" si="179"/>
        <v>40%</v>
      </c>
      <c r="X121" s="162" t="s">
        <v>19</v>
      </c>
      <c r="Y121" s="162" t="s">
        <v>22</v>
      </c>
      <c r="Z121" s="162" t="s">
        <v>110</v>
      </c>
      <c r="AA121" s="142">
        <f t="shared" si="180"/>
        <v>0.36</v>
      </c>
      <c r="AB121" s="152" t="str">
        <f t="shared" si="181"/>
        <v>Baja</v>
      </c>
      <c r="AC121" s="153">
        <f t="shared" si="182"/>
        <v>0.36</v>
      </c>
      <c r="AD121" s="152" t="str">
        <f t="shared" si="183"/>
        <v>Moderado</v>
      </c>
      <c r="AE121" s="153">
        <f t="shared" si="184"/>
        <v>0.6</v>
      </c>
      <c r="AF121" s="154" t="str">
        <f t="shared" si="185"/>
        <v>Moderado</v>
      </c>
      <c r="AG121" s="155" t="s">
        <v>122</v>
      </c>
      <c r="AH121" s="170" t="s">
        <v>422</v>
      </c>
      <c r="AI121" s="150" t="s">
        <v>421</v>
      </c>
      <c r="AJ121" s="149" t="s">
        <v>196</v>
      </c>
      <c r="AK121" s="149" t="s">
        <v>423</v>
      </c>
      <c r="AL121" s="156" t="s">
        <v>552</v>
      </c>
      <c r="AM121" s="95" t="s">
        <v>740</v>
      </c>
      <c r="AN121" s="95" t="s">
        <v>741</v>
      </c>
      <c r="AO121" s="218">
        <v>1</v>
      </c>
      <c r="AP121" s="95" t="s">
        <v>742</v>
      </c>
      <c r="AQ121" s="95" t="s">
        <v>741</v>
      </c>
      <c r="AR121" s="218">
        <v>1</v>
      </c>
      <c r="AS121" s="95"/>
      <c r="AT121" s="232" t="s">
        <v>629</v>
      </c>
      <c r="AU121" s="137" t="s">
        <v>630</v>
      </c>
      <c r="AV121" s="137" t="s">
        <v>630</v>
      </c>
      <c r="AW121" s="137" t="s">
        <v>630</v>
      </c>
      <c r="AX121" s="95"/>
    </row>
    <row r="122" spans="1:50" s="147" customFormat="1" ht="151.5" customHeight="1" x14ac:dyDescent="0.25">
      <c r="A122" s="407"/>
      <c r="B122" s="547"/>
      <c r="C122" s="410"/>
      <c r="D122" s="410"/>
      <c r="E122" s="392"/>
      <c r="F122" s="392"/>
      <c r="G122" s="392"/>
      <c r="H122" s="409"/>
      <c r="I122" s="392"/>
      <c r="J122" s="390"/>
      <c r="K122" s="395"/>
      <c r="L122" s="398"/>
      <c r="M122" s="401"/>
      <c r="N122" s="167"/>
      <c r="O122" s="395"/>
      <c r="P122" s="398"/>
      <c r="Q122" s="414"/>
      <c r="R122" s="157">
        <v>2</v>
      </c>
      <c r="S122" s="171" t="s">
        <v>526</v>
      </c>
      <c r="T122" s="159" t="str">
        <f t="shared" si="178"/>
        <v>Probabilidad</v>
      </c>
      <c r="U122" s="162" t="s">
        <v>15</v>
      </c>
      <c r="V122" s="162" t="s">
        <v>9</v>
      </c>
      <c r="W122" s="163" t="str">
        <f t="shared" si="179"/>
        <v>30%</v>
      </c>
      <c r="X122" s="162" t="s">
        <v>19</v>
      </c>
      <c r="Y122" s="162" t="s">
        <v>23</v>
      </c>
      <c r="Z122" s="162" t="s">
        <v>110</v>
      </c>
      <c r="AA122" s="142">
        <f>IFERROR(IF(T122="Probabilidad",(AA121-(+AA121*W122)),IF(T122="Impacto",L122,"")),"")</f>
        <v>0.252</v>
      </c>
      <c r="AB122" s="152" t="str">
        <f t="shared" si="181"/>
        <v>Baja</v>
      </c>
      <c r="AC122" s="153">
        <f t="shared" si="182"/>
        <v>0.252</v>
      </c>
      <c r="AD122" s="152" t="str">
        <f t="shared" si="183"/>
        <v>Leve</v>
      </c>
      <c r="AE122" s="153">
        <f t="shared" si="184"/>
        <v>0</v>
      </c>
      <c r="AF122" s="154" t="str">
        <f t="shared" si="185"/>
        <v>Bajo</v>
      </c>
      <c r="AG122" s="155" t="s">
        <v>122</v>
      </c>
      <c r="AH122" s="200" t="s">
        <v>501</v>
      </c>
      <c r="AI122" s="172" t="s">
        <v>203</v>
      </c>
      <c r="AJ122" s="149" t="s">
        <v>196</v>
      </c>
      <c r="AK122" s="149" t="s">
        <v>196</v>
      </c>
      <c r="AL122" s="170" t="s">
        <v>424</v>
      </c>
      <c r="AM122" s="95" t="s">
        <v>743</v>
      </c>
      <c r="AN122" s="540" t="s">
        <v>744</v>
      </c>
      <c r="AO122" s="542">
        <v>1</v>
      </c>
      <c r="AP122" s="540" t="s">
        <v>745</v>
      </c>
      <c r="AQ122" s="540"/>
      <c r="AR122" s="542">
        <v>0.66</v>
      </c>
      <c r="AS122" s="540"/>
      <c r="AT122" s="544" t="s">
        <v>629</v>
      </c>
      <c r="AU122" s="538" t="s">
        <v>630</v>
      </c>
      <c r="AV122" s="538" t="s">
        <v>630</v>
      </c>
      <c r="AW122" s="538" t="s">
        <v>630</v>
      </c>
      <c r="AX122" s="540" t="s">
        <v>850</v>
      </c>
    </row>
    <row r="123" spans="1:50" s="147" customFormat="1" ht="151.5" hidden="1" customHeight="1" x14ac:dyDescent="0.25">
      <c r="A123" s="407"/>
      <c r="B123" s="548"/>
      <c r="C123" s="410"/>
      <c r="D123" s="410"/>
      <c r="E123" s="392"/>
      <c r="F123" s="392"/>
      <c r="G123" s="392"/>
      <c r="H123" s="409"/>
      <c r="I123" s="392"/>
      <c r="J123" s="390"/>
      <c r="K123" s="396"/>
      <c r="L123" s="399"/>
      <c r="M123" s="401"/>
      <c r="N123" s="167"/>
      <c r="O123" s="396"/>
      <c r="P123" s="399"/>
      <c r="Q123" s="415"/>
      <c r="R123" s="157">
        <v>3</v>
      </c>
      <c r="S123" s="158"/>
      <c r="T123" s="159" t="str">
        <f t="shared" si="178"/>
        <v/>
      </c>
      <c r="U123" s="162"/>
      <c r="V123" s="162"/>
      <c r="W123" s="163"/>
      <c r="X123" s="162"/>
      <c r="Y123" s="162"/>
      <c r="Z123" s="162"/>
      <c r="AA123" s="142"/>
      <c r="AB123" s="152"/>
      <c r="AC123" s="153"/>
      <c r="AD123" s="152"/>
      <c r="AE123" s="153"/>
      <c r="AF123" s="154"/>
      <c r="AG123" s="155"/>
      <c r="AH123" s="158"/>
      <c r="AI123" s="148"/>
      <c r="AJ123" s="149"/>
      <c r="AK123" s="149"/>
      <c r="AL123" s="158"/>
      <c r="AM123" s="95"/>
      <c r="AN123" s="95"/>
      <c r="AO123" s="215"/>
      <c r="AP123" s="95"/>
      <c r="AQ123" s="95"/>
      <c r="AR123" s="137"/>
      <c r="AS123" s="95"/>
      <c r="AT123" s="232" t="s">
        <v>629</v>
      </c>
      <c r="AU123" s="137" t="s">
        <v>630</v>
      </c>
      <c r="AV123" s="137" t="s">
        <v>630</v>
      </c>
      <c r="AW123" s="137" t="s">
        <v>630</v>
      </c>
      <c r="AX123" s="95"/>
    </row>
    <row r="124" spans="1:50" s="147" customFormat="1" ht="151.5" customHeight="1" x14ac:dyDescent="0.25">
      <c r="A124" s="407">
        <v>40</v>
      </c>
      <c r="B124" s="404" t="s">
        <v>417</v>
      </c>
      <c r="C124" s="412" t="s">
        <v>418</v>
      </c>
      <c r="D124" s="402" t="s">
        <v>419</v>
      </c>
      <c r="E124" s="391" t="s">
        <v>120</v>
      </c>
      <c r="F124" s="411" t="s">
        <v>502</v>
      </c>
      <c r="G124" s="411" t="s">
        <v>503</v>
      </c>
      <c r="H124" s="408" t="s">
        <v>504</v>
      </c>
      <c r="I124" s="391" t="s">
        <v>328</v>
      </c>
      <c r="J124" s="389">
        <v>60</v>
      </c>
      <c r="K124" s="394" t="str">
        <f>IF(J124&lt;=0,"",IF(J124&lt;=2,"Muy Baja",IF(J124&lt;=24,"Baja",IF(J124&lt;=500,"Media",IF(J124&lt;=5000,"Alta","Muy Alta")))))</f>
        <v>Media</v>
      </c>
      <c r="L124" s="397">
        <f>IF(K124="","",IF(K124="Muy Baja",0.2,IF(K124="Baja",0.4,IF(K124="Media",0.6,IF(K124="Alta",0.8,IF(K124="Muy Alta",1,))))))</f>
        <v>0.6</v>
      </c>
      <c r="M124" s="400" t="s">
        <v>486</v>
      </c>
      <c r="N124" s="161" t="str">
        <f>IF(NOT(ISERROR(MATCH(M124,'Tabla Impacto'!$B$221:$B$223,0))),'Tabla Impacto'!$F$223&amp;"Por favor no seleccionar los criterios de impacto(Afectación Económica o presupuestal y Pérdida Reputacional)",M124)</f>
        <v xml:space="preserve"> El riesgo afecta la imagen de la entidad con algunos usuarios de relevancia frente al logro de los objetivos</v>
      </c>
      <c r="O124" s="394" t="str">
        <f>IF(OR(N124='Tabla Impacto'!$C$11,N124='Tabla Impacto'!$D$11),"Leve",IF(OR(N124='Tabla Impacto'!$C$12,N124='Tabla Impacto'!$D$12),"Menor",IF(OR(N124='Tabla Impacto'!$C$13,N124='Tabla Impacto'!$D$13),"Moderado",IF(OR(N124='Tabla Impacto'!$C$14,N124='Tabla Impacto'!$D$14),"Mayor",IF(OR(N124='Tabla Impacto'!$C$15,N124='Tabla Impacto'!$D$15),"Catastrófico","")))))</f>
        <v>Moderado</v>
      </c>
      <c r="P124" s="397">
        <f>IF(O124="","",IF(O124="Leve",0.2,IF(O124="Menor",0.4,IF(O124="Moderado",0.6,IF(O124="Mayor",0.8,IF(O124="Catastrófico",1,))))))</f>
        <v>0.6</v>
      </c>
      <c r="Q124" s="413" t="str">
        <f>IF(OR(AND(K124="Muy Baja",O124="Leve"),AND(K124="Muy Baja",O124="Menor"),AND(K124="Baja",O124="Leve")),"Bajo",IF(OR(AND(K124="Muy baja",O124="Moderado"),AND(K124="Baja",O124="Menor"),AND(K124="Baja",O124="Moderado"),AND(K124="Media",O124="Leve"),AND(K124="Media",O124="Menor"),AND(K124="Media",O124="Moderado"),AND(K124="Alta",O124="Leve"),AND(K124="Alta",O124="Menor")),"Moderado",IF(OR(AND(K124="Muy Baja",O124="Mayor"),AND(K124="Baja",O124="Mayor"),AND(K124="Media",O124="Mayor"),AND(K124="Alta",O124="Moderado"),AND(K124="Alta",O124="Mayor"),AND(K124="Muy Alta",O124="Leve"),AND(K124="Muy Alta",O124="Menor"),AND(K124="Muy Alta",O124="Moderado"),AND(K124="Muy Alta",O124="Mayor")),"Alto",IF(OR(AND(K124="Muy Baja",O124="Catastrófico"),AND(K124="Baja",O124="Catastrófico"),AND(K124="Media",O124="Catastrófico"),AND(K124="Alta",O124="Catastrófico"),AND(K124="Muy Alta",O124="Catastrófico")),"Extremo",""))))</f>
        <v>Moderado</v>
      </c>
      <c r="R124" s="157">
        <v>1</v>
      </c>
      <c r="S124" s="158" t="s">
        <v>512</v>
      </c>
      <c r="T124" s="159" t="str">
        <f t="shared" ref="T124:T153" si="186">IF(OR(U124="Preventivo",U124="Detectivo"),"Probabilidad",IF(U124="Correctivo","Impacto",""))</f>
        <v>Probabilidad</v>
      </c>
      <c r="U124" s="162" t="s">
        <v>15</v>
      </c>
      <c r="V124" s="162" t="s">
        <v>9</v>
      </c>
      <c r="W124" s="163" t="str">
        <f t="shared" ref="W124:W153" si="187">IF(AND(U124="Preventivo",V124="Automático"),"50%",IF(AND(U124="Preventivo",V124="Manual"),"40%",IF(AND(U124="Detectivo",V124="Automático"),"40%",IF(AND(U124="Detectivo",V124="Manual"),"30%",IF(AND(U124="Correctivo",V124="Automático"),"35%",IF(AND(U124="Correctivo",V124="Manual"),"25%",""))))))</f>
        <v>30%</v>
      </c>
      <c r="X124" s="162" t="s">
        <v>20</v>
      </c>
      <c r="Y124" s="162" t="s">
        <v>23</v>
      </c>
      <c r="Z124" s="162" t="s">
        <v>111</v>
      </c>
      <c r="AA124" s="142">
        <f t="shared" ref="AA124:AA153" si="188">IFERROR(IF(T124="Probabilidad",(L124-(+L124*W124)),IF(T124="Impacto",L124,"")),"")</f>
        <v>0.42</v>
      </c>
      <c r="AB124" s="152" t="str">
        <f t="shared" ref="AB124:AB153" si="189">IFERROR(IF(AA124="","",IF(AA124&lt;=0.2,"Muy Baja",IF(AA124&lt;=0.4,"Baja",IF(AA124&lt;=0.6,"Media",IF(AA124&lt;=0.8,"Alta","Muy Alta"))))),"")</f>
        <v>Media</v>
      </c>
      <c r="AC124" s="153">
        <f t="shared" ref="AC124:AC153" si="190">+AA124</f>
        <v>0.42</v>
      </c>
      <c r="AD124" s="152" t="str">
        <f t="shared" ref="AD124:AD153" si="191">IFERROR(IF(AE124="","",IF(AE124&lt;=0.2,"Leve",IF(AE124&lt;=0.4,"Menor",IF(AE124&lt;=0.6,"Moderado",IF(AE124&lt;=0.8,"Mayor","Catastrófico"))))),"")</f>
        <v>Moderado</v>
      </c>
      <c r="AE124" s="153">
        <f t="shared" ref="AE124:AE153" si="192">IFERROR(IF(T124="Impacto",(P124-(+P124*W124)),IF(T124="Probabilidad",P124,"")),"")</f>
        <v>0.6</v>
      </c>
      <c r="AF124" s="154" t="str">
        <f t="shared" ref="AF124:AF153" si="193">IFERROR(IF(OR(AND(AB124="Muy Baja",AD124="Leve"),AND(AB124="Muy Baja",AD124="Menor"),AND(AB124="Baja",AD124="Leve")),"Bajo",IF(OR(AND(AB124="Muy baja",AD124="Moderado"),AND(AB124="Baja",AD124="Menor"),AND(AB124="Baja",AD124="Moderado"),AND(AB124="Media",AD124="Leve"),AND(AB124="Media",AD124="Menor"),AND(AB124="Media",AD124="Moderado"),AND(AB124="Alta",AD124="Leve"),AND(AB124="Alta",AD124="Menor")),"Moderado",IF(OR(AND(AB124="Muy Baja",AD124="Mayor"),AND(AB124="Baja",AD124="Mayor"),AND(AB124="Media",AD124="Mayor"),AND(AB124="Alta",AD124="Moderado"),AND(AB124="Alta",AD124="Mayor"),AND(AB124="Muy Alta",AD124="Leve"),AND(AB124="Muy Alta",AD124="Menor"),AND(AB124="Muy Alta",AD124="Moderado"),AND(AB124="Muy Alta",AD124="Mayor")),"Alto",IF(OR(AND(AB124="Muy Baja",AD124="Catastrófico"),AND(AB124="Baja",AD124="Catastrófico"),AND(AB124="Media",AD124="Catastrófico"),AND(AB124="Alta",AD124="Catastrófico"),AND(AB124="Muy Alta",AD124="Catastrófico")),"Extremo","")))),"")</f>
        <v>Moderado</v>
      </c>
      <c r="AG124" s="155" t="s">
        <v>122</v>
      </c>
      <c r="AH124" s="158" t="s">
        <v>505</v>
      </c>
      <c r="AI124" s="148" t="s">
        <v>421</v>
      </c>
      <c r="AJ124" s="149" t="s">
        <v>196</v>
      </c>
      <c r="AK124" s="149" t="s">
        <v>196</v>
      </c>
      <c r="AL124" s="158" t="s">
        <v>425</v>
      </c>
      <c r="AM124" s="95" t="s">
        <v>746</v>
      </c>
      <c r="AN124" s="95" t="s">
        <v>747</v>
      </c>
      <c r="AO124" s="218">
        <v>1</v>
      </c>
      <c r="AP124" s="95" t="s">
        <v>748</v>
      </c>
      <c r="AQ124" s="95" t="s">
        <v>747</v>
      </c>
      <c r="AR124" s="218">
        <v>1</v>
      </c>
      <c r="AS124" s="95"/>
      <c r="AT124" s="232" t="s">
        <v>629</v>
      </c>
      <c r="AU124" s="137" t="s">
        <v>630</v>
      </c>
      <c r="AV124" s="137" t="s">
        <v>630</v>
      </c>
      <c r="AW124" s="137" t="s">
        <v>630</v>
      </c>
      <c r="AX124" s="95"/>
    </row>
    <row r="125" spans="1:50" s="147" customFormat="1" ht="151.5" customHeight="1" x14ac:dyDescent="0.25">
      <c r="A125" s="407"/>
      <c r="B125" s="405"/>
      <c r="C125" s="410"/>
      <c r="D125" s="410"/>
      <c r="E125" s="392"/>
      <c r="F125" s="392"/>
      <c r="G125" s="392"/>
      <c r="H125" s="409"/>
      <c r="I125" s="392"/>
      <c r="J125" s="390"/>
      <c r="K125" s="395"/>
      <c r="L125" s="398"/>
      <c r="M125" s="401"/>
      <c r="N125" s="167"/>
      <c r="O125" s="395"/>
      <c r="P125" s="398"/>
      <c r="Q125" s="414"/>
      <c r="R125" s="157">
        <v>2</v>
      </c>
      <c r="S125" s="158"/>
      <c r="T125" s="159" t="str">
        <f t="shared" si="186"/>
        <v/>
      </c>
      <c r="U125" s="162"/>
      <c r="V125" s="162"/>
      <c r="W125" s="163"/>
      <c r="X125" s="162"/>
      <c r="Y125" s="162"/>
      <c r="Z125" s="162"/>
      <c r="AA125" s="142" t="str">
        <f>IFERROR(IF(T125="Probabilidad",(AA124-(+AA124*W125)),IF(T125="Impacto",L125,"")),"")</f>
        <v/>
      </c>
      <c r="AB125" s="152" t="str">
        <f t="shared" si="189"/>
        <v/>
      </c>
      <c r="AC125" s="153" t="str">
        <f t="shared" si="190"/>
        <v/>
      </c>
      <c r="AD125" s="152" t="str">
        <f t="shared" si="191"/>
        <v/>
      </c>
      <c r="AE125" s="153" t="str">
        <f t="shared" si="192"/>
        <v/>
      </c>
      <c r="AF125" s="154" t="str">
        <f t="shared" si="193"/>
        <v/>
      </c>
      <c r="AG125" s="155"/>
      <c r="AH125" s="95" t="s">
        <v>559</v>
      </c>
      <c r="AI125" s="137" t="s">
        <v>527</v>
      </c>
      <c r="AJ125" s="135" t="s">
        <v>196</v>
      </c>
      <c r="AK125" s="135" t="s">
        <v>196</v>
      </c>
      <c r="AL125" s="95" t="s">
        <v>425</v>
      </c>
      <c r="AM125" s="95" t="s">
        <v>630</v>
      </c>
      <c r="AN125" s="95" t="s">
        <v>630</v>
      </c>
      <c r="AO125" s="218" t="s">
        <v>630</v>
      </c>
      <c r="AP125" s="95" t="s">
        <v>749</v>
      </c>
      <c r="AQ125" s="95" t="s">
        <v>750</v>
      </c>
      <c r="AR125" s="218">
        <v>1</v>
      </c>
      <c r="AS125" s="95"/>
      <c r="AT125" s="232" t="s">
        <v>629</v>
      </c>
      <c r="AU125" s="137" t="s">
        <v>630</v>
      </c>
      <c r="AV125" s="137" t="s">
        <v>630</v>
      </c>
      <c r="AW125" s="137" t="s">
        <v>630</v>
      </c>
      <c r="AX125" s="95"/>
    </row>
    <row r="126" spans="1:50" s="147" customFormat="1" ht="151.5" hidden="1" customHeight="1" x14ac:dyDescent="0.25">
      <c r="A126" s="407"/>
      <c r="B126" s="406"/>
      <c r="C126" s="410"/>
      <c r="D126" s="410"/>
      <c r="E126" s="392"/>
      <c r="F126" s="392"/>
      <c r="G126" s="392"/>
      <c r="H126" s="409"/>
      <c r="I126" s="392"/>
      <c r="J126" s="390"/>
      <c r="K126" s="396"/>
      <c r="L126" s="399"/>
      <c r="M126" s="401"/>
      <c r="N126" s="167"/>
      <c r="O126" s="396"/>
      <c r="P126" s="399"/>
      <c r="Q126" s="415"/>
      <c r="R126" s="157">
        <v>3</v>
      </c>
      <c r="S126" s="158"/>
      <c r="T126" s="159" t="str">
        <f t="shared" si="186"/>
        <v/>
      </c>
      <c r="U126" s="162"/>
      <c r="V126" s="162"/>
      <c r="W126" s="163"/>
      <c r="X126" s="162"/>
      <c r="Y126" s="162"/>
      <c r="Z126" s="162"/>
      <c r="AA126" s="142" t="str">
        <f>IFERROR(IF(T126="Probabilidad",(AA125-(+AA125*W126)),IF(T126="Impacto",L126,"")),"")</f>
        <v/>
      </c>
      <c r="AB126" s="152" t="str">
        <f t="shared" si="189"/>
        <v/>
      </c>
      <c r="AC126" s="153" t="str">
        <f t="shared" si="190"/>
        <v/>
      </c>
      <c r="AD126" s="152" t="str">
        <f t="shared" si="191"/>
        <v/>
      </c>
      <c r="AE126" s="153" t="str">
        <f t="shared" si="192"/>
        <v/>
      </c>
      <c r="AF126" s="154" t="str">
        <f t="shared" si="193"/>
        <v/>
      </c>
      <c r="AG126" s="155"/>
      <c r="AH126" s="158"/>
      <c r="AI126" s="148"/>
      <c r="AJ126" s="149"/>
      <c r="AK126" s="149"/>
      <c r="AL126" s="158"/>
      <c r="AM126" s="95"/>
      <c r="AN126" s="95"/>
      <c r="AO126" s="215"/>
      <c r="AP126" s="95"/>
      <c r="AQ126" s="95"/>
      <c r="AR126" s="137"/>
      <c r="AS126" s="95"/>
      <c r="AT126" s="232" t="s">
        <v>629</v>
      </c>
      <c r="AU126" s="137" t="s">
        <v>630</v>
      </c>
      <c r="AV126" s="137" t="s">
        <v>630</v>
      </c>
      <c r="AW126" s="137" t="s">
        <v>630</v>
      </c>
      <c r="AX126" s="95"/>
    </row>
    <row r="127" spans="1:50" s="147" customFormat="1" ht="204.75" customHeight="1" x14ac:dyDescent="0.25">
      <c r="A127" s="407">
        <v>41</v>
      </c>
      <c r="B127" s="404" t="s">
        <v>417</v>
      </c>
      <c r="C127" s="412" t="s">
        <v>418</v>
      </c>
      <c r="D127" s="402" t="s">
        <v>419</v>
      </c>
      <c r="E127" s="391" t="s">
        <v>120</v>
      </c>
      <c r="F127" s="411" t="s">
        <v>426</v>
      </c>
      <c r="G127" s="391" t="s">
        <v>495</v>
      </c>
      <c r="H127" s="426" t="s">
        <v>496</v>
      </c>
      <c r="I127" s="391" t="s">
        <v>116</v>
      </c>
      <c r="J127" s="389">
        <v>13</v>
      </c>
      <c r="K127" s="394" t="str">
        <f>IF(J127&lt;=0,"",IF(J127&lt;=2,"Muy Baja",IF(J127&lt;=24,"Baja",IF(J127&lt;=500,"Media",IF(J127&lt;=5000,"Alta","Muy Alta")))))</f>
        <v>Baja</v>
      </c>
      <c r="L127" s="397">
        <f>IF(K127="","",IF(K127="Muy Baja",0.2,IF(K127="Baja",0.4,IF(K127="Media",0.6,IF(K127="Alta",0.8,IF(K127="Muy Alta",1,))))))</f>
        <v>0.4</v>
      </c>
      <c r="M127" s="400" t="s">
        <v>486</v>
      </c>
      <c r="N127" s="161" t="str">
        <f>IF(NOT(ISERROR(MATCH(M127,'Tabla Impacto'!$B$221:$B$223,0))),'Tabla Impacto'!$F$223&amp;"Por favor no seleccionar los criterios de impacto(Afectación Económica o presupuestal y Pérdida Reputacional)",M127)</f>
        <v xml:space="preserve"> El riesgo afecta la imagen de la entidad con algunos usuarios de relevancia frente al logro de los objetivos</v>
      </c>
      <c r="O127" s="394" t="str">
        <f>IF(OR(N127='Tabla Impacto'!$C$11,N127='Tabla Impacto'!$D$11),"Leve",IF(OR(N127='Tabla Impacto'!$C$12,N127='Tabla Impacto'!$D$12),"Menor",IF(OR(N127='Tabla Impacto'!$C$13,N127='Tabla Impacto'!$D$13),"Moderado",IF(OR(N127='Tabla Impacto'!$C$14,N127='Tabla Impacto'!$D$14),"Mayor",IF(OR(N127='Tabla Impacto'!$C$15,N127='Tabla Impacto'!$D$15),"Catastrófico","")))))</f>
        <v>Moderado</v>
      </c>
      <c r="P127" s="397">
        <f>IF(O127="","",IF(O127="Leve",0.2,IF(O127="Menor",0.4,IF(O127="Moderado",0.6,IF(O127="Mayor",0.8,IF(O127="Catastrófico",1,))))))</f>
        <v>0.6</v>
      </c>
      <c r="Q127" s="413" t="str">
        <f>IF(OR(AND(K127="Muy Baja",O127="Leve"),AND(K127="Muy Baja",O127="Menor"),AND(K127="Baja",O127="Leve")),"Bajo",IF(OR(AND(K127="Muy baja",O127="Moderado"),AND(K127="Baja",O127="Menor"),AND(K127="Baja",O127="Moderado"),AND(K127="Media",O127="Leve"),AND(K127="Media",O127="Menor"),AND(K127="Media",O127="Moderado"),AND(K127="Alta",O127="Leve"),AND(K127="Alta",O127="Menor")),"Moderado",IF(OR(AND(K127="Muy Baja",O127="Mayor"),AND(K127="Baja",O127="Mayor"),AND(K127="Media",O127="Mayor"),AND(K127="Alta",O127="Moderado"),AND(K127="Alta",O127="Mayor"),AND(K127="Muy Alta",O127="Leve"),AND(K127="Muy Alta",O127="Menor"),AND(K127="Muy Alta",O127="Moderado"),AND(K127="Muy Alta",O127="Mayor")),"Alto",IF(OR(AND(K127="Muy Baja",O127="Catastrófico"),AND(K127="Baja",O127="Catastrófico"),AND(K127="Media",O127="Catastrófico"),AND(K127="Alta",O127="Catastrófico"),AND(K127="Muy Alta",O127="Catastrófico")),"Extremo",""))))</f>
        <v>Moderado</v>
      </c>
      <c r="R127" s="157">
        <v>1</v>
      </c>
      <c r="S127" s="173" t="s">
        <v>506</v>
      </c>
      <c r="T127" s="159" t="str">
        <f t="shared" si="186"/>
        <v>Probabilidad</v>
      </c>
      <c r="U127" s="162" t="s">
        <v>15</v>
      </c>
      <c r="V127" s="162" t="s">
        <v>9</v>
      </c>
      <c r="W127" s="163" t="str">
        <f t="shared" si="187"/>
        <v>30%</v>
      </c>
      <c r="X127" s="162" t="s">
        <v>20</v>
      </c>
      <c r="Y127" s="162" t="s">
        <v>22</v>
      </c>
      <c r="Z127" s="162" t="s">
        <v>110</v>
      </c>
      <c r="AA127" s="142">
        <f t="shared" si="188"/>
        <v>0.28000000000000003</v>
      </c>
      <c r="AB127" s="152" t="str">
        <f t="shared" si="189"/>
        <v>Baja</v>
      </c>
      <c r="AC127" s="153">
        <f t="shared" si="190"/>
        <v>0.28000000000000003</v>
      </c>
      <c r="AD127" s="152" t="str">
        <f t="shared" si="191"/>
        <v>Moderado</v>
      </c>
      <c r="AE127" s="153">
        <f t="shared" si="192"/>
        <v>0.6</v>
      </c>
      <c r="AF127" s="154" t="str">
        <f t="shared" si="193"/>
        <v>Moderado</v>
      </c>
      <c r="AG127" s="155" t="s">
        <v>122</v>
      </c>
      <c r="AH127" s="158" t="s">
        <v>507</v>
      </c>
      <c r="AI127" s="148" t="s">
        <v>212</v>
      </c>
      <c r="AJ127" s="149" t="s">
        <v>196</v>
      </c>
      <c r="AK127" s="149" t="s">
        <v>196</v>
      </c>
      <c r="AL127" s="158" t="s">
        <v>427</v>
      </c>
      <c r="AM127" s="95" t="s">
        <v>751</v>
      </c>
      <c r="AN127" s="95" t="s">
        <v>752</v>
      </c>
      <c r="AO127" s="218">
        <v>1</v>
      </c>
      <c r="AP127" s="95" t="s">
        <v>753</v>
      </c>
      <c r="AQ127" s="95" t="s">
        <v>754</v>
      </c>
      <c r="AR127" s="215">
        <v>1</v>
      </c>
      <c r="AS127" s="95"/>
      <c r="AT127" s="232" t="s">
        <v>629</v>
      </c>
      <c r="AU127" s="137" t="s">
        <v>630</v>
      </c>
      <c r="AV127" s="137" t="s">
        <v>630</v>
      </c>
      <c r="AW127" s="137" t="s">
        <v>630</v>
      </c>
      <c r="AX127" s="95"/>
    </row>
    <row r="128" spans="1:50" s="147" customFormat="1" ht="151.5" hidden="1" customHeight="1" x14ac:dyDescent="0.25">
      <c r="A128" s="407"/>
      <c r="B128" s="405"/>
      <c r="C128" s="410"/>
      <c r="D128" s="410"/>
      <c r="E128" s="392"/>
      <c r="F128" s="392"/>
      <c r="G128" s="392"/>
      <c r="H128" s="409"/>
      <c r="I128" s="392"/>
      <c r="J128" s="390"/>
      <c r="K128" s="395"/>
      <c r="L128" s="398"/>
      <c r="M128" s="401"/>
      <c r="N128" s="167"/>
      <c r="O128" s="395"/>
      <c r="P128" s="398"/>
      <c r="Q128" s="414"/>
      <c r="R128" s="157">
        <v>2</v>
      </c>
      <c r="S128" s="158"/>
      <c r="T128" s="159" t="str">
        <f t="shared" si="186"/>
        <v/>
      </c>
      <c r="U128" s="162"/>
      <c r="V128" s="162"/>
      <c r="W128" s="163"/>
      <c r="X128" s="162"/>
      <c r="Y128" s="162"/>
      <c r="Z128" s="162"/>
      <c r="AA128" s="142" t="str">
        <f>IFERROR(IF(T128="Probabilidad",(AA127-(+AA127*W128)),IF(T128="Impacto",L128,"")),"")</f>
        <v/>
      </c>
      <c r="AB128" s="152" t="str">
        <f t="shared" si="189"/>
        <v/>
      </c>
      <c r="AC128" s="153" t="str">
        <f t="shared" si="190"/>
        <v/>
      </c>
      <c r="AD128" s="152" t="str">
        <f t="shared" si="191"/>
        <v/>
      </c>
      <c r="AE128" s="153" t="str">
        <f t="shared" si="192"/>
        <v/>
      </c>
      <c r="AF128" s="154" t="str">
        <f t="shared" si="193"/>
        <v/>
      </c>
      <c r="AG128" s="155"/>
      <c r="AH128" s="158"/>
      <c r="AI128" s="148"/>
      <c r="AJ128" s="149"/>
      <c r="AK128" s="149"/>
      <c r="AL128" s="158"/>
      <c r="AM128" s="95"/>
      <c r="AN128" s="95"/>
      <c r="AO128" s="215"/>
      <c r="AP128" s="95"/>
      <c r="AQ128" s="95"/>
      <c r="AR128" s="137"/>
      <c r="AS128" s="95"/>
      <c r="AT128" s="232" t="s">
        <v>629</v>
      </c>
      <c r="AU128" s="137" t="s">
        <v>630</v>
      </c>
      <c r="AV128" s="137" t="s">
        <v>630</v>
      </c>
      <c r="AW128" s="137" t="s">
        <v>630</v>
      </c>
      <c r="AX128" s="95"/>
    </row>
    <row r="129" spans="1:50" s="147" customFormat="1" ht="151.5" hidden="1" customHeight="1" x14ac:dyDescent="0.25">
      <c r="A129" s="407"/>
      <c r="B129" s="406"/>
      <c r="C129" s="410"/>
      <c r="D129" s="410"/>
      <c r="E129" s="392"/>
      <c r="F129" s="392"/>
      <c r="G129" s="392"/>
      <c r="H129" s="409"/>
      <c r="I129" s="392"/>
      <c r="J129" s="390"/>
      <c r="K129" s="396"/>
      <c r="L129" s="399"/>
      <c r="M129" s="401"/>
      <c r="N129" s="167"/>
      <c r="O129" s="396"/>
      <c r="P129" s="399"/>
      <c r="Q129" s="415"/>
      <c r="R129" s="157">
        <v>3</v>
      </c>
      <c r="S129" s="158"/>
      <c r="T129" s="159" t="str">
        <f t="shared" si="186"/>
        <v/>
      </c>
      <c r="U129" s="162"/>
      <c r="V129" s="162"/>
      <c r="W129" s="163"/>
      <c r="X129" s="162"/>
      <c r="Y129" s="162"/>
      <c r="Z129" s="162"/>
      <c r="AA129" s="142" t="str">
        <f>IFERROR(IF(T129="Probabilidad",(AA128-(+AA128*W129)),IF(T129="Impacto",L129,"")),"")</f>
        <v/>
      </c>
      <c r="AB129" s="152" t="str">
        <f t="shared" si="189"/>
        <v/>
      </c>
      <c r="AC129" s="153" t="str">
        <f t="shared" si="190"/>
        <v/>
      </c>
      <c r="AD129" s="152" t="str">
        <f t="shared" si="191"/>
        <v/>
      </c>
      <c r="AE129" s="153" t="str">
        <f t="shared" si="192"/>
        <v/>
      </c>
      <c r="AF129" s="154" t="str">
        <f t="shared" si="193"/>
        <v/>
      </c>
      <c r="AG129" s="155"/>
      <c r="AH129" s="158"/>
      <c r="AI129" s="148"/>
      <c r="AJ129" s="149"/>
      <c r="AK129" s="149"/>
      <c r="AL129" s="158"/>
      <c r="AM129" s="95"/>
      <c r="AN129" s="95"/>
      <c r="AO129" s="215"/>
      <c r="AP129" s="95"/>
      <c r="AQ129" s="95"/>
      <c r="AR129" s="137"/>
      <c r="AS129" s="95"/>
      <c r="AT129" s="232" t="s">
        <v>629</v>
      </c>
      <c r="AU129" s="137" t="s">
        <v>630</v>
      </c>
      <c r="AV129" s="137" t="s">
        <v>630</v>
      </c>
      <c r="AW129" s="137" t="s">
        <v>630</v>
      </c>
      <c r="AX129" s="95"/>
    </row>
    <row r="130" spans="1:50" s="147" customFormat="1" ht="182.25" customHeight="1" x14ac:dyDescent="0.25">
      <c r="A130" s="407">
        <v>42</v>
      </c>
      <c r="B130" s="404" t="s">
        <v>318</v>
      </c>
      <c r="C130" s="402" t="s">
        <v>319</v>
      </c>
      <c r="D130" s="402" t="s">
        <v>320</v>
      </c>
      <c r="E130" s="391" t="s">
        <v>120</v>
      </c>
      <c r="F130" s="411" t="s">
        <v>474</v>
      </c>
      <c r="G130" s="391" t="s">
        <v>428</v>
      </c>
      <c r="H130" s="408" t="s">
        <v>429</v>
      </c>
      <c r="I130" s="391" t="s">
        <v>115</v>
      </c>
      <c r="J130" s="389">
        <v>53</v>
      </c>
      <c r="K130" s="394" t="str">
        <f>IF(J130&lt;=0,"",IF(J130&lt;=2,"Muy Baja",IF(J130&lt;=24,"Baja",IF(J130&lt;=500,"Media",IF(J130&lt;=5000,"Alta","Muy Alta")))))</f>
        <v>Media</v>
      </c>
      <c r="L130" s="397">
        <f>IF(K130="","",IF(K130="Muy Baja",0.2,IF(K130="Baja",0.4,IF(K130="Media",0.6,IF(K130="Alta",0.8,IF(K130="Muy Alta",1,))))))</f>
        <v>0.6</v>
      </c>
      <c r="M130" s="400" t="s">
        <v>493</v>
      </c>
      <c r="N130" s="161" t="str">
        <f>IF(NOT(ISERROR(MATCH(M130,'Tabla Impacto'!$B$221:$B$223,0))),'Tabla Impacto'!$F$223&amp;"Por favor no seleccionar los criterios de impacto(Afectación Económica o presupuestal y Pérdida Reputacional)",M130)</f>
        <v xml:space="preserve"> El riesgo afecta la imagen de la entidad con efecto publicitario sostenido a nivel de sector administrativo, nivel departamental o municipal</v>
      </c>
      <c r="O130" s="394" t="str">
        <f>IF(OR(N130='Tabla Impacto'!$C$11,N130='Tabla Impacto'!$D$11),"Leve",IF(OR(N130='Tabla Impacto'!$C$12,N130='Tabla Impacto'!$D$12),"Menor",IF(OR(N130='Tabla Impacto'!$C$13,N130='Tabla Impacto'!$D$13),"Moderado",IF(OR(N130='Tabla Impacto'!$C$14,N130='Tabla Impacto'!$D$14),"Mayor",IF(OR(N130='Tabla Impacto'!$C$15,N130='Tabla Impacto'!$D$15),"Catastrófico","")))))</f>
        <v>Mayor</v>
      </c>
      <c r="P130" s="397">
        <f>IF(O130="","",IF(O130="Leve",0.2,IF(O130="Menor",0.4,IF(O130="Moderado",0.6,IF(O130="Mayor",0.8,IF(O130="Catastrófico",1,))))))</f>
        <v>0.8</v>
      </c>
      <c r="Q130" s="413" t="str">
        <f>IF(OR(AND(K130="Muy Baja",O130="Leve"),AND(K130="Muy Baja",O130="Menor"),AND(K130="Baja",O130="Leve")),"Bajo",IF(OR(AND(K130="Muy baja",O130="Moderado"),AND(K130="Baja",O130="Menor"),AND(K130="Baja",O130="Moderado"),AND(K130="Media",O130="Leve"),AND(K130="Media",O130="Menor"),AND(K130="Media",O130="Moderado"),AND(K130="Alta",O130="Leve"),AND(K130="Alta",O130="Menor")),"Moderado",IF(OR(AND(K130="Muy Baja",O130="Mayor"),AND(K130="Baja",O130="Mayor"),AND(K130="Media",O130="Mayor"),AND(K130="Alta",O130="Moderado"),AND(K130="Alta",O130="Mayor"),AND(K130="Muy Alta",O130="Leve"),AND(K130="Muy Alta",O130="Menor"),AND(K130="Muy Alta",O130="Moderado"),AND(K130="Muy Alta",O130="Mayor")),"Alto",IF(OR(AND(K130="Muy Baja",O130="Catastrófico"),AND(K130="Baja",O130="Catastrófico"),AND(K130="Media",O130="Catastrófico"),AND(K130="Alta",O130="Catastrófico"),AND(K130="Muy Alta",O130="Catastrófico")),"Extremo",""))))</f>
        <v>Alto</v>
      </c>
      <c r="R130" s="157">
        <v>1</v>
      </c>
      <c r="S130" s="158" t="s">
        <v>475</v>
      </c>
      <c r="T130" s="159" t="str">
        <f t="shared" si="186"/>
        <v>Probabilidad</v>
      </c>
      <c r="U130" s="162" t="s">
        <v>15</v>
      </c>
      <c r="V130" s="162" t="s">
        <v>9</v>
      </c>
      <c r="W130" s="163" t="str">
        <f t="shared" si="187"/>
        <v>30%</v>
      </c>
      <c r="X130" s="162" t="s">
        <v>19</v>
      </c>
      <c r="Y130" s="162" t="s">
        <v>22</v>
      </c>
      <c r="Z130" s="162" t="s">
        <v>110</v>
      </c>
      <c r="AA130" s="142">
        <f t="shared" si="188"/>
        <v>0.42</v>
      </c>
      <c r="AB130" s="152" t="str">
        <f t="shared" si="189"/>
        <v>Media</v>
      </c>
      <c r="AC130" s="153">
        <f t="shared" si="190"/>
        <v>0.42</v>
      </c>
      <c r="AD130" s="152" t="str">
        <f t="shared" si="191"/>
        <v>Mayor</v>
      </c>
      <c r="AE130" s="153">
        <f t="shared" si="192"/>
        <v>0.8</v>
      </c>
      <c r="AF130" s="154" t="str">
        <f t="shared" si="193"/>
        <v>Alto</v>
      </c>
      <c r="AG130" s="155" t="s">
        <v>122</v>
      </c>
      <c r="AH130" s="158" t="s">
        <v>477</v>
      </c>
      <c r="AI130" s="150" t="s">
        <v>260</v>
      </c>
      <c r="AJ130" s="149">
        <v>44562</v>
      </c>
      <c r="AK130" s="149" t="s">
        <v>373</v>
      </c>
      <c r="AL130" s="158" t="s">
        <v>476</v>
      </c>
      <c r="AM130" s="230" t="s">
        <v>766</v>
      </c>
      <c r="AN130" s="221" t="s">
        <v>767</v>
      </c>
      <c r="AO130" s="218">
        <v>1</v>
      </c>
      <c r="AP130" s="213" t="s">
        <v>769</v>
      </c>
      <c r="AQ130" s="216" t="s">
        <v>768</v>
      </c>
      <c r="AR130" s="231">
        <v>1</v>
      </c>
      <c r="AS130" s="95"/>
      <c r="AT130" s="232" t="s">
        <v>629</v>
      </c>
      <c r="AU130" s="137" t="s">
        <v>630</v>
      </c>
      <c r="AV130" s="137" t="s">
        <v>630</v>
      </c>
      <c r="AW130" s="137" t="s">
        <v>630</v>
      </c>
      <c r="AX130" s="95"/>
    </row>
    <row r="131" spans="1:50" s="147" customFormat="1" ht="284.25" customHeight="1" x14ac:dyDescent="0.25">
      <c r="A131" s="407"/>
      <c r="B131" s="405"/>
      <c r="C131" s="403"/>
      <c r="D131" s="403"/>
      <c r="E131" s="392"/>
      <c r="F131" s="392"/>
      <c r="G131" s="392"/>
      <c r="H131" s="409"/>
      <c r="I131" s="392"/>
      <c r="J131" s="390"/>
      <c r="K131" s="395"/>
      <c r="L131" s="398"/>
      <c r="M131" s="401"/>
      <c r="N131" s="167"/>
      <c r="O131" s="395"/>
      <c r="P131" s="398"/>
      <c r="Q131" s="414"/>
      <c r="R131" s="157">
        <v>2</v>
      </c>
      <c r="S131" s="158" t="s">
        <v>508</v>
      </c>
      <c r="T131" s="159" t="str">
        <f t="shared" si="186"/>
        <v>Probabilidad</v>
      </c>
      <c r="U131" s="162" t="s">
        <v>14</v>
      </c>
      <c r="V131" s="162" t="s">
        <v>9</v>
      </c>
      <c r="W131" s="163" t="str">
        <f t="shared" si="187"/>
        <v>40%</v>
      </c>
      <c r="X131" s="162" t="s">
        <v>19</v>
      </c>
      <c r="Y131" s="162" t="s">
        <v>22</v>
      </c>
      <c r="Z131" s="162" t="s">
        <v>110</v>
      </c>
      <c r="AA131" s="142">
        <f>IFERROR(IF(T131="Probabilidad",(AA130-(+AA130*W131)),IF(T131="Impacto",L131,"")),"")</f>
        <v>0.252</v>
      </c>
      <c r="AB131" s="152" t="str">
        <f t="shared" si="189"/>
        <v>Baja</v>
      </c>
      <c r="AC131" s="153">
        <f t="shared" si="190"/>
        <v>0.252</v>
      </c>
      <c r="AD131" s="152" t="str">
        <f t="shared" si="191"/>
        <v>Mayor</v>
      </c>
      <c r="AE131" s="153">
        <v>0.8</v>
      </c>
      <c r="AF131" s="154" t="str">
        <f t="shared" si="193"/>
        <v>Alto</v>
      </c>
      <c r="AG131" s="155" t="s">
        <v>122</v>
      </c>
      <c r="AH131" s="158" t="s">
        <v>509</v>
      </c>
      <c r="AI131" s="148" t="s">
        <v>203</v>
      </c>
      <c r="AJ131" s="149">
        <v>44562</v>
      </c>
      <c r="AK131" s="149" t="s">
        <v>373</v>
      </c>
      <c r="AL131" s="158" t="s">
        <v>476</v>
      </c>
      <c r="AM131" s="221" t="s">
        <v>770</v>
      </c>
      <c r="AN131" s="221" t="s">
        <v>771</v>
      </c>
      <c r="AO131" s="218">
        <v>1</v>
      </c>
      <c r="AP131" s="221" t="s">
        <v>755</v>
      </c>
      <c r="AQ131" s="216" t="s">
        <v>772</v>
      </c>
      <c r="AR131" s="218">
        <v>1</v>
      </c>
      <c r="AS131" s="95"/>
      <c r="AT131" s="232" t="s">
        <v>629</v>
      </c>
      <c r="AU131" s="137" t="s">
        <v>630</v>
      </c>
      <c r="AV131" s="137" t="s">
        <v>630</v>
      </c>
      <c r="AW131" s="137" t="s">
        <v>630</v>
      </c>
      <c r="AX131" s="95"/>
    </row>
    <row r="132" spans="1:50" s="147" customFormat="1" ht="221.25" customHeight="1" x14ac:dyDescent="0.25">
      <c r="A132" s="407"/>
      <c r="B132" s="406"/>
      <c r="C132" s="403"/>
      <c r="D132" s="403"/>
      <c r="E132" s="392"/>
      <c r="F132" s="392"/>
      <c r="G132" s="392"/>
      <c r="H132" s="409"/>
      <c r="I132" s="392"/>
      <c r="J132" s="390"/>
      <c r="K132" s="396"/>
      <c r="L132" s="399"/>
      <c r="M132" s="401"/>
      <c r="N132" s="167"/>
      <c r="O132" s="396"/>
      <c r="P132" s="399"/>
      <c r="Q132" s="415"/>
      <c r="R132" s="157">
        <v>3</v>
      </c>
      <c r="S132" s="158" t="s">
        <v>323</v>
      </c>
      <c r="T132" s="159" t="str">
        <f t="shared" si="186"/>
        <v>Probabilidad</v>
      </c>
      <c r="U132" s="162" t="s">
        <v>14</v>
      </c>
      <c r="V132" s="162" t="s">
        <v>9</v>
      </c>
      <c r="W132" s="163" t="str">
        <f t="shared" si="187"/>
        <v>40%</v>
      </c>
      <c r="X132" s="162" t="s">
        <v>19</v>
      </c>
      <c r="Y132" s="162" t="s">
        <v>22</v>
      </c>
      <c r="Z132" s="162" t="s">
        <v>110</v>
      </c>
      <c r="AA132" s="142">
        <f>IFERROR(IF(T132="Probabilidad",(AA131-(+AA131*W132)),IF(T132="Impacto",L132,"")),"")</f>
        <v>0.1512</v>
      </c>
      <c r="AB132" s="152" t="str">
        <f t="shared" si="189"/>
        <v>Muy Baja</v>
      </c>
      <c r="AC132" s="153">
        <f t="shared" si="190"/>
        <v>0.1512</v>
      </c>
      <c r="AD132" s="152" t="str">
        <f t="shared" si="191"/>
        <v>Mayor</v>
      </c>
      <c r="AE132" s="153">
        <v>0.8</v>
      </c>
      <c r="AF132" s="154" t="str">
        <f t="shared" si="193"/>
        <v>Alto</v>
      </c>
      <c r="AG132" s="155" t="s">
        <v>122</v>
      </c>
      <c r="AH132" s="158" t="s">
        <v>509</v>
      </c>
      <c r="AI132" s="148" t="s">
        <v>203</v>
      </c>
      <c r="AJ132" s="149">
        <v>44562</v>
      </c>
      <c r="AK132" s="149" t="s">
        <v>373</v>
      </c>
      <c r="AL132" s="158" t="s">
        <v>476</v>
      </c>
      <c r="AM132" s="221" t="s">
        <v>756</v>
      </c>
      <c r="AN132" s="221" t="s">
        <v>851</v>
      </c>
      <c r="AO132" s="218">
        <v>1</v>
      </c>
      <c r="AP132" s="221" t="s">
        <v>755</v>
      </c>
      <c r="AQ132" s="216" t="s">
        <v>773</v>
      </c>
      <c r="AR132" s="218">
        <v>1</v>
      </c>
      <c r="AS132" s="95"/>
      <c r="AT132" s="232" t="s">
        <v>629</v>
      </c>
      <c r="AU132" s="137" t="s">
        <v>630</v>
      </c>
      <c r="AV132" s="137" t="s">
        <v>630</v>
      </c>
      <c r="AW132" s="137" t="s">
        <v>630</v>
      </c>
      <c r="AX132" s="95"/>
    </row>
    <row r="133" spans="1:50" s="147" customFormat="1" ht="151.5" customHeight="1" x14ac:dyDescent="0.25">
      <c r="A133" s="407">
        <v>43</v>
      </c>
      <c r="B133" s="404" t="s">
        <v>318</v>
      </c>
      <c r="C133" s="402" t="s">
        <v>319</v>
      </c>
      <c r="D133" s="402" t="s">
        <v>320</v>
      </c>
      <c r="E133" s="391" t="s">
        <v>120</v>
      </c>
      <c r="F133" s="411" t="s">
        <v>324</v>
      </c>
      <c r="G133" s="411" t="s">
        <v>431</v>
      </c>
      <c r="H133" s="408" t="s">
        <v>348</v>
      </c>
      <c r="I133" s="391" t="s">
        <v>328</v>
      </c>
      <c r="J133" s="389">
        <v>56</v>
      </c>
      <c r="K133" s="394" t="str">
        <f>IF(J133&lt;=0,"",IF(J133&lt;=2,"Muy Baja",IF(J133&lt;=24,"Baja",IF(J133&lt;=500,"Media",IF(J133&lt;=5000,"Alta","Muy Alta")))))</f>
        <v>Media</v>
      </c>
      <c r="L133" s="397">
        <f>IF(K133="","",IF(K133="Muy Baja",0.2,IF(K133="Baja",0.4,IF(K133="Media",0.6,IF(K133="Alta",0.8,IF(K133="Muy Alta",1,))))))</f>
        <v>0.6</v>
      </c>
      <c r="M133" s="400" t="s">
        <v>486</v>
      </c>
      <c r="N133" s="161" t="str">
        <f>IF(NOT(ISERROR(MATCH(M133,'Tabla Impacto'!$B$221:$B$223,0))),'Tabla Impacto'!$F$223&amp;"Por favor no seleccionar los criterios de impacto(Afectación Económica o presupuestal y Pérdida Reputacional)",M133)</f>
        <v xml:space="preserve"> El riesgo afecta la imagen de la entidad con algunos usuarios de relevancia frente al logro de los objetivos</v>
      </c>
      <c r="O133" s="394" t="str">
        <f>IF(OR(N133='Tabla Impacto'!$C$11,N133='Tabla Impacto'!$D$11),"Leve",IF(OR(N133='Tabla Impacto'!$C$12,N133='Tabla Impacto'!$D$12),"Menor",IF(OR(N133='Tabla Impacto'!$C$13,N133='Tabla Impacto'!$D$13),"Moderado",IF(OR(N133='Tabla Impacto'!$C$14,N133='Tabla Impacto'!$D$14),"Mayor",IF(OR(N133='Tabla Impacto'!$C$15,N133='Tabla Impacto'!$D$15),"Catastrófico","")))))</f>
        <v>Moderado</v>
      </c>
      <c r="P133" s="397">
        <f>IF(O133="","",IF(O133="Leve",0.2,IF(O133="Menor",0.4,IF(O133="Moderado",0.6,IF(O133="Mayor",0.8,IF(O133="Catastrófico",1,))))))</f>
        <v>0.6</v>
      </c>
      <c r="Q133" s="413" t="str">
        <f>IF(OR(AND(K133="Muy Baja",O133="Leve"),AND(K133="Muy Baja",O133="Menor"),AND(K133="Baja",O133="Leve")),"Bajo",IF(OR(AND(K133="Muy baja",O133="Moderado"),AND(K133="Baja",O133="Menor"),AND(K133="Baja",O133="Moderado"),AND(K133="Media",O133="Leve"),AND(K133="Media",O133="Menor"),AND(K133="Media",O133="Moderado"),AND(K133="Alta",O133="Leve"),AND(K133="Alta",O133="Menor")),"Moderado",IF(OR(AND(K133="Muy Baja",O133="Mayor"),AND(K133="Baja",O133="Mayor"),AND(K133="Media",O133="Mayor"),AND(K133="Alta",O133="Moderado"),AND(K133="Alta",O133="Mayor"),AND(K133="Muy Alta",O133="Leve"),AND(K133="Muy Alta",O133="Menor"),AND(K133="Muy Alta",O133="Moderado"),AND(K133="Muy Alta",O133="Mayor")),"Alto",IF(OR(AND(K133="Muy Baja",O133="Catastrófico"),AND(K133="Baja",O133="Catastrófico"),AND(K133="Media",O133="Catastrófico"),AND(K133="Alta",O133="Catastrófico"),AND(K133="Muy Alta",O133="Catastrófico")),"Extremo",""))))</f>
        <v>Moderado</v>
      </c>
      <c r="R133" s="157">
        <v>1</v>
      </c>
      <c r="S133" s="158" t="s">
        <v>321</v>
      </c>
      <c r="T133" s="159" t="str">
        <f t="shared" si="186"/>
        <v>Probabilidad</v>
      </c>
      <c r="U133" s="162" t="s">
        <v>15</v>
      </c>
      <c r="V133" s="162" t="s">
        <v>9</v>
      </c>
      <c r="W133" s="163" t="str">
        <f t="shared" si="187"/>
        <v>30%</v>
      </c>
      <c r="X133" s="162" t="s">
        <v>20</v>
      </c>
      <c r="Y133" s="162" t="s">
        <v>23</v>
      </c>
      <c r="Z133" s="162" t="s">
        <v>111</v>
      </c>
      <c r="AA133" s="142">
        <f t="shared" si="188"/>
        <v>0.42</v>
      </c>
      <c r="AB133" s="152" t="str">
        <f t="shared" si="189"/>
        <v>Media</v>
      </c>
      <c r="AC133" s="153">
        <f t="shared" si="190"/>
        <v>0.42</v>
      </c>
      <c r="AD133" s="152" t="str">
        <f t="shared" si="191"/>
        <v>Moderado</v>
      </c>
      <c r="AE133" s="153">
        <f t="shared" si="192"/>
        <v>0.6</v>
      </c>
      <c r="AF133" s="154" t="str">
        <f t="shared" si="193"/>
        <v>Moderado</v>
      </c>
      <c r="AG133" s="155" t="s">
        <v>122</v>
      </c>
      <c r="AH133" s="158" t="s">
        <v>325</v>
      </c>
      <c r="AI133" s="150" t="s">
        <v>212</v>
      </c>
      <c r="AJ133" s="149">
        <v>44562</v>
      </c>
      <c r="AK133" s="149" t="s">
        <v>373</v>
      </c>
      <c r="AL133" s="158" t="s">
        <v>478</v>
      </c>
      <c r="AM133" s="221" t="s">
        <v>757</v>
      </c>
      <c r="AN133" s="221" t="s">
        <v>758</v>
      </c>
      <c r="AO133" s="218">
        <v>1</v>
      </c>
      <c r="AP133" s="221" t="s">
        <v>759</v>
      </c>
      <c r="AQ133" s="216" t="s">
        <v>760</v>
      </c>
      <c r="AR133" s="218">
        <v>1</v>
      </c>
      <c r="AS133" s="95"/>
      <c r="AT133" s="232" t="s">
        <v>629</v>
      </c>
      <c r="AU133" s="137" t="s">
        <v>630</v>
      </c>
      <c r="AV133" s="137" t="s">
        <v>630</v>
      </c>
      <c r="AW133" s="137" t="s">
        <v>630</v>
      </c>
      <c r="AX133" s="95"/>
    </row>
    <row r="134" spans="1:50" s="147" customFormat="1" ht="151.5" customHeight="1" x14ac:dyDescent="0.25">
      <c r="A134" s="407"/>
      <c r="B134" s="405"/>
      <c r="C134" s="403"/>
      <c r="D134" s="403"/>
      <c r="E134" s="392"/>
      <c r="F134" s="392"/>
      <c r="G134" s="392"/>
      <c r="H134" s="409"/>
      <c r="I134" s="392"/>
      <c r="J134" s="390"/>
      <c r="K134" s="395"/>
      <c r="L134" s="398"/>
      <c r="M134" s="401"/>
      <c r="N134" s="167"/>
      <c r="O134" s="395"/>
      <c r="P134" s="398"/>
      <c r="Q134" s="414"/>
      <c r="R134" s="157">
        <v>2</v>
      </c>
      <c r="S134" s="158" t="s">
        <v>322</v>
      </c>
      <c r="T134" s="159" t="str">
        <f t="shared" si="186"/>
        <v>Probabilidad</v>
      </c>
      <c r="U134" s="162" t="s">
        <v>15</v>
      </c>
      <c r="V134" s="162" t="s">
        <v>9</v>
      </c>
      <c r="W134" s="163" t="str">
        <f t="shared" si="187"/>
        <v>30%</v>
      </c>
      <c r="X134" s="162" t="s">
        <v>20</v>
      </c>
      <c r="Y134" s="162" t="s">
        <v>23</v>
      </c>
      <c r="Z134" s="162" t="s">
        <v>111</v>
      </c>
      <c r="AA134" s="142">
        <f>IFERROR(IF(T134="Probabilidad",(AA133-(+AA133*W134)),IF(T134="Impacto",L134,"")),"")</f>
        <v>0.29399999999999998</v>
      </c>
      <c r="AB134" s="152" t="str">
        <f t="shared" si="189"/>
        <v>Baja</v>
      </c>
      <c r="AC134" s="153">
        <f t="shared" si="190"/>
        <v>0.29399999999999998</v>
      </c>
      <c r="AD134" s="152" t="str">
        <f t="shared" si="191"/>
        <v>Moderado</v>
      </c>
      <c r="AE134" s="153">
        <v>0.6</v>
      </c>
      <c r="AF134" s="154" t="str">
        <f t="shared" si="193"/>
        <v>Moderado</v>
      </c>
      <c r="AG134" s="155" t="s">
        <v>122</v>
      </c>
      <c r="AH134" s="158" t="s">
        <v>509</v>
      </c>
      <c r="AI134" s="148" t="s">
        <v>203</v>
      </c>
      <c r="AJ134" s="149">
        <v>44562</v>
      </c>
      <c r="AK134" s="149" t="s">
        <v>373</v>
      </c>
      <c r="AL134" s="158" t="s">
        <v>478</v>
      </c>
      <c r="AM134" s="221" t="s">
        <v>766</v>
      </c>
      <c r="AN134" s="221" t="s">
        <v>767</v>
      </c>
      <c r="AO134" s="218">
        <v>1</v>
      </c>
      <c r="AP134" s="221" t="s">
        <v>755</v>
      </c>
      <c r="AQ134" s="216" t="s">
        <v>772</v>
      </c>
      <c r="AR134" s="218">
        <v>1</v>
      </c>
      <c r="AS134" s="95"/>
      <c r="AT134" s="232" t="s">
        <v>629</v>
      </c>
      <c r="AU134" s="137" t="s">
        <v>630</v>
      </c>
      <c r="AV134" s="137" t="s">
        <v>630</v>
      </c>
      <c r="AW134" s="137" t="s">
        <v>630</v>
      </c>
      <c r="AX134" s="95"/>
    </row>
    <row r="135" spans="1:50" s="147" customFormat="1" ht="151.5" customHeight="1" x14ac:dyDescent="0.25">
      <c r="A135" s="407"/>
      <c r="B135" s="406"/>
      <c r="C135" s="403"/>
      <c r="D135" s="403"/>
      <c r="E135" s="392"/>
      <c r="F135" s="392"/>
      <c r="G135" s="392"/>
      <c r="H135" s="409"/>
      <c r="I135" s="392"/>
      <c r="J135" s="390"/>
      <c r="K135" s="396"/>
      <c r="L135" s="399"/>
      <c r="M135" s="401"/>
      <c r="N135" s="167"/>
      <c r="O135" s="396"/>
      <c r="P135" s="399"/>
      <c r="Q135" s="415"/>
      <c r="R135" s="157">
        <v>3</v>
      </c>
      <c r="S135" s="158" t="s">
        <v>323</v>
      </c>
      <c r="T135" s="159" t="str">
        <f t="shared" si="186"/>
        <v>Probabilidad</v>
      </c>
      <c r="U135" s="162" t="s">
        <v>15</v>
      </c>
      <c r="V135" s="162" t="s">
        <v>9</v>
      </c>
      <c r="W135" s="163" t="str">
        <f t="shared" si="187"/>
        <v>30%</v>
      </c>
      <c r="X135" s="162" t="s">
        <v>20</v>
      </c>
      <c r="Y135" s="162" t="s">
        <v>23</v>
      </c>
      <c r="Z135" s="162" t="s">
        <v>111</v>
      </c>
      <c r="AA135" s="142">
        <f>IFERROR(IF(T135="Probabilidad",(AA134-(+AA134*W135)),IF(T135="Impacto",L135,"")),"")</f>
        <v>0.20579999999999998</v>
      </c>
      <c r="AB135" s="152" t="str">
        <f t="shared" si="189"/>
        <v>Baja</v>
      </c>
      <c r="AC135" s="153">
        <f t="shared" si="190"/>
        <v>0.20579999999999998</v>
      </c>
      <c r="AD135" s="152" t="str">
        <f t="shared" si="191"/>
        <v>Moderado</v>
      </c>
      <c r="AE135" s="153">
        <v>0.6</v>
      </c>
      <c r="AF135" s="154" t="str">
        <f t="shared" si="193"/>
        <v>Moderado</v>
      </c>
      <c r="AG135" s="155" t="s">
        <v>122</v>
      </c>
      <c r="AH135" s="158" t="s">
        <v>479</v>
      </c>
      <c r="AI135" s="148" t="s">
        <v>212</v>
      </c>
      <c r="AJ135" s="149">
        <v>44562</v>
      </c>
      <c r="AK135" s="149" t="s">
        <v>373</v>
      </c>
      <c r="AL135" s="158" t="s">
        <v>478</v>
      </c>
      <c r="AM135" s="221" t="s">
        <v>770</v>
      </c>
      <c r="AN135" s="221" t="s">
        <v>771</v>
      </c>
      <c r="AO135" s="218">
        <v>1</v>
      </c>
      <c r="AP135" s="221" t="s">
        <v>761</v>
      </c>
      <c r="AQ135" s="216" t="s">
        <v>762</v>
      </c>
      <c r="AR135" s="218">
        <v>1</v>
      </c>
      <c r="AS135" s="95"/>
      <c r="AT135" s="232" t="s">
        <v>629</v>
      </c>
      <c r="AU135" s="137" t="s">
        <v>630</v>
      </c>
      <c r="AV135" s="137" t="s">
        <v>630</v>
      </c>
      <c r="AW135" s="137" t="s">
        <v>630</v>
      </c>
      <c r="AX135" s="95"/>
    </row>
    <row r="136" spans="1:50" s="147" customFormat="1" ht="151.5" customHeight="1" x14ac:dyDescent="0.25">
      <c r="A136" s="407">
        <v>44</v>
      </c>
      <c r="B136" s="373" t="s">
        <v>318</v>
      </c>
      <c r="C136" s="402" t="s">
        <v>319</v>
      </c>
      <c r="D136" s="402" t="s">
        <v>320</v>
      </c>
      <c r="E136" s="391" t="s">
        <v>120</v>
      </c>
      <c r="F136" s="391" t="s">
        <v>430</v>
      </c>
      <c r="G136" s="391" t="s">
        <v>432</v>
      </c>
      <c r="H136" s="408" t="s">
        <v>551</v>
      </c>
      <c r="I136" s="391" t="s">
        <v>115</v>
      </c>
      <c r="J136" s="389">
        <v>56</v>
      </c>
      <c r="K136" s="394" t="str">
        <f>IF(J136&lt;=0,"",IF(J136&lt;=2,"Muy Baja",IF(J136&lt;=24,"Baja",IF(J136&lt;=500,"Media",IF(J136&lt;=5000,"Alta","Muy Alta")))))</f>
        <v>Media</v>
      </c>
      <c r="L136" s="397">
        <f>IF(K136="","",IF(K136="Muy Baja",0.2,IF(K136="Baja",0.4,IF(K136="Media",0.6,IF(K136="Alta",0.8,IF(K136="Muy Alta",1,))))))</f>
        <v>0.6</v>
      </c>
      <c r="M136" s="400" t="s">
        <v>493</v>
      </c>
      <c r="N136" s="161" t="str">
        <f>IF(NOT(ISERROR(MATCH(M136,'Tabla Impacto'!$B$221:$B$223,0))),'Tabla Impacto'!$F$223&amp;"Por favor no seleccionar los criterios de impacto(Afectación Económica o presupuestal y Pérdida Reputacional)",M136)</f>
        <v xml:space="preserve"> El riesgo afecta la imagen de la entidad con efecto publicitario sostenido a nivel de sector administrativo, nivel departamental o municipal</v>
      </c>
      <c r="O136" s="435" t="str">
        <f>IF(OR(N136='Tabla Impacto'!$C$11,N136='Tabla Impacto'!$D$11),"Leve",IF(OR(N136='Tabla Impacto'!$C$12,N136='Tabla Impacto'!$D$12),"Menor",IF(OR(N136='Tabla Impacto'!$C$13,N136='Tabla Impacto'!$D$13),"Moderado",IF(OR(N136='Tabla Impacto'!$C$14,N136='Tabla Impacto'!$D$14),"Mayor",IF(OR(N136='Tabla Impacto'!$C$15,N136='Tabla Impacto'!$D$15),"Catastrófico","")))))</f>
        <v>Mayor</v>
      </c>
      <c r="P136" s="397">
        <f>IF(O136="","",IF(O136="Leve",0.2,IF(O136="Menor",0.4,IF(O136="Moderado",0.6,IF(O136="Mayor",0.8,IF(O136="Catastrófico",1,))))))</f>
        <v>0.8</v>
      </c>
      <c r="Q136" s="413" t="str">
        <f>IF(OR(AND(K136="Muy Baja",O136="Leve"),AND(K136="Muy Baja",O136="Menor"),AND(K136="Baja",O136="Leve")),"Bajo",IF(OR(AND(K136="Muy baja",O136="Moderado"),AND(K136="Baja",O136="Menor"),AND(K136="Baja",O136="Moderado"),AND(K136="Media",O136="Leve"),AND(K136="Media",O136="Menor"),AND(K136="Media",O136="Moderado"),AND(K136="Alta",O136="Leve"),AND(K136="Alta",O136="Menor")),"Moderado",IF(OR(AND(K136="Muy Baja",O136="Mayor"),AND(K136="Baja",O136="Mayor"),AND(K136="Media",O136="Mayor"),AND(K136="Alta",O136="Moderado"),AND(K136="Alta",O136="Mayor"),AND(K136="Muy Alta",O136="Leve"),AND(K136="Muy Alta",O136="Menor"),AND(K136="Muy Alta",O136="Moderado"),AND(K136="Muy Alta",O136="Mayor")),"Alto",IF(OR(AND(K136="Muy Baja",O136="Catastrófico"),AND(K136="Baja",O136="Catastrófico"),AND(K136="Media",O136="Catastrófico"),AND(K136="Alta",O136="Catastrófico"),AND(K136="Muy Alta",O136="Catastrófico")),"Extremo",""))))</f>
        <v>Alto</v>
      </c>
      <c r="R136" s="157">
        <v>1</v>
      </c>
      <c r="S136" s="158" t="s">
        <v>852</v>
      </c>
      <c r="T136" s="159" t="str">
        <f t="shared" si="186"/>
        <v>Probabilidad</v>
      </c>
      <c r="U136" s="162" t="s">
        <v>15</v>
      </c>
      <c r="V136" s="162" t="s">
        <v>9</v>
      </c>
      <c r="W136" s="163" t="str">
        <f t="shared" si="187"/>
        <v>30%</v>
      </c>
      <c r="X136" s="162" t="s">
        <v>20</v>
      </c>
      <c r="Y136" s="162" t="s">
        <v>23</v>
      </c>
      <c r="Z136" s="162" t="s">
        <v>111</v>
      </c>
      <c r="AA136" s="142">
        <f t="shared" si="188"/>
        <v>0.42</v>
      </c>
      <c r="AB136" s="152" t="str">
        <f t="shared" si="189"/>
        <v>Media</v>
      </c>
      <c r="AC136" s="153">
        <f t="shared" si="190"/>
        <v>0.42</v>
      </c>
      <c r="AD136" s="152" t="str">
        <f t="shared" si="191"/>
        <v>Mayor</v>
      </c>
      <c r="AE136" s="153">
        <f t="shared" si="192"/>
        <v>0.8</v>
      </c>
      <c r="AF136" s="154" t="str">
        <f t="shared" si="193"/>
        <v>Alto</v>
      </c>
      <c r="AG136" s="155" t="s">
        <v>122</v>
      </c>
      <c r="AH136" s="174" t="s">
        <v>480</v>
      </c>
      <c r="AI136" s="148" t="s">
        <v>198</v>
      </c>
      <c r="AJ136" s="149">
        <v>44562</v>
      </c>
      <c r="AK136" s="149" t="s">
        <v>373</v>
      </c>
      <c r="AL136" s="174" t="s">
        <v>481</v>
      </c>
      <c r="AM136" s="221" t="s">
        <v>763</v>
      </c>
      <c r="AN136" s="221" t="s">
        <v>763</v>
      </c>
      <c r="AO136" s="218">
        <v>1</v>
      </c>
      <c r="AP136" s="221" t="s">
        <v>774</v>
      </c>
      <c r="AQ136" s="221" t="s">
        <v>764</v>
      </c>
      <c r="AR136" s="218">
        <v>1</v>
      </c>
      <c r="AS136" s="95"/>
      <c r="AT136" s="232" t="s">
        <v>629</v>
      </c>
      <c r="AU136" s="137" t="s">
        <v>630</v>
      </c>
      <c r="AV136" s="137" t="s">
        <v>630</v>
      </c>
      <c r="AW136" s="137" t="s">
        <v>630</v>
      </c>
      <c r="AX136" s="95"/>
    </row>
    <row r="137" spans="1:50" s="147" customFormat="1" ht="151.5" customHeight="1" x14ac:dyDescent="0.25">
      <c r="A137" s="407"/>
      <c r="B137" s="374"/>
      <c r="C137" s="403"/>
      <c r="D137" s="403"/>
      <c r="E137" s="392"/>
      <c r="F137" s="392"/>
      <c r="G137" s="392"/>
      <c r="H137" s="409"/>
      <c r="I137" s="392"/>
      <c r="J137" s="390"/>
      <c r="K137" s="395"/>
      <c r="L137" s="398"/>
      <c r="M137" s="401"/>
      <c r="N137" s="167"/>
      <c r="O137" s="395"/>
      <c r="P137" s="398"/>
      <c r="Q137" s="414"/>
      <c r="R137" s="157">
        <v>2</v>
      </c>
      <c r="S137" s="158"/>
      <c r="T137" s="127"/>
      <c r="U137" s="128"/>
      <c r="V137" s="128"/>
      <c r="W137" s="129"/>
      <c r="X137" s="128"/>
      <c r="Y137" s="128"/>
      <c r="Z137" s="128"/>
      <c r="AA137" s="140"/>
      <c r="AB137" s="131"/>
      <c r="AC137" s="132"/>
      <c r="AD137" s="131"/>
      <c r="AE137" s="132"/>
      <c r="AF137" s="133"/>
      <c r="AG137" s="134"/>
      <c r="AH137" s="158" t="s">
        <v>326</v>
      </c>
      <c r="AI137" s="148" t="s">
        <v>203</v>
      </c>
      <c r="AJ137" s="149">
        <v>44562</v>
      </c>
      <c r="AK137" s="149" t="s">
        <v>373</v>
      </c>
      <c r="AL137" s="174" t="s">
        <v>481</v>
      </c>
      <c r="AM137" s="216" t="s">
        <v>630</v>
      </c>
      <c r="AN137" s="221"/>
      <c r="AO137" s="215" t="s">
        <v>630</v>
      </c>
      <c r="AP137" s="221" t="s">
        <v>765</v>
      </c>
      <c r="AQ137" s="216" t="s">
        <v>630</v>
      </c>
      <c r="AR137" s="137" t="s">
        <v>630</v>
      </c>
      <c r="AS137" s="95"/>
      <c r="AT137" s="232" t="s">
        <v>629</v>
      </c>
      <c r="AU137" s="137" t="s">
        <v>630</v>
      </c>
      <c r="AV137" s="137" t="s">
        <v>630</v>
      </c>
      <c r="AW137" s="137" t="s">
        <v>630</v>
      </c>
      <c r="AX137" s="95"/>
    </row>
    <row r="138" spans="1:50" s="147" customFormat="1" ht="151.5" customHeight="1" x14ac:dyDescent="0.25">
      <c r="A138" s="407"/>
      <c r="B138" s="375"/>
      <c r="C138" s="403"/>
      <c r="D138" s="403"/>
      <c r="E138" s="392"/>
      <c r="F138" s="392"/>
      <c r="G138" s="392"/>
      <c r="H138" s="409"/>
      <c r="I138" s="392"/>
      <c r="J138" s="390"/>
      <c r="K138" s="396"/>
      <c r="L138" s="399"/>
      <c r="M138" s="401"/>
      <c r="N138" s="167"/>
      <c r="O138" s="396"/>
      <c r="P138" s="399"/>
      <c r="Q138" s="415"/>
      <c r="R138" s="157">
        <v>3</v>
      </c>
      <c r="S138" s="158"/>
      <c r="T138" s="127"/>
      <c r="U138" s="128"/>
      <c r="V138" s="128"/>
      <c r="W138" s="129"/>
      <c r="X138" s="128"/>
      <c r="Y138" s="128"/>
      <c r="Z138" s="128"/>
      <c r="AA138" s="140"/>
      <c r="AB138" s="131"/>
      <c r="AC138" s="132"/>
      <c r="AD138" s="131"/>
      <c r="AE138" s="132"/>
      <c r="AF138" s="133"/>
      <c r="AG138" s="134"/>
      <c r="AH138" s="174" t="s">
        <v>510</v>
      </c>
      <c r="AI138" s="148" t="s">
        <v>203</v>
      </c>
      <c r="AJ138" s="149">
        <v>44562</v>
      </c>
      <c r="AK138" s="149" t="s">
        <v>373</v>
      </c>
      <c r="AL138" s="174" t="s">
        <v>481</v>
      </c>
      <c r="AM138" s="221" t="s">
        <v>630</v>
      </c>
      <c r="AN138" s="216"/>
      <c r="AO138" s="215" t="s">
        <v>630</v>
      </c>
      <c r="AP138" s="221" t="s">
        <v>755</v>
      </c>
      <c r="AQ138" s="216" t="s">
        <v>772</v>
      </c>
      <c r="AR138" s="218">
        <v>1</v>
      </c>
      <c r="AS138" s="95"/>
      <c r="AT138" s="232" t="s">
        <v>629</v>
      </c>
      <c r="AU138" s="137" t="s">
        <v>630</v>
      </c>
      <c r="AV138" s="137" t="s">
        <v>630</v>
      </c>
      <c r="AW138" s="137" t="s">
        <v>630</v>
      </c>
      <c r="AX138" s="95"/>
    </row>
    <row r="139" spans="1:50" s="147" customFormat="1" ht="188.25" customHeight="1" x14ac:dyDescent="0.25">
      <c r="A139" s="407">
        <v>45</v>
      </c>
      <c r="B139" s="404" t="s">
        <v>572</v>
      </c>
      <c r="C139" s="404" t="s">
        <v>571</v>
      </c>
      <c r="D139" s="404" t="s">
        <v>573</v>
      </c>
      <c r="E139" s="391" t="s">
        <v>118</v>
      </c>
      <c r="F139" s="391" t="s">
        <v>577</v>
      </c>
      <c r="G139" s="391" t="s">
        <v>576</v>
      </c>
      <c r="H139" s="408" t="s">
        <v>568</v>
      </c>
      <c r="I139" s="391" t="s">
        <v>115</v>
      </c>
      <c r="J139" s="389">
        <v>10</v>
      </c>
      <c r="K139" s="394" t="str">
        <f>IF(J139&lt;=0,"",IF(J139&lt;=2,"Muy Baja",IF(J139&lt;=24,"Baja",IF(J139&lt;=500,"Media",IF(J139&lt;=5000,"Alta","Muy Alta")))))</f>
        <v>Baja</v>
      </c>
      <c r="L139" s="397">
        <f>IF(K139="","",IF(K139="Muy Baja",0.2,IF(K139="Baja",0.4,IF(K139="Media",0.6,IF(K139="Alta",0.8,IF(K139="Muy Alta",1,))))))</f>
        <v>0.4</v>
      </c>
      <c r="M139" s="400" t="s">
        <v>493</v>
      </c>
      <c r="N139" s="161" t="str">
        <f>IF(NOT(ISERROR(MATCH(M139,'Tabla Impacto'!$B$221:$B$223,0))),'Tabla Impacto'!$F$223&amp;"Por favor no seleccionar los criterios de impacto(Afectación Económica o presupuestal y Pérdida Reputacional)",M139)</f>
        <v xml:space="preserve"> El riesgo afecta la imagen de la entidad con efecto publicitario sostenido a nivel de sector administrativo, nivel departamental o municipal</v>
      </c>
      <c r="O139" s="394" t="str">
        <f>IF(OR(N139='Tabla Impacto'!$C$11,N139='Tabla Impacto'!$D$11),"Leve",IF(OR(N139='Tabla Impacto'!$C$12,N139='Tabla Impacto'!$D$12),"Menor",IF(OR(N139='Tabla Impacto'!$C$13,N139='Tabla Impacto'!$D$13),"Moderado",IF(OR(N139='Tabla Impacto'!$C$14,N139='Tabla Impacto'!$D$14),"Mayor",IF(OR(N139='Tabla Impacto'!$C$15,N139='Tabla Impacto'!$D$15),"Catastrófico","")))))</f>
        <v>Mayor</v>
      </c>
      <c r="P139" s="397">
        <f>IF(O139="","",IF(O139="Leve",0.2,IF(O139="Menor",0.4,IF(O139="Moderado",0.6,IF(O139="Mayor",0.8,IF(O139="Catastrófico",1,))))))</f>
        <v>0.8</v>
      </c>
      <c r="Q139" s="413" t="str">
        <f>IF(OR(AND(K139="Muy Baja",O139="Leve"),AND(K139="Muy Baja",O139="Menor"),AND(K139="Baja",O139="Leve")),"Bajo",IF(OR(AND(K139="Muy baja",O139="Moderado"),AND(K139="Baja",O139="Menor"),AND(K139="Baja",O139="Moderado"),AND(K139="Media",O139="Leve"),AND(K139="Media",O139="Menor"),AND(K139="Media",O139="Moderado"),AND(K139="Alta",O139="Leve"),AND(K139="Alta",O139="Menor")),"Moderado",IF(OR(AND(K139="Muy Baja",O139="Mayor"),AND(K139="Baja",O139="Mayor"),AND(K139="Media",O139="Mayor"),AND(K139="Alta",O139="Moderado"),AND(K139="Alta",O139="Mayor"),AND(K139="Muy Alta",O139="Leve"),AND(K139="Muy Alta",O139="Menor"),AND(K139="Muy Alta",O139="Moderado"),AND(K139="Muy Alta",O139="Mayor")),"Alto",IF(OR(AND(K139="Muy Baja",O139="Catastrófico"),AND(K139="Baja",O139="Catastrófico"),AND(K139="Media",O139="Catastrófico"),AND(K139="Alta",O139="Catastrófico"),AND(K139="Muy Alta",O139="Catastrófico")),"Extremo",""))))</f>
        <v>Alto</v>
      </c>
      <c r="R139" s="157">
        <v>1</v>
      </c>
      <c r="S139" s="158" t="s">
        <v>593</v>
      </c>
      <c r="T139" s="210" t="str">
        <f t="shared" si="186"/>
        <v>Probabilidad</v>
      </c>
      <c r="U139" s="162" t="s">
        <v>14</v>
      </c>
      <c r="V139" s="162" t="s">
        <v>9</v>
      </c>
      <c r="W139" s="163" t="str">
        <f t="shared" si="187"/>
        <v>40%</v>
      </c>
      <c r="X139" s="162" t="s">
        <v>19</v>
      </c>
      <c r="Y139" s="162" t="s">
        <v>22</v>
      </c>
      <c r="Z139" s="162" t="s">
        <v>110</v>
      </c>
      <c r="AA139" s="142">
        <f t="shared" si="188"/>
        <v>0.24</v>
      </c>
      <c r="AB139" s="152" t="str">
        <f t="shared" si="189"/>
        <v>Baja</v>
      </c>
      <c r="AC139" s="153">
        <f t="shared" si="190"/>
        <v>0.24</v>
      </c>
      <c r="AD139" s="152" t="str">
        <f t="shared" si="191"/>
        <v>Mayor</v>
      </c>
      <c r="AE139" s="153">
        <f t="shared" si="192"/>
        <v>0.8</v>
      </c>
      <c r="AF139" s="154" t="str">
        <f t="shared" si="193"/>
        <v>Alto</v>
      </c>
      <c r="AG139" s="155" t="s">
        <v>122</v>
      </c>
      <c r="AH139" s="150" t="s">
        <v>594</v>
      </c>
      <c r="AI139" s="148" t="s">
        <v>260</v>
      </c>
      <c r="AJ139" s="149" t="s">
        <v>286</v>
      </c>
      <c r="AK139" s="149" t="s">
        <v>287</v>
      </c>
      <c r="AL139" s="150" t="s">
        <v>578</v>
      </c>
      <c r="AM139" s="95" t="s">
        <v>853</v>
      </c>
      <c r="AN139" s="95" t="s">
        <v>797</v>
      </c>
      <c r="AO139" s="215">
        <v>1</v>
      </c>
      <c r="AP139" s="95" t="s">
        <v>854</v>
      </c>
      <c r="AQ139" s="95" t="s">
        <v>803</v>
      </c>
      <c r="AR139" s="218">
        <v>1</v>
      </c>
      <c r="AS139" s="95"/>
      <c r="AT139" s="232" t="s">
        <v>629</v>
      </c>
      <c r="AU139" s="137" t="s">
        <v>630</v>
      </c>
      <c r="AV139" s="137" t="s">
        <v>630</v>
      </c>
      <c r="AW139" s="137" t="s">
        <v>630</v>
      </c>
      <c r="AX139" s="95"/>
    </row>
    <row r="140" spans="1:50" s="147" customFormat="1" ht="151.5" hidden="1" customHeight="1" x14ac:dyDescent="0.25">
      <c r="A140" s="407"/>
      <c r="B140" s="405"/>
      <c r="C140" s="405"/>
      <c r="D140" s="405"/>
      <c r="E140" s="392"/>
      <c r="F140" s="392"/>
      <c r="G140" s="392"/>
      <c r="H140" s="409"/>
      <c r="I140" s="392"/>
      <c r="J140" s="390"/>
      <c r="K140" s="395"/>
      <c r="L140" s="398"/>
      <c r="M140" s="401"/>
      <c r="N140" s="167"/>
      <c r="O140" s="395"/>
      <c r="P140" s="398"/>
      <c r="Q140" s="414"/>
      <c r="R140" s="157">
        <v>2</v>
      </c>
      <c r="S140" s="158"/>
      <c r="T140" s="159" t="str">
        <f t="shared" si="186"/>
        <v/>
      </c>
      <c r="U140" s="162"/>
      <c r="V140" s="162"/>
      <c r="W140" s="163" t="str">
        <f t="shared" si="187"/>
        <v/>
      </c>
      <c r="X140" s="162"/>
      <c r="Y140" s="162"/>
      <c r="Z140" s="162"/>
      <c r="AA140" s="142" t="str">
        <f t="shared" si="188"/>
        <v/>
      </c>
      <c r="AB140" s="152" t="str">
        <f t="shared" si="189"/>
        <v/>
      </c>
      <c r="AC140" s="153" t="str">
        <f t="shared" si="190"/>
        <v/>
      </c>
      <c r="AD140" s="152" t="str">
        <f t="shared" si="191"/>
        <v/>
      </c>
      <c r="AE140" s="153" t="str">
        <f t="shared" si="192"/>
        <v/>
      </c>
      <c r="AF140" s="154" t="str">
        <f t="shared" si="193"/>
        <v/>
      </c>
      <c r="AG140" s="155"/>
      <c r="AH140" s="150"/>
      <c r="AI140" s="148"/>
      <c r="AJ140" s="149"/>
      <c r="AK140" s="149"/>
      <c r="AL140" s="150"/>
      <c r="AM140" s="95"/>
      <c r="AN140" s="95"/>
      <c r="AO140" s="137"/>
      <c r="AP140" s="95"/>
      <c r="AQ140" s="95"/>
      <c r="AR140" s="137"/>
      <c r="AS140" s="95"/>
      <c r="AT140" s="232" t="s">
        <v>629</v>
      </c>
      <c r="AU140" s="137" t="s">
        <v>630</v>
      </c>
      <c r="AV140" s="137" t="s">
        <v>630</v>
      </c>
      <c r="AW140" s="137" t="s">
        <v>630</v>
      </c>
      <c r="AX140" s="95"/>
    </row>
    <row r="141" spans="1:50" s="147" customFormat="1" ht="151.5" hidden="1" customHeight="1" x14ac:dyDescent="0.25">
      <c r="A141" s="407"/>
      <c r="B141" s="406"/>
      <c r="C141" s="406"/>
      <c r="D141" s="406"/>
      <c r="E141" s="428"/>
      <c r="F141" s="428"/>
      <c r="G141" s="428"/>
      <c r="H141" s="422"/>
      <c r="I141" s="428"/>
      <c r="J141" s="429"/>
      <c r="K141" s="396"/>
      <c r="L141" s="399"/>
      <c r="M141" s="427"/>
      <c r="N141" s="167"/>
      <c r="O141" s="396"/>
      <c r="P141" s="399"/>
      <c r="Q141" s="415"/>
      <c r="R141" s="157">
        <v>3</v>
      </c>
      <c r="S141" s="158"/>
      <c r="T141" s="159" t="str">
        <f t="shared" si="186"/>
        <v/>
      </c>
      <c r="U141" s="162"/>
      <c r="V141" s="162"/>
      <c r="W141" s="163" t="str">
        <f t="shared" si="187"/>
        <v/>
      </c>
      <c r="X141" s="162"/>
      <c r="Y141" s="162"/>
      <c r="Z141" s="162"/>
      <c r="AA141" s="142" t="str">
        <f t="shared" si="188"/>
        <v/>
      </c>
      <c r="AB141" s="152" t="str">
        <f t="shared" si="189"/>
        <v/>
      </c>
      <c r="AC141" s="153" t="str">
        <f t="shared" si="190"/>
        <v/>
      </c>
      <c r="AD141" s="152" t="str">
        <f t="shared" si="191"/>
        <v/>
      </c>
      <c r="AE141" s="153" t="str">
        <f t="shared" si="192"/>
        <v/>
      </c>
      <c r="AF141" s="154" t="str">
        <f t="shared" si="193"/>
        <v/>
      </c>
      <c r="AG141" s="155"/>
      <c r="AH141" s="150"/>
      <c r="AI141" s="148"/>
      <c r="AJ141" s="149"/>
      <c r="AK141" s="149"/>
      <c r="AL141" s="150"/>
      <c r="AM141" s="95"/>
      <c r="AN141" s="95"/>
      <c r="AO141" s="137"/>
      <c r="AP141" s="95"/>
      <c r="AQ141" s="95"/>
      <c r="AR141" s="137"/>
      <c r="AS141" s="95"/>
      <c r="AT141" s="232" t="s">
        <v>629</v>
      </c>
      <c r="AU141" s="137" t="s">
        <v>630</v>
      </c>
      <c r="AV141" s="137" t="s">
        <v>630</v>
      </c>
      <c r="AW141" s="137" t="s">
        <v>630</v>
      </c>
      <c r="AX141" s="95"/>
    </row>
    <row r="142" spans="1:50" s="147" customFormat="1" ht="151.5" customHeight="1" x14ac:dyDescent="0.25">
      <c r="A142" s="407">
        <v>46</v>
      </c>
      <c r="B142" s="404" t="s">
        <v>572</v>
      </c>
      <c r="C142" s="404" t="s">
        <v>571</v>
      </c>
      <c r="D142" s="404" t="s">
        <v>573</v>
      </c>
      <c r="E142" s="391" t="s">
        <v>118</v>
      </c>
      <c r="F142" s="391" t="s">
        <v>574</v>
      </c>
      <c r="G142" s="391" t="s">
        <v>575</v>
      </c>
      <c r="H142" s="408" t="s">
        <v>569</v>
      </c>
      <c r="I142" s="391" t="s">
        <v>328</v>
      </c>
      <c r="J142" s="389">
        <v>20</v>
      </c>
      <c r="K142" s="394" t="str">
        <f>IF(J142&lt;=0,"",IF(J142&lt;=2,"Muy Baja",IF(J142&lt;=24,"Baja",IF(J142&lt;=500,"Media",IF(J142&lt;=5000,"Alta","Muy Alta")))))</f>
        <v>Baja</v>
      </c>
      <c r="L142" s="397">
        <f>IF(K142="","",IF(K142="Muy Baja",0.2,IF(K142="Baja",0.4,IF(K142="Media",0.6,IF(K142="Alta",0.8,IF(K142="Muy Alta",1,))))))</f>
        <v>0.4</v>
      </c>
      <c r="M142" s="400" t="s">
        <v>486</v>
      </c>
      <c r="N142" s="161" t="str">
        <f>IF(NOT(ISERROR(MATCH(M142,'Tabla Impacto'!$B$221:$B$223,0))),'Tabla Impacto'!$F$223&amp;"Por favor no seleccionar los criterios de impacto(Afectación Económica o presupuestal y Pérdida Reputacional)",M142)</f>
        <v xml:space="preserve"> El riesgo afecta la imagen de la entidad con algunos usuarios de relevancia frente al logro de los objetivos</v>
      </c>
      <c r="O142" s="394" t="str">
        <f>IF(OR(N142='Tabla Impacto'!$C$11,N142='Tabla Impacto'!$D$11),"Leve",IF(OR(N142='Tabla Impacto'!$C$12,N142='Tabla Impacto'!$D$12),"Menor",IF(OR(N142='Tabla Impacto'!$C$13,N142='Tabla Impacto'!$D$13),"Moderado",IF(OR(N142='Tabla Impacto'!$C$14,N142='Tabla Impacto'!$D$14),"Mayor",IF(OR(N142='Tabla Impacto'!$C$15,N142='Tabla Impacto'!$D$15),"Catastrófico","")))))</f>
        <v>Moderado</v>
      </c>
      <c r="P142" s="397">
        <f>IF(O142="","",IF(O142="Leve",0.2,IF(O142="Menor",0.4,IF(O142="Moderado",0.6,IF(O142="Mayor",0.8,IF(O142="Catastrófico",1,))))))</f>
        <v>0.6</v>
      </c>
      <c r="Q142" s="413" t="str">
        <f>IF(OR(AND(K142="Muy Baja",O142="Leve"),AND(K142="Muy Baja",O142="Menor"),AND(K142="Baja",O142="Leve")),"Bajo",IF(OR(AND(K142="Muy baja",O142="Moderado"),AND(K142="Baja",O142="Menor"),AND(K142="Baja",O142="Moderado"),AND(K142="Media",O142="Leve"),AND(K142="Media",O142="Menor"),AND(K142="Media",O142="Moderado"),AND(K142="Alta",O142="Leve"),AND(K142="Alta",O142="Menor")),"Moderado",IF(OR(AND(K142="Muy Baja",O142="Mayor"),AND(K142="Baja",O142="Mayor"),AND(K142="Media",O142="Mayor"),AND(K142="Alta",O142="Moderado"),AND(K142="Alta",O142="Mayor"),AND(K142="Muy Alta",O142="Leve"),AND(K142="Muy Alta",O142="Menor"),AND(K142="Muy Alta",O142="Moderado"),AND(K142="Muy Alta",O142="Mayor")),"Alto",IF(OR(AND(K142="Muy Baja",O142="Catastrófico"),AND(K142="Baja",O142="Catastrófico"),AND(K142="Media",O142="Catastrófico"),AND(K142="Alta",O142="Catastrófico"),AND(K142="Muy Alta",O142="Catastrófico")),"Extremo",""))))</f>
        <v>Moderado</v>
      </c>
      <c r="R142" s="157">
        <v>1</v>
      </c>
      <c r="S142" s="158" t="s">
        <v>579</v>
      </c>
      <c r="T142" s="210" t="str">
        <f t="shared" si="186"/>
        <v>Probabilidad</v>
      </c>
      <c r="U142" s="162" t="s">
        <v>15</v>
      </c>
      <c r="V142" s="162" t="s">
        <v>9</v>
      </c>
      <c r="W142" s="163" t="str">
        <f t="shared" si="187"/>
        <v>30%</v>
      </c>
      <c r="X142" s="162" t="s">
        <v>19</v>
      </c>
      <c r="Y142" s="162" t="s">
        <v>22</v>
      </c>
      <c r="Z142" s="162" t="s">
        <v>110</v>
      </c>
      <c r="AA142" s="142">
        <f t="shared" si="188"/>
        <v>0.28000000000000003</v>
      </c>
      <c r="AB142" s="152" t="str">
        <f t="shared" si="189"/>
        <v>Baja</v>
      </c>
      <c r="AC142" s="153">
        <f t="shared" si="190"/>
        <v>0.28000000000000003</v>
      </c>
      <c r="AD142" s="152" t="str">
        <f t="shared" si="191"/>
        <v>Moderado</v>
      </c>
      <c r="AE142" s="153">
        <f t="shared" si="192"/>
        <v>0.6</v>
      </c>
      <c r="AF142" s="154" t="str">
        <f t="shared" si="193"/>
        <v>Moderado</v>
      </c>
      <c r="AG142" s="155" t="s">
        <v>122</v>
      </c>
      <c r="AH142" s="150" t="s">
        <v>570</v>
      </c>
      <c r="AI142" s="148" t="s">
        <v>260</v>
      </c>
      <c r="AJ142" s="149" t="s">
        <v>286</v>
      </c>
      <c r="AK142" s="149" t="s">
        <v>287</v>
      </c>
      <c r="AL142" s="150" t="s">
        <v>598</v>
      </c>
      <c r="AM142" s="95" t="s">
        <v>855</v>
      </c>
      <c r="AN142" s="95" t="s">
        <v>798</v>
      </c>
      <c r="AO142" s="218">
        <v>1</v>
      </c>
      <c r="AP142" s="95" t="s">
        <v>856</v>
      </c>
      <c r="AQ142" s="95" t="s">
        <v>802</v>
      </c>
      <c r="AR142" s="218">
        <v>1</v>
      </c>
      <c r="AS142" s="95"/>
      <c r="AT142" s="232" t="s">
        <v>629</v>
      </c>
      <c r="AU142" s="137" t="s">
        <v>630</v>
      </c>
      <c r="AV142" s="137" t="s">
        <v>630</v>
      </c>
      <c r="AW142" s="137" t="s">
        <v>630</v>
      </c>
      <c r="AX142" s="95"/>
    </row>
    <row r="143" spans="1:50" s="147" customFormat="1" ht="151.5" hidden="1" customHeight="1" x14ac:dyDescent="0.25">
      <c r="A143" s="407"/>
      <c r="B143" s="405"/>
      <c r="C143" s="405"/>
      <c r="D143" s="405"/>
      <c r="E143" s="392"/>
      <c r="F143" s="392"/>
      <c r="G143" s="392"/>
      <c r="H143" s="409"/>
      <c r="I143" s="392"/>
      <c r="J143" s="390"/>
      <c r="K143" s="395"/>
      <c r="L143" s="398"/>
      <c r="M143" s="401"/>
      <c r="N143" s="167"/>
      <c r="O143" s="395"/>
      <c r="P143" s="398"/>
      <c r="Q143" s="414"/>
      <c r="R143" s="157">
        <v>2</v>
      </c>
      <c r="S143" s="158"/>
      <c r="T143" s="159" t="str">
        <f t="shared" si="186"/>
        <v/>
      </c>
      <c r="U143" s="162"/>
      <c r="V143" s="162"/>
      <c r="W143" s="163" t="str">
        <f t="shared" si="187"/>
        <v/>
      </c>
      <c r="X143" s="162"/>
      <c r="Y143" s="162"/>
      <c r="Z143" s="162"/>
      <c r="AA143" s="142" t="str">
        <f t="shared" si="188"/>
        <v/>
      </c>
      <c r="AB143" s="152" t="str">
        <f t="shared" si="189"/>
        <v/>
      </c>
      <c r="AC143" s="153" t="str">
        <f t="shared" si="190"/>
        <v/>
      </c>
      <c r="AD143" s="152" t="str">
        <f t="shared" si="191"/>
        <v/>
      </c>
      <c r="AE143" s="153" t="str">
        <f t="shared" si="192"/>
        <v/>
      </c>
      <c r="AF143" s="154" t="str">
        <f t="shared" si="193"/>
        <v/>
      </c>
      <c r="AG143" s="155"/>
      <c r="AH143" s="150"/>
      <c r="AI143" s="148"/>
      <c r="AJ143" s="149"/>
      <c r="AK143" s="149"/>
      <c r="AL143" s="150"/>
      <c r="AM143" s="95"/>
      <c r="AN143" s="95"/>
      <c r="AO143" s="137"/>
      <c r="AP143" s="95"/>
      <c r="AQ143" s="95"/>
      <c r="AR143" s="137"/>
      <c r="AS143" s="95"/>
      <c r="AT143" s="232" t="s">
        <v>629</v>
      </c>
      <c r="AU143" s="137" t="s">
        <v>630</v>
      </c>
      <c r="AV143" s="137" t="s">
        <v>630</v>
      </c>
      <c r="AW143" s="137" t="s">
        <v>630</v>
      </c>
      <c r="AX143" s="95"/>
    </row>
    <row r="144" spans="1:50" s="147" customFormat="1" ht="151.5" hidden="1" customHeight="1" x14ac:dyDescent="0.25">
      <c r="A144" s="407"/>
      <c r="B144" s="406"/>
      <c r="C144" s="406"/>
      <c r="D144" s="406"/>
      <c r="E144" s="428"/>
      <c r="F144" s="428"/>
      <c r="G144" s="428"/>
      <c r="H144" s="422"/>
      <c r="I144" s="428"/>
      <c r="J144" s="429"/>
      <c r="K144" s="396"/>
      <c r="L144" s="399"/>
      <c r="M144" s="427"/>
      <c r="N144" s="167"/>
      <c r="O144" s="396"/>
      <c r="P144" s="399"/>
      <c r="Q144" s="415"/>
      <c r="R144" s="157">
        <v>3</v>
      </c>
      <c r="S144" s="158"/>
      <c r="T144" s="159" t="str">
        <f t="shared" si="186"/>
        <v/>
      </c>
      <c r="U144" s="162"/>
      <c r="V144" s="162"/>
      <c r="W144" s="163" t="str">
        <f t="shared" si="187"/>
        <v/>
      </c>
      <c r="X144" s="162"/>
      <c r="Y144" s="162"/>
      <c r="Z144" s="162"/>
      <c r="AA144" s="142" t="str">
        <f t="shared" si="188"/>
        <v/>
      </c>
      <c r="AB144" s="152" t="str">
        <f t="shared" si="189"/>
        <v/>
      </c>
      <c r="AC144" s="153" t="str">
        <f t="shared" si="190"/>
        <v/>
      </c>
      <c r="AD144" s="152" t="str">
        <f t="shared" si="191"/>
        <v/>
      </c>
      <c r="AE144" s="153" t="str">
        <f t="shared" si="192"/>
        <v/>
      </c>
      <c r="AF144" s="154" t="str">
        <f t="shared" si="193"/>
        <v/>
      </c>
      <c r="AG144" s="155"/>
      <c r="AH144" s="150"/>
      <c r="AI144" s="148"/>
      <c r="AJ144" s="149"/>
      <c r="AK144" s="149"/>
      <c r="AL144" s="150"/>
      <c r="AM144" s="95"/>
      <c r="AN144" s="95"/>
      <c r="AO144" s="137"/>
      <c r="AP144" s="95"/>
      <c r="AQ144" s="95"/>
      <c r="AR144" s="137"/>
      <c r="AS144" s="95"/>
      <c r="AT144" s="232" t="s">
        <v>629</v>
      </c>
      <c r="AU144" s="137" t="s">
        <v>630</v>
      </c>
      <c r="AV144" s="137" t="s">
        <v>630</v>
      </c>
      <c r="AW144" s="137" t="s">
        <v>630</v>
      </c>
      <c r="AX144" s="95"/>
    </row>
    <row r="145" spans="1:50" s="147" customFormat="1" ht="151.5" customHeight="1" x14ac:dyDescent="0.25">
      <c r="A145" s="407">
        <v>47</v>
      </c>
      <c r="B145" s="404" t="s">
        <v>599</v>
      </c>
      <c r="C145" s="404" t="s">
        <v>600</v>
      </c>
      <c r="D145" s="404" t="s">
        <v>601</v>
      </c>
      <c r="E145" s="391" t="s">
        <v>118</v>
      </c>
      <c r="F145" s="391" t="s">
        <v>602</v>
      </c>
      <c r="G145" s="391" t="s">
        <v>603</v>
      </c>
      <c r="H145" s="408" t="s">
        <v>604</v>
      </c>
      <c r="I145" s="391" t="s">
        <v>328</v>
      </c>
      <c r="J145" s="389">
        <v>12</v>
      </c>
      <c r="K145" s="394" t="str">
        <f>IF(J145&lt;=0,"",IF(J145&lt;=2,"Muy Baja",IF(J145&lt;=24,"Baja",IF(J145&lt;=500,"Media",IF(J145&lt;=5000,"Alta","Muy Alta")))))</f>
        <v>Baja</v>
      </c>
      <c r="L145" s="397">
        <f>IF(K145="","",IF(K145="Muy Baja",0.2,IF(K145="Baja",0.4,IF(K145="Media",0.6,IF(K145="Alta",0.8,IF(K145="Muy Alta",1,))))))</f>
        <v>0.4</v>
      </c>
      <c r="M145" s="400" t="s">
        <v>486</v>
      </c>
      <c r="N145" s="161" t="str">
        <f>IF(NOT(ISERROR(MATCH(M145,'Tabla Impacto'!$B$221:$B$223,0))),'Tabla Impacto'!$F$223&amp;"Por favor no seleccionar los criterios de impacto(Afectación Económica o presupuestal y Pérdida Reputacional)",M145)</f>
        <v xml:space="preserve"> El riesgo afecta la imagen de la entidad con algunos usuarios de relevancia frente al logro de los objetivos</v>
      </c>
      <c r="O145" s="394" t="str">
        <f>IF(OR(N145='Tabla Impacto'!$C$11,N145='Tabla Impacto'!$D$11),"Leve",IF(OR(N145='Tabla Impacto'!$C$12,N145='Tabla Impacto'!$D$12),"Menor",IF(OR(N145='Tabla Impacto'!$C$13,N145='Tabla Impacto'!$D$13),"Moderado",IF(OR(N145='Tabla Impacto'!$C$14,N145='Tabla Impacto'!$D$14),"Mayor",IF(OR(N145='Tabla Impacto'!$C$15,N145='Tabla Impacto'!$D$15),"Catastrófico","")))))</f>
        <v>Moderado</v>
      </c>
      <c r="P145" s="397">
        <f>IF(O145="","",IF(O145="Leve",0.2,IF(O145="Menor",0.4,IF(O145="Moderado",0.6,IF(O145="Mayor",0.8,IF(O145="Catastrófico",1,))))))</f>
        <v>0.6</v>
      </c>
      <c r="Q145" s="413" t="str">
        <f>IF(OR(AND(K145="Muy Baja",O145="Leve"),AND(K145="Muy Baja",O145="Menor"),AND(K145="Baja",O145="Leve")),"Bajo",IF(OR(AND(K145="Muy baja",O145="Moderado"),AND(K145="Baja",O145="Menor"),AND(K145="Baja",O145="Moderado"),AND(K145="Media",O145="Leve"),AND(K145="Media",O145="Menor"),AND(K145="Media",O145="Moderado"),AND(K145="Alta",O145="Leve"),AND(K145="Alta",O145="Menor")),"Moderado",IF(OR(AND(K145="Muy Baja",O145="Mayor"),AND(K145="Baja",O145="Mayor"),AND(K145="Media",O145="Mayor"),AND(K145="Alta",O145="Moderado"),AND(K145="Alta",O145="Mayor"),AND(K145="Muy Alta",O145="Leve"),AND(K145="Muy Alta",O145="Menor"),AND(K145="Muy Alta",O145="Moderado"),AND(K145="Muy Alta",O145="Mayor")),"Alto",IF(OR(AND(K145="Muy Baja",O145="Catastrófico"),AND(K145="Baja",O145="Catastrófico"),AND(K145="Media",O145="Catastrófico"),AND(K145="Alta",O145="Catastrófico"),AND(K145="Muy Alta",O145="Catastrófico")),"Extremo",""))))</f>
        <v>Moderado</v>
      </c>
      <c r="R145" s="157">
        <v>1</v>
      </c>
      <c r="S145" s="158" t="s">
        <v>608</v>
      </c>
      <c r="T145" s="159" t="str">
        <f t="shared" si="186"/>
        <v/>
      </c>
      <c r="U145" s="162"/>
      <c r="V145" s="162"/>
      <c r="W145" s="163" t="str">
        <f t="shared" si="187"/>
        <v/>
      </c>
      <c r="X145" s="162"/>
      <c r="Y145" s="162"/>
      <c r="Z145" s="162"/>
      <c r="AA145" s="142" t="str">
        <f t="shared" si="188"/>
        <v/>
      </c>
      <c r="AB145" s="152" t="str">
        <f t="shared" si="189"/>
        <v/>
      </c>
      <c r="AC145" s="153" t="str">
        <f t="shared" si="190"/>
        <v/>
      </c>
      <c r="AD145" s="152" t="str">
        <f t="shared" si="191"/>
        <v/>
      </c>
      <c r="AE145" s="153" t="str">
        <f t="shared" si="192"/>
        <v/>
      </c>
      <c r="AF145" s="154" t="str">
        <f t="shared" si="193"/>
        <v/>
      </c>
      <c r="AG145" s="155"/>
      <c r="AH145" s="150" t="s">
        <v>605</v>
      </c>
      <c r="AI145" s="148" t="s">
        <v>212</v>
      </c>
      <c r="AJ145" s="149" t="s">
        <v>286</v>
      </c>
      <c r="AK145" s="149" t="s">
        <v>287</v>
      </c>
      <c r="AL145" s="150" t="s">
        <v>607</v>
      </c>
      <c r="AM145" s="95" t="s">
        <v>637</v>
      </c>
      <c r="AN145" s="95" t="s">
        <v>638</v>
      </c>
      <c r="AO145" s="218" t="s">
        <v>630</v>
      </c>
      <c r="AP145" s="95" t="s">
        <v>637</v>
      </c>
      <c r="AQ145" s="95" t="s">
        <v>638</v>
      </c>
      <c r="AR145" s="218" t="s">
        <v>630</v>
      </c>
      <c r="AS145" s="137"/>
      <c r="AT145" s="232" t="s">
        <v>629</v>
      </c>
      <c r="AU145" s="137" t="s">
        <v>630</v>
      </c>
      <c r="AV145" s="137" t="s">
        <v>630</v>
      </c>
      <c r="AW145" s="137" t="s">
        <v>630</v>
      </c>
      <c r="AX145" s="95"/>
    </row>
    <row r="146" spans="1:50" s="147" customFormat="1" ht="151.5" hidden="1" customHeight="1" x14ac:dyDescent="0.25">
      <c r="A146" s="407"/>
      <c r="B146" s="405"/>
      <c r="C146" s="405"/>
      <c r="D146" s="405"/>
      <c r="E146" s="392"/>
      <c r="F146" s="392"/>
      <c r="G146" s="392"/>
      <c r="H146" s="409"/>
      <c r="I146" s="392"/>
      <c r="J146" s="390"/>
      <c r="K146" s="395"/>
      <c r="L146" s="398"/>
      <c r="M146" s="401"/>
      <c r="N146" s="167"/>
      <c r="O146" s="395"/>
      <c r="P146" s="398"/>
      <c r="Q146" s="414"/>
      <c r="R146" s="157">
        <v>2</v>
      </c>
      <c r="S146" s="158"/>
      <c r="T146" s="159" t="str">
        <f t="shared" si="186"/>
        <v/>
      </c>
      <c r="U146" s="162"/>
      <c r="V146" s="162"/>
      <c r="W146" s="163" t="str">
        <f t="shared" si="187"/>
        <v/>
      </c>
      <c r="X146" s="162"/>
      <c r="Y146" s="162"/>
      <c r="Z146" s="162"/>
      <c r="AA146" s="142" t="str">
        <f t="shared" si="188"/>
        <v/>
      </c>
      <c r="AB146" s="152" t="str">
        <f t="shared" si="189"/>
        <v/>
      </c>
      <c r="AC146" s="153" t="str">
        <f t="shared" si="190"/>
        <v/>
      </c>
      <c r="AD146" s="152" t="str">
        <f t="shared" si="191"/>
        <v/>
      </c>
      <c r="AE146" s="153" t="str">
        <f t="shared" si="192"/>
        <v/>
      </c>
      <c r="AF146" s="154" t="str">
        <f t="shared" si="193"/>
        <v/>
      </c>
      <c r="AG146" s="155"/>
      <c r="AH146" s="150"/>
      <c r="AI146" s="148"/>
      <c r="AJ146" s="149"/>
      <c r="AK146" s="149"/>
      <c r="AL146" s="150"/>
      <c r="AM146" s="95"/>
      <c r="AN146" s="95"/>
      <c r="AO146" s="137"/>
      <c r="AP146" s="95"/>
      <c r="AQ146" s="95"/>
      <c r="AR146" s="137"/>
      <c r="AS146" s="95"/>
      <c r="AT146" s="95"/>
      <c r="AU146" s="95"/>
      <c r="AV146" s="95"/>
      <c r="AW146" s="95"/>
      <c r="AX146" s="95"/>
    </row>
    <row r="147" spans="1:50" s="147" customFormat="1" ht="151.5" hidden="1" customHeight="1" x14ac:dyDescent="0.25">
      <c r="A147" s="407"/>
      <c r="B147" s="406"/>
      <c r="C147" s="406"/>
      <c r="D147" s="406"/>
      <c r="E147" s="428"/>
      <c r="F147" s="428"/>
      <c r="G147" s="428"/>
      <c r="H147" s="422"/>
      <c r="I147" s="428"/>
      <c r="J147" s="429"/>
      <c r="K147" s="396"/>
      <c r="L147" s="399"/>
      <c r="M147" s="427"/>
      <c r="N147" s="167"/>
      <c r="O147" s="396"/>
      <c r="P147" s="399"/>
      <c r="Q147" s="415"/>
      <c r="R147" s="157">
        <v>3</v>
      </c>
      <c r="S147" s="158"/>
      <c r="T147" s="159" t="str">
        <f t="shared" si="186"/>
        <v/>
      </c>
      <c r="U147" s="162"/>
      <c r="V147" s="162"/>
      <c r="W147" s="163" t="str">
        <f t="shared" si="187"/>
        <v/>
      </c>
      <c r="X147" s="162"/>
      <c r="Y147" s="162"/>
      <c r="Z147" s="162"/>
      <c r="AA147" s="142" t="str">
        <f t="shared" si="188"/>
        <v/>
      </c>
      <c r="AB147" s="152" t="str">
        <f t="shared" si="189"/>
        <v/>
      </c>
      <c r="AC147" s="153" t="str">
        <f t="shared" si="190"/>
        <v/>
      </c>
      <c r="AD147" s="152" t="str">
        <f t="shared" si="191"/>
        <v/>
      </c>
      <c r="AE147" s="153" t="str">
        <f t="shared" si="192"/>
        <v/>
      </c>
      <c r="AF147" s="154" t="str">
        <f t="shared" si="193"/>
        <v/>
      </c>
      <c r="AG147" s="155"/>
      <c r="AH147" s="150"/>
      <c r="AI147" s="148"/>
      <c r="AJ147" s="149"/>
      <c r="AK147" s="149"/>
      <c r="AL147" s="150"/>
      <c r="AM147" s="95"/>
      <c r="AN147" s="95"/>
      <c r="AO147" s="137"/>
      <c r="AP147" s="95"/>
      <c r="AQ147" s="95"/>
      <c r="AR147" s="137"/>
      <c r="AS147" s="95"/>
      <c r="AT147" s="95"/>
      <c r="AU147" s="95"/>
      <c r="AV147" s="95"/>
      <c r="AW147" s="95"/>
      <c r="AX147" s="95"/>
    </row>
    <row r="148" spans="1:50" s="147" customFormat="1" ht="151.5" hidden="1" customHeight="1" x14ac:dyDescent="0.25">
      <c r="A148" s="407"/>
      <c r="B148" s="404"/>
      <c r="C148" s="416"/>
      <c r="D148" s="416"/>
      <c r="E148" s="391"/>
      <c r="F148" s="391"/>
      <c r="G148" s="391"/>
      <c r="H148" s="408"/>
      <c r="I148" s="391"/>
      <c r="J148" s="389"/>
      <c r="K148" s="394" t="str">
        <f>IF(J148&lt;=0,"",IF(J148&lt;=2,"Muy Baja",IF(J148&lt;=24,"Baja",IF(J148&lt;=500,"Media",IF(J148&lt;=5000,"Alta","Muy Alta")))))</f>
        <v/>
      </c>
      <c r="L148" s="397" t="str">
        <f>IF(K148="","",IF(K148="Muy Baja",0.2,IF(K148="Baja",0.4,IF(K148="Media",0.6,IF(K148="Alta",0.8,IF(K148="Muy Alta",1,))))))</f>
        <v/>
      </c>
      <c r="M148" s="400"/>
      <c r="N148" s="161">
        <f>IF(NOT(ISERROR(MATCH(M148,'Tabla Impacto'!$B$221:$B$223,0))),'Tabla Impacto'!$F$223&amp;"Por favor no seleccionar los criterios de impacto(Afectación Económica o presupuestal y Pérdida Reputacional)",M148)</f>
        <v>0</v>
      </c>
      <c r="O148" s="394" t="str">
        <f>IF(OR(N148='Tabla Impacto'!$C$11,N148='Tabla Impacto'!$D$11),"Leve",IF(OR(N148='Tabla Impacto'!$C$12,N148='Tabla Impacto'!$D$12),"Menor",IF(OR(N148='Tabla Impacto'!$C$13,N148='Tabla Impacto'!$D$13),"Moderado",IF(OR(N148='Tabla Impacto'!$C$14,N148='Tabla Impacto'!$D$14),"Mayor",IF(OR(N148='Tabla Impacto'!$C$15,N148='Tabla Impacto'!$D$15),"Catastrófico","")))))</f>
        <v/>
      </c>
      <c r="P148" s="397" t="str">
        <f>IF(O148="","",IF(O148="Leve",0.2,IF(O148="Menor",0.4,IF(O148="Moderado",0.6,IF(O148="Mayor",0.8,IF(O148="Catastrófico",1,))))))</f>
        <v/>
      </c>
      <c r="Q148" s="413" t="str">
        <f>IF(OR(AND(K148="Muy Baja",O148="Leve"),AND(K148="Muy Baja",O148="Menor"),AND(K148="Baja",O148="Leve")),"Bajo",IF(OR(AND(K148="Muy baja",O148="Moderado"),AND(K148="Baja",O148="Menor"),AND(K148="Baja",O148="Moderado"),AND(K148="Media",O148="Leve"),AND(K148="Media",O148="Menor"),AND(K148="Media",O148="Moderado"),AND(K148="Alta",O148="Leve"),AND(K148="Alta",O148="Menor")),"Moderado",IF(OR(AND(K148="Muy Baja",O148="Mayor"),AND(K148="Baja",O148="Mayor"),AND(K148="Media",O148="Mayor"),AND(K148="Alta",O148="Moderado"),AND(K148="Alta",O148="Mayor"),AND(K148="Muy Alta",O148="Leve"),AND(K148="Muy Alta",O148="Menor"),AND(K148="Muy Alta",O148="Moderado"),AND(K148="Muy Alta",O148="Mayor")),"Alto",IF(OR(AND(K148="Muy Baja",O148="Catastrófico"),AND(K148="Baja",O148="Catastrófico"),AND(K148="Media",O148="Catastrófico"),AND(K148="Alta",O148="Catastrófico"),AND(K148="Muy Alta",O148="Catastrófico")),"Extremo",""))))</f>
        <v/>
      </c>
      <c r="R148" s="157">
        <v>1</v>
      </c>
      <c r="S148" s="158"/>
      <c r="T148" s="159" t="str">
        <f t="shared" si="186"/>
        <v/>
      </c>
      <c r="U148" s="162"/>
      <c r="V148" s="162"/>
      <c r="W148" s="163" t="str">
        <f t="shared" si="187"/>
        <v/>
      </c>
      <c r="X148" s="162"/>
      <c r="Y148" s="162"/>
      <c r="Z148" s="162"/>
      <c r="AA148" s="142" t="str">
        <f t="shared" si="188"/>
        <v/>
      </c>
      <c r="AB148" s="152" t="str">
        <f t="shared" si="189"/>
        <v/>
      </c>
      <c r="AC148" s="153" t="str">
        <f t="shared" si="190"/>
        <v/>
      </c>
      <c r="AD148" s="152" t="str">
        <f t="shared" si="191"/>
        <v/>
      </c>
      <c r="AE148" s="153" t="str">
        <f t="shared" si="192"/>
        <v/>
      </c>
      <c r="AF148" s="154" t="str">
        <f t="shared" si="193"/>
        <v/>
      </c>
      <c r="AG148" s="155"/>
      <c r="AH148" s="150"/>
      <c r="AI148" s="148"/>
      <c r="AJ148" s="149"/>
      <c r="AK148" s="149"/>
      <c r="AL148" s="150"/>
      <c r="AM148" s="95"/>
      <c r="AN148" s="95"/>
      <c r="AO148" s="137"/>
      <c r="AP148" s="95"/>
      <c r="AQ148" s="95"/>
      <c r="AR148" s="137"/>
      <c r="AS148" s="95"/>
      <c r="AT148" s="95"/>
      <c r="AU148" s="95"/>
      <c r="AV148" s="95"/>
      <c r="AW148" s="95"/>
      <c r="AX148" s="95"/>
    </row>
    <row r="149" spans="1:50" s="147" customFormat="1" ht="151.5" hidden="1" customHeight="1" x14ac:dyDescent="0.25">
      <c r="A149" s="407"/>
      <c r="B149" s="405"/>
      <c r="C149" s="407"/>
      <c r="D149" s="407"/>
      <c r="E149" s="392"/>
      <c r="F149" s="392"/>
      <c r="G149" s="392"/>
      <c r="H149" s="409"/>
      <c r="I149" s="392"/>
      <c r="J149" s="390"/>
      <c r="K149" s="395"/>
      <c r="L149" s="398"/>
      <c r="M149" s="401"/>
      <c r="N149" s="167"/>
      <c r="O149" s="395"/>
      <c r="P149" s="398"/>
      <c r="Q149" s="414"/>
      <c r="R149" s="157">
        <v>2</v>
      </c>
      <c r="S149" s="158"/>
      <c r="T149" s="159" t="str">
        <f t="shared" si="186"/>
        <v/>
      </c>
      <c r="U149" s="162"/>
      <c r="V149" s="162"/>
      <c r="W149" s="163" t="str">
        <f t="shared" si="187"/>
        <v/>
      </c>
      <c r="X149" s="162"/>
      <c r="Y149" s="162"/>
      <c r="Z149" s="162"/>
      <c r="AA149" s="142" t="str">
        <f t="shared" si="188"/>
        <v/>
      </c>
      <c r="AB149" s="152" t="str">
        <f t="shared" si="189"/>
        <v/>
      </c>
      <c r="AC149" s="153" t="str">
        <f t="shared" si="190"/>
        <v/>
      </c>
      <c r="AD149" s="152" t="str">
        <f t="shared" si="191"/>
        <v/>
      </c>
      <c r="AE149" s="153" t="str">
        <f t="shared" si="192"/>
        <v/>
      </c>
      <c r="AF149" s="154" t="str">
        <f t="shared" si="193"/>
        <v/>
      </c>
      <c r="AG149" s="155"/>
      <c r="AH149" s="150"/>
      <c r="AI149" s="148"/>
      <c r="AJ149" s="149"/>
      <c r="AK149" s="149"/>
      <c r="AL149" s="150"/>
      <c r="AM149" s="95"/>
      <c r="AN149" s="95"/>
      <c r="AO149" s="137"/>
      <c r="AP149" s="95"/>
      <c r="AQ149" s="95"/>
      <c r="AR149" s="137"/>
      <c r="AS149" s="95"/>
      <c r="AT149" s="95"/>
      <c r="AU149" s="95"/>
      <c r="AV149" s="95"/>
      <c r="AW149" s="95"/>
      <c r="AX149" s="95"/>
    </row>
    <row r="150" spans="1:50" s="147" customFormat="1" ht="151.5" hidden="1" customHeight="1" x14ac:dyDescent="0.25">
      <c r="A150" s="407"/>
      <c r="B150" s="406"/>
      <c r="C150" s="430"/>
      <c r="D150" s="430"/>
      <c r="E150" s="428"/>
      <c r="F150" s="428"/>
      <c r="G150" s="428"/>
      <c r="H150" s="422"/>
      <c r="I150" s="428"/>
      <c r="J150" s="429"/>
      <c r="K150" s="396"/>
      <c r="L150" s="399"/>
      <c r="M150" s="427"/>
      <c r="N150" s="167"/>
      <c r="O150" s="396"/>
      <c r="P150" s="399"/>
      <c r="Q150" s="415"/>
      <c r="R150" s="157">
        <v>3</v>
      </c>
      <c r="S150" s="158"/>
      <c r="T150" s="159" t="str">
        <f t="shared" si="186"/>
        <v/>
      </c>
      <c r="U150" s="162"/>
      <c r="V150" s="162"/>
      <c r="W150" s="163" t="str">
        <f t="shared" si="187"/>
        <v/>
      </c>
      <c r="X150" s="162"/>
      <c r="Y150" s="162"/>
      <c r="Z150" s="162"/>
      <c r="AA150" s="142" t="str">
        <f t="shared" si="188"/>
        <v/>
      </c>
      <c r="AB150" s="152" t="str">
        <f t="shared" si="189"/>
        <v/>
      </c>
      <c r="AC150" s="153" t="str">
        <f t="shared" si="190"/>
        <v/>
      </c>
      <c r="AD150" s="152" t="str">
        <f t="shared" si="191"/>
        <v/>
      </c>
      <c r="AE150" s="153" t="str">
        <f t="shared" si="192"/>
        <v/>
      </c>
      <c r="AF150" s="154" t="str">
        <f t="shared" si="193"/>
        <v/>
      </c>
      <c r="AG150" s="155"/>
      <c r="AH150" s="150"/>
      <c r="AI150" s="148"/>
      <c r="AJ150" s="149"/>
      <c r="AK150" s="149"/>
      <c r="AL150" s="150"/>
      <c r="AM150" s="95"/>
      <c r="AN150" s="95"/>
      <c r="AO150" s="137"/>
      <c r="AP150" s="95"/>
      <c r="AQ150" s="95"/>
      <c r="AR150" s="137"/>
      <c r="AS150" s="95"/>
      <c r="AT150" s="95"/>
      <c r="AU150" s="95"/>
      <c r="AV150" s="95"/>
      <c r="AW150" s="95"/>
      <c r="AX150" s="95"/>
    </row>
    <row r="151" spans="1:50" s="147" customFormat="1" ht="12.75" hidden="1" x14ac:dyDescent="0.25">
      <c r="A151" s="407"/>
      <c r="B151" s="404"/>
      <c r="C151" s="416"/>
      <c r="D151" s="416"/>
      <c r="E151" s="391"/>
      <c r="F151" s="391"/>
      <c r="G151" s="391"/>
      <c r="H151" s="408"/>
      <c r="I151" s="391"/>
      <c r="J151" s="389"/>
      <c r="K151" s="394" t="str">
        <f>IF(J151&lt;=0,"",IF(J151&lt;=2,"Muy Baja",IF(J151&lt;=24,"Baja",IF(J151&lt;=500,"Media",IF(J151&lt;=5000,"Alta","Muy Alta")))))</f>
        <v/>
      </c>
      <c r="L151" s="397" t="str">
        <f>IF(K151="","",IF(K151="Muy Baja",0.2,IF(K151="Baja",0.4,IF(K151="Media",0.6,IF(K151="Alta",0.8,IF(K151="Muy Alta",1,))))))</f>
        <v/>
      </c>
      <c r="M151" s="400"/>
      <c r="N151" s="161">
        <f>IF(NOT(ISERROR(MATCH(M151,'Tabla Impacto'!$B$221:$B$223,0))),'Tabla Impacto'!$F$223&amp;"Por favor no seleccionar los criterios de impacto(Afectación Económica o presupuestal y Pérdida Reputacional)",M151)</f>
        <v>0</v>
      </c>
      <c r="O151" s="394" t="str">
        <f>IF(OR(N151='Tabla Impacto'!$C$11,N151='Tabla Impacto'!$D$11),"Leve",IF(OR(N151='Tabla Impacto'!$C$12,N151='Tabla Impacto'!$D$12),"Menor",IF(OR(N151='Tabla Impacto'!$C$13,N151='Tabla Impacto'!$D$13),"Moderado",IF(OR(N151='Tabla Impacto'!$C$14,N151='Tabla Impacto'!$D$14),"Mayor",IF(OR(N151='Tabla Impacto'!$C$15,N151='Tabla Impacto'!$D$15),"Catastrófico","")))))</f>
        <v/>
      </c>
      <c r="P151" s="397" t="str">
        <f>IF(O151="","",IF(O151="Leve",0.2,IF(O151="Menor",0.4,IF(O151="Moderado",0.6,IF(O151="Mayor",0.8,IF(O151="Catastrófico",1,))))))</f>
        <v/>
      </c>
      <c r="Q151" s="413" t="str">
        <f>IF(OR(AND(K151="Muy Baja",O151="Leve"),AND(K151="Muy Baja",O151="Menor"),AND(K151="Baja",O151="Leve")),"Bajo",IF(OR(AND(K151="Muy baja",O151="Moderado"),AND(K151="Baja",O151="Menor"),AND(K151="Baja",O151="Moderado"),AND(K151="Media",O151="Leve"),AND(K151="Media",O151="Menor"),AND(K151="Media",O151="Moderado"),AND(K151="Alta",O151="Leve"),AND(K151="Alta",O151="Menor")),"Moderado",IF(OR(AND(K151="Muy Baja",O151="Mayor"),AND(K151="Baja",O151="Mayor"),AND(K151="Media",O151="Mayor"),AND(K151="Alta",O151="Moderado"),AND(K151="Alta",O151="Mayor"),AND(K151="Muy Alta",O151="Leve"),AND(K151="Muy Alta",O151="Menor"),AND(K151="Muy Alta",O151="Moderado"),AND(K151="Muy Alta",O151="Mayor")),"Alto",IF(OR(AND(K151="Muy Baja",O151="Catastrófico"),AND(K151="Baja",O151="Catastrófico"),AND(K151="Media",O151="Catastrófico"),AND(K151="Alta",O151="Catastrófico"),AND(K151="Muy Alta",O151="Catastrófico")),"Extremo",""))))</f>
        <v/>
      </c>
      <c r="R151" s="157">
        <v>1</v>
      </c>
      <c r="S151" s="158"/>
      <c r="T151" s="159" t="str">
        <f t="shared" si="186"/>
        <v/>
      </c>
      <c r="U151" s="162"/>
      <c r="V151" s="162"/>
      <c r="W151" s="163" t="str">
        <f t="shared" si="187"/>
        <v/>
      </c>
      <c r="X151" s="162"/>
      <c r="Y151" s="162"/>
      <c r="Z151" s="162"/>
      <c r="AA151" s="142" t="str">
        <f t="shared" si="188"/>
        <v/>
      </c>
      <c r="AB151" s="152" t="str">
        <f t="shared" si="189"/>
        <v/>
      </c>
      <c r="AC151" s="153" t="str">
        <f t="shared" si="190"/>
        <v/>
      </c>
      <c r="AD151" s="152" t="str">
        <f t="shared" si="191"/>
        <v/>
      </c>
      <c r="AE151" s="153" t="str">
        <f t="shared" si="192"/>
        <v/>
      </c>
      <c r="AF151" s="154" t="str">
        <f t="shared" si="193"/>
        <v/>
      </c>
      <c r="AG151" s="155"/>
      <c r="AH151" s="150"/>
      <c r="AI151" s="148"/>
      <c r="AJ151" s="149"/>
      <c r="AK151" s="149"/>
      <c r="AL151" s="150"/>
      <c r="AM151" s="95"/>
      <c r="AN151" s="95"/>
      <c r="AO151" s="137"/>
      <c r="AP151" s="95"/>
      <c r="AQ151" s="95"/>
      <c r="AR151" s="137"/>
      <c r="AS151" s="95"/>
      <c r="AT151" s="95"/>
      <c r="AU151" s="95"/>
      <c r="AV151" s="95"/>
      <c r="AW151" s="95"/>
      <c r="AX151" s="95"/>
    </row>
    <row r="152" spans="1:50" s="147" customFormat="1" ht="12.75" hidden="1" x14ac:dyDescent="0.25">
      <c r="A152" s="407"/>
      <c r="B152" s="405"/>
      <c r="C152" s="407"/>
      <c r="D152" s="407"/>
      <c r="E152" s="392"/>
      <c r="F152" s="392"/>
      <c r="G152" s="392"/>
      <c r="H152" s="409"/>
      <c r="I152" s="392"/>
      <c r="J152" s="390"/>
      <c r="K152" s="395"/>
      <c r="L152" s="398"/>
      <c r="M152" s="401"/>
      <c r="N152" s="167"/>
      <c r="O152" s="395"/>
      <c r="P152" s="398"/>
      <c r="Q152" s="414"/>
      <c r="R152" s="157">
        <v>2</v>
      </c>
      <c r="S152" s="158"/>
      <c r="T152" s="159" t="str">
        <f t="shared" si="186"/>
        <v/>
      </c>
      <c r="U152" s="162"/>
      <c r="V152" s="162"/>
      <c r="W152" s="163" t="str">
        <f t="shared" si="187"/>
        <v/>
      </c>
      <c r="X152" s="162"/>
      <c r="Y152" s="162"/>
      <c r="Z152" s="162"/>
      <c r="AA152" s="142" t="str">
        <f t="shared" si="188"/>
        <v/>
      </c>
      <c r="AB152" s="152" t="str">
        <f t="shared" si="189"/>
        <v/>
      </c>
      <c r="AC152" s="153" t="str">
        <f t="shared" si="190"/>
        <v/>
      </c>
      <c r="AD152" s="152" t="str">
        <f t="shared" si="191"/>
        <v/>
      </c>
      <c r="AE152" s="153" t="str">
        <f t="shared" si="192"/>
        <v/>
      </c>
      <c r="AF152" s="154" t="str">
        <f t="shared" si="193"/>
        <v/>
      </c>
      <c r="AG152" s="155"/>
      <c r="AH152" s="150"/>
      <c r="AI152" s="148"/>
      <c r="AJ152" s="149"/>
      <c r="AK152" s="149"/>
      <c r="AL152" s="150"/>
      <c r="AM152" s="95"/>
      <c r="AN152" s="95"/>
      <c r="AO152" s="137"/>
      <c r="AP152" s="95"/>
      <c r="AQ152" s="95"/>
      <c r="AR152" s="137"/>
      <c r="AS152" s="95"/>
      <c r="AT152" s="95"/>
      <c r="AU152" s="95"/>
      <c r="AV152" s="95"/>
      <c r="AW152" s="95"/>
      <c r="AX152" s="95"/>
    </row>
    <row r="153" spans="1:50" s="147" customFormat="1" ht="12.75" hidden="1" x14ac:dyDescent="0.25">
      <c r="A153" s="430"/>
      <c r="B153" s="406"/>
      <c r="C153" s="430"/>
      <c r="D153" s="430"/>
      <c r="E153" s="428"/>
      <c r="F153" s="428"/>
      <c r="G153" s="428"/>
      <c r="H153" s="422"/>
      <c r="I153" s="428"/>
      <c r="J153" s="429"/>
      <c r="K153" s="396"/>
      <c r="L153" s="399"/>
      <c r="M153" s="427"/>
      <c r="N153" s="167"/>
      <c r="O153" s="396"/>
      <c r="P153" s="399"/>
      <c r="Q153" s="415"/>
      <c r="R153" s="157">
        <v>3</v>
      </c>
      <c r="S153" s="158"/>
      <c r="T153" s="159" t="str">
        <f t="shared" si="186"/>
        <v/>
      </c>
      <c r="U153" s="162"/>
      <c r="V153" s="162"/>
      <c r="W153" s="163" t="str">
        <f t="shared" si="187"/>
        <v/>
      </c>
      <c r="X153" s="162"/>
      <c r="Y153" s="162"/>
      <c r="Z153" s="162"/>
      <c r="AA153" s="142" t="str">
        <f t="shared" si="188"/>
        <v/>
      </c>
      <c r="AB153" s="152" t="str">
        <f t="shared" si="189"/>
        <v/>
      </c>
      <c r="AC153" s="153" t="str">
        <f t="shared" si="190"/>
        <v/>
      </c>
      <c r="AD153" s="152" t="str">
        <f t="shared" si="191"/>
        <v/>
      </c>
      <c r="AE153" s="153" t="str">
        <f t="shared" si="192"/>
        <v/>
      </c>
      <c r="AF153" s="154" t="str">
        <f t="shared" si="193"/>
        <v/>
      </c>
      <c r="AG153" s="155"/>
      <c r="AH153" s="150"/>
      <c r="AI153" s="148"/>
      <c r="AJ153" s="149"/>
      <c r="AK153" s="149"/>
      <c r="AL153" s="150"/>
      <c r="AM153" s="95"/>
      <c r="AN153" s="95"/>
      <c r="AO153" s="137"/>
      <c r="AP153" s="95"/>
      <c r="AQ153" s="95"/>
      <c r="AR153" s="137"/>
      <c r="AS153" s="95"/>
      <c r="AT153" s="95"/>
      <c r="AU153" s="95"/>
      <c r="AV153" s="95"/>
      <c r="AW153" s="95"/>
      <c r="AX153" s="95"/>
    </row>
    <row r="154" spans="1:50" x14ac:dyDescent="0.25">
      <c r="AO154" s="233">
        <f>AVERAGE(AO7:AO145)</f>
        <v>0.9882142857142856</v>
      </c>
      <c r="AR154" s="233">
        <f>AVERAGE(AR7:AR145)</f>
        <v>0.95141176470588207</v>
      </c>
    </row>
    <row r="155" spans="1:50" x14ac:dyDescent="0.25">
      <c r="A155" s="2"/>
      <c r="B155" s="2"/>
      <c r="C155" s="2"/>
      <c r="D155" s="2"/>
      <c r="E155" s="19" t="s">
        <v>349</v>
      </c>
      <c r="F155" s="2"/>
      <c r="G155" s="2"/>
    </row>
  </sheetData>
  <autoFilter ref="A6:CO153" xr:uid="{00000000-0009-0000-0000-000002000000}">
    <filterColumn colId="33">
      <customFilters>
        <customFilter operator="notEqual" val=" "/>
      </customFilters>
    </filterColumn>
  </autoFilter>
  <dataConsolidate/>
  <mergeCells count="830">
    <mergeCell ref="B139:B141"/>
    <mergeCell ref="A139:A141"/>
    <mergeCell ref="O100:O102"/>
    <mergeCell ref="P100:P102"/>
    <mergeCell ref="Q100:Q102"/>
    <mergeCell ref="J139:J141"/>
    <mergeCell ref="I139:I141"/>
    <mergeCell ref="H139:H141"/>
    <mergeCell ref="G139:G141"/>
    <mergeCell ref="F139:F141"/>
    <mergeCell ref="E139:E141"/>
    <mergeCell ref="B100:B102"/>
    <mergeCell ref="C100:C102"/>
    <mergeCell ref="D100:D102"/>
    <mergeCell ref="E100:E102"/>
    <mergeCell ref="F100:F102"/>
    <mergeCell ref="G100:G102"/>
    <mergeCell ref="H100:H102"/>
    <mergeCell ref="J127:J129"/>
    <mergeCell ref="K127:K129"/>
    <mergeCell ref="L127:L129"/>
    <mergeCell ref="C133:C135"/>
    <mergeCell ref="D133:D135"/>
    <mergeCell ref="E133:E135"/>
    <mergeCell ref="AM4:AX4"/>
    <mergeCell ref="AM5:AO5"/>
    <mergeCell ref="AP5:AR5"/>
    <mergeCell ref="AS5:AU5"/>
    <mergeCell ref="AV5:AW5"/>
    <mergeCell ref="AX5:AX6"/>
    <mergeCell ref="K139:K141"/>
    <mergeCell ref="L139:L141"/>
    <mergeCell ref="O139:O141"/>
    <mergeCell ref="P139:P141"/>
    <mergeCell ref="Q139:Q141"/>
    <mergeCell ref="O133:O135"/>
    <mergeCell ref="P133:P135"/>
    <mergeCell ref="Q133:Q135"/>
    <mergeCell ref="Q136:Q138"/>
    <mergeCell ref="O136:O138"/>
    <mergeCell ref="P136:P138"/>
    <mergeCell ref="M127:M129"/>
    <mergeCell ref="O127:O129"/>
    <mergeCell ref="P127:P129"/>
    <mergeCell ref="Q127:Q129"/>
    <mergeCell ref="Q109:Q111"/>
    <mergeCell ref="O112:O114"/>
    <mergeCell ref="P112:P114"/>
    <mergeCell ref="K148:K150"/>
    <mergeCell ref="L148:L150"/>
    <mergeCell ref="M148:M150"/>
    <mergeCell ref="O148:O150"/>
    <mergeCell ref="P148:P150"/>
    <mergeCell ref="K145:K147"/>
    <mergeCell ref="L145:L147"/>
    <mergeCell ref="M145:M147"/>
    <mergeCell ref="O145:O147"/>
    <mergeCell ref="P145:P147"/>
    <mergeCell ref="Q148:Q150"/>
    <mergeCell ref="A151:A153"/>
    <mergeCell ref="B151:B153"/>
    <mergeCell ref="C151:C153"/>
    <mergeCell ref="D151:D153"/>
    <mergeCell ref="E151:E153"/>
    <mergeCell ref="F151:F153"/>
    <mergeCell ref="G151:G153"/>
    <mergeCell ref="H151:H153"/>
    <mergeCell ref="I151:I153"/>
    <mergeCell ref="J151:J153"/>
    <mergeCell ref="K151:K153"/>
    <mergeCell ref="L151:L153"/>
    <mergeCell ref="M151:M153"/>
    <mergeCell ref="O151:O153"/>
    <mergeCell ref="P151:P153"/>
    <mergeCell ref="Q151:Q153"/>
    <mergeCell ref="A148:A150"/>
    <mergeCell ref="B148:B150"/>
    <mergeCell ref="C148:C150"/>
    <mergeCell ref="D148:D150"/>
    <mergeCell ref="E148:E150"/>
    <mergeCell ref="F148:F150"/>
    <mergeCell ref="G148:G150"/>
    <mergeCell ref="H148:H150"/>
    <mergeCell ref="I148:I150"/>
    <mergeCell ref="J142:J144"/>
    <mergeCell ref="C142:C144"/>
    <mergeCell ref="D142:D144"/>
    <mergeCell ref="E142:E144"/>
    <mergeCell ref="F142:F144"/>
    <mergeCell ref="G142:G144"/>
    <mergeCell ref="H142:H144"/>
    <mergeCell ref="I142:I144"/>
    <mergeCell ref="J148:J150"/>
    <mergeCell ref="J145:J147"/>
    <mergeCell ref="Q145:Q147"/>
    <mergeCell ref="A142:A144"/>
    <mergeCell ref="B142:B144"/>
    <mergeCell ref="A145:A147"/>
    <mergeCell ref="B145:B147"/>
    <mergeCell ref="C145:C147"/>
    <mergeCell ref="D145:D147"/>
    <mergeCell ref="E145:E147"/>
    <mergeCell ref="F145:F147"/>
    <mergeCell ref="G145:G147"/>
    <mergeCell ref="H145:H147"/>
    <mergeCell ref="I145:I147"/>
    <mergeCell ref="K142:K144"/>
    <mergeCell ref="L142:L144"/>
    <mergeCell ref="M142:M144"/>
    <mergeCell ref="O142:O144"/>
    <mergeCell ref="P142:P144"/>
    <mergeCell ref="Q142:Q144"/>
    <mergeCell ref="K133:K135"/>
    <mergeCell ref="M139:M141"/>
    <mergeCell ref="D139:D141"/>
    <mergeCell ref="C139:C141"/>
    <mergeCell ref="L133:L135"/>
    <mergeCell ref="M133:M135"/>
    <mergeCell ref="J136:J138"/>
    <mergeCell ref="K136:K138"/>
    <mergeCell ref="L136:L138"/>
    <mergeCell ref="M136:M138"/>
    <mergeCell ref="I130:I132"/>
    <mergeCell ref="A133:A135"/>
    <mergeCell ref="B133:B135"/>
    <mergeCell ref="J133:J135"/>
    <mergeCell ref="A136:A138"/>
    <mergeCell ref="B136:B138"/>
    <mergeCell ref="C136:C138"/>
    <mergeCell ref="D136:D138"/>
    <mergeCell ref="E136:E138"/>
    <mergeCell ref="F136:F138"/>
    <mergeCell ref="G136:G138"/>
    <mergeCell ref="H136:H138"/>
    <mergeCell ref="I136:I138"/>
    <mergeCell ref="F133:F135"/>
    <mergeCell ref="G133:G135"/>
    <mergeCell ref="H133:H135"/>
    <mergeCell ref="I133:I135"/>
    <mergeCell ref="J130:J132"/>
    <mergeCell ref="K130:K132"/>
    <mergeCell ref="L130:L132"/>
    <mergeCell ref="M130:M132"/>
    <mergeCell ref="O130:O132"/>
    <mergeCell ref="P130:P132"/>
    <mergeCell ref="Q130:Q132"/>
    <mergeCell ref="A127:A129"/>
    <mergeCell ref="B127:B129"/>
    <mergeCell ref="C127:C129"/>
    <mergeCell ref="D127:D129"/>
    <mergeCell ref="E127:E129"/>
    <mergeCell ref="F127:F129"/>
    <mergeCell ref="G127:G129"/>
    <mergeCell ref="H127:H129"/>
    <mergeCell ref="I127:I129"/>
    <mergeCell ref="A130:A132"/>
    <mergeCell ref="B130:B132"/>
    <mergeCell ref="C130:C132"/>
    <mergeCell ref="D130:D132"/>
    <mergeCell ref="E130:E132"/>
    <mergeCell ref="F130:F132"/>
    <mergeCell ref="G130:G132"/>
    <mergeCell ref="H130:H132"/>
    <mergeCell ref="Q112:Q114"/>
    <mergeCell ref="O115:O117"/>
    <mergeCell ref="P115:P117"/>
    <mergeCell ref="Q115:Q117"/>
    <mergeCell ref="K109:K111"/>
    <mergeCell ref="L109:L111"/>
    <mergeCell ref="M109:M111"/>
    <mergeCell ref="O109:O111"/>
    <mergeCell ref="P109:P111"/>
    <mergeCell ref="M115:M117"/>
    <mergeCell ref="L115:L117"/>
    <mergeCell ref="K115:K117"/>
    <mergeCell ref="F109:F111"/>
    <mergeCell ref="G109:G111"/>
    <mergeCell ref="H109:H111"/>
    <mergeCell ref="I109:I111"/>
    <mergeCell ref="J109:J111"/>
    <mergeCell ref="A109:A111"/>
    <mergeCell ref="B109:B111"/>
    <mergeCell ref="C109:C111"/>
    <mergeCell ref="D109:D111"/>
    <mergeCell ref="E109:E111"/>
    <mergeCell ref="Q121:Q123"/>
    <mergeCell ref="P121:P123"/>
    <mergeCell ref="O121:O123"/>
    <mergeCell ref="M121:M123"/>
    <mergeCell ref="M118:M120"/>
    <mergeCell ref="O118:O120"/>
    <mergeCell ref="P118:P120"/>
    <mergeCell ref="Q118:Q120"/>
    <mergeCell ref="H118:H120"/>
    <mergeCell ref="I118:I120"/>
    <mergeCell ref="J118:J120"/>
    <mergeCell ref="K118:K120"/>
    <mergeCell ref="L118:L120"/>
    <mergeCell ref="K121:K123"/>
    <mergeCell ref="L121:L123"/>
    <mergeCell ref="H121:H123"/>
    <mergeCell ref="I121:I123"/>
    <mergeCell ref="J121:J123"/>
    <mergeCell ref="M106:M108"/>
    <mergeCell ref="O106:O108"/>
    <mergeCell ref="P106:P108"/>
    <mergeCell ref="Q106:Q108"/>
    <mergeCell ref="L103:L105"/>
    <mergeCell ref="M103:M105"/>
    <mergeCell ref="O103:O105"/>
    <mergeCell ref="P103:P105"/>
    <mergeCell ref="Q103:Q105"/>
    <mergeCell ref="F97:F99"/>
    <mergeCell ref="K100:K102"/>
    <mergeCell ref="L100:L102"/>
    <mergeCell ref="N100:N102"/>
    <mergeCell ref="M100:M102"/>
    <mergeCell ref="L97:L99"/>
    <mergeCell ref="M97:M99"/>
    <mergeCell ref="B103:B105"/>
    <mergeCell ref="C103:C105"/>
    <mergeCell ref="D103:D105"/>
    <mergeCell ref="E103:E105"/>
    <mergeCell ref="F103:F105"/>
    <mergeCell ref="G103:G105"/>
    <mergeCell ref="H103:H105"/>
    <mergeCell ref="I103:I105"/>
    <mergeCell ref="J103:J105"/>
    <mergeCell ref="K103:K105"/>
    <mergeCell ref="I100:I102"/>
    <mergeCell ref="J100:J102"/>
    <mergeCell ref="B94:B96"/>
    <mergeCell ref="K94:K96"/>
    <mergeCell ref="J94:J96"/>
    <mergeCell ref="I94:I96"/>
    <mergeCell ref="H94:H96"/>
    <mergeCell ref="G94:G96"/>
    <mergeCell ref="O97:O99"/>
    <mergeCell ref="P97:P99"/>
    <mergeCell ref="Q97:Q99"/>
    <mergeCell ref="G97:G99"/>
    <mergeCell ref="H97:H99"/>
    <mergeCell ref="I97:I99"/>
    <mergeCell ref="J97:J99"/>
    <mergeCell ref="K97:K99"/>
    <mergeCell ref="F94:F96"/>
    <mergeCell ref="Q94:Q96"/>
    <mergeCell ref="P94:P96"/>
    <mergeCell ref="O94:O96"/>
    <mergeCell ref="M94:M96"/>
    <mergeCell ref="L94:L96"/>
    <mergeCell ref="B97:B99"/>
    <mergeCell ref="C97:C99"/>
    <mergeCell ref="D97:D99"/>
    <mergeCell ref="E97:E99"/>
    <mergeCell ref="Q91:Q93"/>
    <mergeCell ref="G91:G93"/>
    <mergeCell ref="H91:H93"/>
    <mergeCell ref="I91:I93"/>
    <mergeCell ref="J91:J93"/>
    <mergeCell ref="K91:K93"/>
    <mergeCell ref="E94:E96"/>
    <mergeCell ref="D94:D96"/>
    <mergeCell ref="C94:C96"/>
    <mergeCell ref="B91:B93"/>
    <mergeCell ref="C91:C93"/>
    <mergeCell ref="D91:D93"/>
    <mergeCell ref="E91:E93"/>
    <mergeCell ref="F91:F93"/>
    <mergeCell ref="L88:L90"/>
    <mergeCell ref="M88:M90"/>
    <mergeCell ref="O88:O90"/>
    <mergeCell ref="P88:P90"/>
    <mergeCell ref="L91:L93"/>
    <mergeCell ref="M91:M93"/>
    <mergeCell ref="O91:O93"/>
    <mergeCell ref="P91:P93"/>
    <mergeCell ref="Q88:Q90"/>
    <mergeCell ref="G88:G90"/>
    <mergeCell ref="H88:H90"/>
    <mergeCell ref="I88:I90"/>
    <mergeCell ref="J88:J90"/>
    <mergeCell ref="K88:K90"/>
    <mergeCell ref="B88:B90"/>
    <mergeCell ref="C88:C90"/>
    <mergeCell ref="D88:D90"/>
    <mergeCell ref="E88:E90"/>
    <mergeCell ref="F88:F90"/>
    <mergeCell ref="F82:F84"/>
    <mergeCell ref="E82:E84"/>
    <mergeCell ref="D82:D84"/>
    <mergeCell ref="C82:C84"/>
    <mergeCell ref="B82:B84"/>
    <mergeCell ref="B85:B87"/>
    <mergeCell ref="C85:C87"/>
    <mergeCell ref="D85:D87"/>
    <mergeCell ref="E85:E87"/>
    <mergeCell ref="F85:F87"/>
    <mergeCell ref="P79:P81"/>
    <mergeCell ref="Q79:Q81"/>
    <mergeCell ref="G79:G81"/>
    <mergeCell ref="H79:H81"/>
    <mergeCell ref="I79:I81"/>
    <mergeCell ref="J79:J81"/>
    <mergeCell ref="K79:K81"/>
    <mergeCell ref="K82:K84"/>
    <mergeCell ref="J82:J84"/>
    <mergeCell ref="I82:I84"/>
    <mergeCell ref="H82:H84"/>
    <mergeCell ref="G82:G84"/>
    <mergeCell ref="Q82:Q84"/>
    <mergeCell ref="P82:P84"/>
    <mergeCell ref="O82:O84"/>
    <mergeCell ref="M82:M84"/>
    <mergeCell ref="L82:L84"/>
    <mergeCell ref="B79:B81"/>
    <mergeCell ref="C79:C81"/>
    <mergeCell ref="D79:D81"/>
    <mergeCell ref="E79:E81"/>
    <mergeCell ref="F79:F81"/>
    <mergeCell ref="Q73:Q75"/>
    <mergeCell ref="B76:B78"/>
    <mergeCell ref="C76:C78"/>
    <mergeCell ref="D76:D78"/>
    <mergeCell ref="E76:E78"/>
    <mergeCell ref="F76:F78"/>
    <mergeCell ref="G76:G78"/>
    <mergeCell ref="H76:H78"/>
    <mergeCell ref="I76:I78"/>
    <mergeCell ref="J76:J78"/>
    <mergeCell ref="K76:K78"/>
    <mergeCell ref="L76:L78"/>
    <mergeCell ref="M76:M78"/>
    <mergeCell ref="O76:O78"/>
    <mergeCell ref="P76:P78"/>
    <mergeCell ref="Q76:Q78"/>
    <mergeCell ref="L79:L81"/>
    <mergeCell ref="M79:M81"/>
    <mergeCell ref="O79:O81"/>
    <mergeCell ref="P67:P69"/>
    <mergeCell ref="Q67:Q69"/>
    <mergeCell ref="B73:B75"/>
    <mergeCell ref="C73:C75"/>
    <mergeCell ref="D73:D75"/>
    <mergeCell ref="E73:E75"/>
    <mergeCell ref="F73:F75"/>
    <mergeCell ref="G73:G75"/>
    <mergeCell ref="H73:H75"/>
    <mergeCell ref="I73:I75"/>
    <mergeCell ref="J73:J75"/>
    <mergeCell ref="K73:K75"/>
    <mergeCell ref="L73:L75"/>
    <mergeCell ref="M73:M75"/>
    <mergeCell ref="O73:O75"/>
    <mergeCell ref="P73:P75"/>
    <mergeCell ref="I67:I69"/>
    <mergeCell ref="J67:J69"/>
    <mergeCell ref="K67:K69"/>
    <mergeCell ref="L67:L69"/>
    <mergeCell ref="M67:M69"/>
    <mergeCell ref="D67:D69"/>
    <mergeCell ref="E67:E69"/>
    <mergeCell ref="F67:F69"/>
    <mergeCell ref="K61:K63"/>
    <mergeCell ref="L61:L63"/>
    <mergeCell ref="M61:M63"/>
    <mergeCell ref="D61:D63"/>
    <mergeCell ref="E61:E63"/>
    <mergeCell ref="F61:F63"/>
    <mergeCell ref="G61:G63"/>
    <mergeCell ref="H61:H63"/>
    <mergeCell ref="G67:G69"/>
    <mergeCell ref="H67:H69"/>
    <mergeCell ref="I64:I66"/>
    <mergeCell ref="J64:J66"/>
    <mergeCell ref="K64:K66"/>
    <mergeCell ref="L64:L66"/>
    <mergeCell ref="M64:M66"/>
    <mergeCell ref="D64:D66"/>
    <mergeCell ref="E64:E66"/>
    <mergeCell ref="F64:F66"/>
    <mergeCell ref="G64:G66"/>
    <mergeCell ref="H64:H66"/>
    <mergeCell ref="A67:A69"/>
    <mergeCell ref="A64:A66"/>
    <mergeCell ref="A61:A63"/>
    <mergeCell ref="B61:B63"/>
    <mergeCell ref="C61:C63"/>
    <mergeCell ref="B64:B66"/>
    <mergeCell ref="C64:C66"/>
    <mergeCell ref="B67:B69"/>
    <mergeCell ref="C67:C69"/>
    <mergeCell ref="A88:A90"/>
    <mergeCell ref="A82:A84"/>
    <mergeCell ref="A79:A81"/>
    <mergeCell ref="A76:A78"/>
    <mergeCell ref="A73:A75"/>
    <mergeCell ref="A103:A105"/>
    <mergeCell ref="A97:A99"/>
    <mergeCell ref="A94:A96"/>
    <mergeCell ref="A91:A93"/>
    <mergeCell ref="A85:A87"/>
    <mergeCell ref="A100:A102"/>
    <mergeCell ref="M124:M126"/>
    <mergeCell ref="O124:O126"/>
    <mergeCell ref="P124:P126"/>
    <mergeCell ref="Q124:Q126"/>
    <mergeCell ref="A106:A108"/>
    <mergeCell ref="B106:B108"/>
    <mergeCell ref="C106:C108"/>
    <mergeCell ref="D106:D108"/>
    <mergeCell ref="E106:E108"/>
    <mergeCell ref="F106:F108"/>
    <mergeCell ref="G106:G108"/>
    <mergeCell ref="H106:H108"/>
    <mergeCell ref="I106:I108"/>
    <mergeCell ref="J106:J108"/>
    <mergeCell ref="K106:K108"/>
    <mergeCell ref="L106:L108"/>
    <mergeCell ref="H124:H126"/>
    <mergeCell ref="I124:I126"/>
    <mergeCell ref="J124:J126"/>
    <mergeCell ref="K124:K126"/>
    <mergeCell ref="L124:L126"/>
    <mergeCell ref="A124:A126"/>
    <mergeCell ref="B124:B126"/>
    <mergeCell ref="C124:C126"/>
    <mergeCell ref="D124:D126"/>
    <mergeCell ref="E124:E126"/>
    <mergeCell ref="F124:F126"/>
    <mergeCell ref="G124:G126"/>
    <mergeCell ref="A118:A120"/>
    <mergeCell ref="B118:B120"/>
    <mergeCell ref="C118:C120"/>
    <mergeCell ref="D118:D120"/>
    <mergeCell ref="E118:E120"/>
    <mergeCell ref="F118:F120"/>
    <mergeCell ref="G118:G120"/>
    <mergeCell ref="F121:F123"/>
    <mergeCell ref="G121:G123"/>
    <mergeCell ref="A121:A123"/>
    <mergeCell ref="B121:B123"/>
    <mergeCell ref="C121:C123"/>
    <mergeCell ref="D121:D123"/>
    <mergeCell ref="E121:E123"/>
    <mergeCell ref="C115:C117"/>
    <mergeCell ref="B115:B117"/>
    <mergeCell ref="A115:A117"/>
    <mergeCell ref="A112:A114"/>
    <mergeCell ref="B112:B114"/>
    <mergeCell ref="C112:C114"/>
    <mergeCell ref="H115:H117"/>
    <mergeCell ref="G115:G117"/>
    <mergeCell ref="F115:F117"/>
    <mergeCell ref="E115:E117"/>
    <mergeCell ref="D115:D117"/>
    <mergeCell ref="D112:D114"/>
    <mergeCell ref="E112:E114"/>
    <mergeCell ref="F112:F114"/>
    <mergeCell ref="G112:G114"/>
    <mergeCell ref="H112:H114"/>
    <mergeCell ref="J115:J117"/>
    <mergeCell ref="I115:I117"/>
    <mergeCell ref="O58:O60"/>
    <mergeCell ref="P58:P60"/>
    <mergeCell ref="Q58:Q60"/>
    <mergeCell ref="O61:O63"/>
    <mergeCell ref="P61:P63"/>
    <mergeCell ref="Q61:Q63"/>
    <mergeCell ref="O64:O66"/>
    <mergeCell ref="P64:P66"/>
    <mergeCell ref="Q64:Q66"/>
    <mergeCell ref="O67:O69"/>
    <mergeCell ref="I58:I60"/>
    <mergeCell ref="J58:J60"/>
    <mergeCell ref="K58:K60"/>
    <mergeCell ref="L58:L60"/>
    <mergeCell ref="M58:M60"/>
    <mergeCell ref="I112:I114"/>
    <mergeCell ref="J112:J114"/>
    <mergeCell ref="K112:K114"/>
    <mergeCell ref="L112:L114"/>
    <mergeCell ref="M112:M114"/>
    <mergeCell ref="I61:I63"/>
    <mergeCell ref="J61:J63"/>
    <mergeCell ref="C55:C57"/>
    <mergeCell ref="B55:B57"/>
    <mergeCell ref="A55:A57"/>
    <mergeCell ref="A58:A60"/>
    <mergeCell ref="B58:B60"/>
    <mergeCell ref="C58:C60"/>
    <mergeCell ref="H55:H57"/>
    <mergeCell ref="G55:G57"/>
    <mergeCell ref="F55:F57"/>
    <mergeCell ref="E55:E57"/>
    <mergeCell ref="D55:D57"/>
    <mergeCell ref="I55:I57"/>
    <mergeCell ref="P52:P54"/>
    <mergeCell ref="Q52:Q54"/>
    <mergeCell ref="Q55:Q57"/>
    <mergeCell ref="P55:P57"/>
    <mergeCell ref="O55:O57"/>
    <mergeCell ref="D58:D60"/>
    <mergeCell ref="E58:E60"/>
    <mergeCell ref="F58:F60"/>
    <mergeCell ref="G58:G60"/>
    <mergeCell ref="H58:H60"/>
    <mergeCell ref="J52:J54"/>
    <mergeCell ref="K52:K54"/>
    <mergeCell ref="L52:L54"/>
    <mergeCell ref="M52:M54"/>
    <mergeCell ref="O52:O54"/>
    <mergeCell ref="M55:M57"/>
    <mergeCell ref="L55:L57"/>
    <mergeCell ref="K55:K57"/>
    <mergeCell ref="J55:J57"/>
    <mergeCell ref="J49:J51"/>
    <mergeCell ref="K49:K51"/>
    <mergeCell ref="L49:L51"/>
    <mergeCell ref="M49:M51"/>
    <mergeCell ref="O49:O51"/>
    <mergeCell ref="P49:P51"/>
    <mergeCell ref="Q49:Q51"/>
    <mergeCell ref="A46:A48"/>
    <mergeCell ref="A52:A54"/>
    <mergeCell ref="B52:B54"/>
    <mergeCell ref="C52:C54"/>
    <mergeCell ref="D52:D54"/>
    <mergeCell ref="E52:E54"/>
    <mergeCell ref="F52:F54"/>
    <mergeCell ref="G52:G54"/>
    <mergeCell ref="H52:H54"/>
    <mergeCell ref="I52:I54"/>
    <mergeCell ref="B49:B51"/>
    <mergeCell ref="A49:A51"/>
    <mergeCell ref="C49:C51"/>
    <mergeCell ref="D49:D51"/>
    <mergeCell ref="E49:E51"/>
    <mergeCell ref="F49:F51"/>
    <mergeCell ref="G49:G51"/>
    <mergeCell ref="H49:H51"/>
    <mergeCell ref="I49:I51"/>
    <mergeCell ref="B46:B48"/>
    <mergeCell ref="C46:C48"/>
    <mergeCell ref="D46:D48"/>
    <mergeCell ref="E46:E48"/>
    <mergeCell ref="F46:F48"/>
    <mergeCell ref="G46:G48"/>
    <mergeCell ref="H46:H48"/>
    <mergeCell ref="I46:I48"/>
    <mergeCell ref="J43:J45"/>
    <mergeCell ref="K43:K45"/>
    <mergeCell ref="L43:L45"/>
    <mergeCell ref="M43:M45"/>
    <mergeCell ref="O43:O45"/>
    <mergeCell ref="P43:P45"/>
    <mergeCell ref="Q43:Q45"/>
    <mergeCell ref="J46:J48"/>
    <mergeCell ref="K46:K48"/>
    <mergeCell ref="L46:L48"/>
    <mergeCell ref="M46:M48"/>
    <mergeCell ref="O46:O48"/>
    <mergeCell ref="P46:P48"/>
    <mergeCell ref="Q46:Q48"/>
    <mergeCell ref="A43:A45"/>
    <mergeCell ref="B43:B45"/>
    <mergeCell ref="C43:C45"/>
    <mergeCell ref="D43:D45"/>
    <mergeCell ref="E43:E45"/>
    <mergeCell ref="F43:F45"/>
    <mergeCell ref="G43:G45"/>
    <mergeCell ref="H43:H45"/>
    <mergeCell ref="I43:I45"/>
    <mergeCell ref="Q40:Q42"/>
    <mergeCell ref="K40:K42"/>
    <mergeCell ref="L40:L42"/>
    <mergeCell ref="M40:M42"/>
    <mergeCell ref="O40:O42"/>
    <mergeCell ref="P40:P42"/>
    <mergeCell ref="F40:F42"/>
    <mergeCell ref="G40:G42"/>
    <mergeCell ref="H40:H42"/>
    <mergeCell ref="I40:I42"/>
    <mergeCell ref="J40:J42"/>
    <mergeCell ref="A40:A42"/>
    <mergeCell ref="B40:B42"/>
    <mergeCell ref="C40:C42"/>
    <mergeCell ref="D40:D42"/>
    <mergeCell ref="E40:E42"/>
    <mergeCell ref="G37:G39"/>
    <mergeCell ref="F37:F39"/>
    <mergeCell ref="E37:E39"/>
    <mergeCell ref="D37:D39"/>
    <mergeCell ref="C37:C39"/>
    <mergeCell ref="A37:A39"/>
    <mergeCell ref="B37:B39"/>
    <mergeCell ref="Q34:Q36"/>
    <mergeCell ref="Q37:Q39"/>
    <mergeCell ref="P37:P39"/>
    <mergeCell ref="O37:O39"/>
    <mergeCell ref="M37:M39"/>
    <mergeCell ref="K34:K36"/>
    <mergeCell ref="L34:L36"/>
    <mergeCell ref="M34:M36"/>
    <mergeCell ref="O34:O36"/>
    <mergeCell ref="P34:P36"/>
    <mergeCell ref="C34:C36"/>
    <mergeCell ref="D34:D36"/>
    <mergeCell ref="E34:E36"/>
    <mergeCell ref="L37:L39"/>
    <mergeCell ref="K37:K39"/>
    <mergeCell ref="J37:J39"/>
    <mergeCell ref="I37:I39"/>
    <mergeCell ref="H37:H39"/>
    <mergeCell ref="A34:A36"/>
    <mergeCell ref="B34:B36"/>
    <mergeCell ref="F31:F33"/>
    <mergeCell ref="E31:E33"/>
    <mergeCell ref="D31:D33"/>
    <mergeCell ref="F34:F36"/>
    <mergeCell ref="G34:G36"/>
    <mergeCell ref="H34:H36"/>
    <mergeCell ref="I31:I33"/>
    <mergeCell ref="I34:I36"/>
    <mergeCell ref="J34:J36"/>
    <mergeCell ref="P31:P33"/>
    <mergeCell ref="O31:O33"/>
    <mergeCell ref="Q31:Q33"/>
    <mergeCell ref="C31:C33"/>
    <mergeCell ref="B31:B33"/>
    <mergeCell ref="A31:A33"/>
    <mergeCell ref="J28:J30"/>
    <mergeCell ref="K28:K30"/>
    <mergeCell ref="L28:L30"/>
    <mergeCell ref="M28:M30"/>
    <mergeCell ref="O28:O30"/>
    <mergeCell ref="M31:M33"/>
    <mergeCell ref="L31:L33"/>
    <mergeCell ref="K31:K33"/>
    <mergeCell ref="J31:J33"/>
    <mergeCell ref="A28:A30"/>
    <mergeCell ref="B28:B30"/>
    <mergeCell ref="C28:C30"/>
    <mergeCell ref="D28:D30"/>
    <mergeCell ref="E28:E30"/>
    <mergeCell ref="F28:F30"/>
    <mergeCell ref="G28:G30"/>
    <mergeCell ref="H31:H33"/>
    <mergeCell ref="G31:G33"/>
    <mergeCell ref="J22:J24"/>
    <mergeCell ref="K22:K24"/>
    <mergeCell ref="L22:L24"/>
    <mergeCell ref="M22:M24"/>
    <mergeCell ref="O22:O24"/>
    <mergeCell ref="P22:P24"/>
    <mergeCell ref="P28:P30"/>
    <mergeCell ref="H22:H24"/>
    <mergeCell ref="Q28:Q30"/>
    <mergeCell ref="B22:B24"/>
    <mergeCell ref="C22:C24"/>
    <mergeCell ref="D22:D24"/>
    <mergeCell ref="E22:E24"/>
    <mergeCell ref="F22:F24"/>
    <mergeCell ref="G22:G24"/>
    <mergeCell ref="H28:H30"/>
    <mergeCell ref="I28:I30"/>
    <mergeCell ref="I22:I24"/>
    <mergeCell ref="F19:F21"/>
    <mergeCell ref="G19:G21"/>
    <mergeCell ref="H19:H21"/>
    <mergeCell ref="K19:K21"/>
    <mergeCell ref="L19:L21"/>
    <mergeCell ref="I19:I21"/>
    <mergeCell ref="Q22:Q24"/>
    <mergeCell ref="A25:A27"/>
    <mergeCell ref="B25:B27"/>
    <mergeCell ref="C25:C27"/>
    <mergeCell ref="D25:D27"/>
    <mergeCell ref="E25:E27"/>
    <mergeCell ref="F25:F27"/>
    <mergeCell ref="G25:G27"/>
    <mergeCell ref="H25:H27"/>
    <mergeCell ref="I25:I27"/>
    <mergeCell ref="J25:J27"/>
    <mergeCell ref="K25:K27"/>
    <mergeCell ref="L25:L27"/>
    <mergeCell ref="M25:M27"/>
    <mergeCell ref="O25:O27"/>
    <mergeCell ref="P25:P27"/>
    <mergeCell ref="Q25:Q27"/>
    <mergeCell ref="A22:A24"/>
    <mergeCell ref="B16:B18"/>
    <mergeCell ref="C16:C18"/>
    <mergeCell ref="D16:D18"/>
    <mergeCell ref="E16:E18"/>
    <mergeCell ref="F16:F18"/>
    <mergeCell ref="M19:M21"/>
    <mergeCell ref="O19:O21"/>
    <mergeCell ref="P19:P21"/>
    <mergeCell ref="Q19:Q21"/>
    <mergeCell ref="J16:J18"/>
    <mergeCell ref="K16:K18"/>
    <mergeCell ref="L16:L18"/>
    <mergeCell ref="M16:M18"/>
    <mergeCell ref="O16:O18"/>
    <mergeCell ref="P16:P18"/>
    <mergeCell ref="Q16:Q18"/>
    <mergeCell ref="J19:J21"/>
    <mergeCell ref="I16:I18"/>
    <mergeCell ref="G16:G18"/>
    <mergeCell ref="H16:H18"/>
    <mergeCell ref="B19:B21"/>
    <mergeCell ref="C19:C21"/>
    <mergeCell ref="D19:D21"/>
    <mergeCell ref="E19:E21"/>
    <mergeCell ref="P7:P9"/>
    <mergeCell ref="F7:F9"/>
    <mergeCell ref="G7:G9"/>
    <mergeCell ref="H7:H9"/>
    <mergeCell ref="A19:A21"/>
    <mergeCell ref="Q13:Q15"/>
    <mergeCell ref="G10:G12"/>
    <mergeCell ref="H10:H12"/>
    <mergeCell ref="I10:I12"/>
    <mergeCell ref="J10:J12"/>
    <mergeCell ref="K10:K12"/>
    <mergeCell ref="L10:L12"/>
    <mergeCell ref="M10:M12"/>
    <mergeCell ref="O10:O12"/>
    <mergeCell ref="P13:P15"/>
    <mergeCell ref="P10:P12"/>
    <mergeCell ref="Q10:Q12"/>
    <mergeCell ref="A10:A12"/>
    <mergeCell ref="B10:B12"/>
    <mergeCell ref="C10:C12"/>
    <mergeCell ref="D10:D12"/>
    <mergeCell ref="E10:E12"/>
    <mergeCell ref="F10:F12"/>
    <mergeCell ref="A16:A18"/>
    <mergeCell ref="I13:I15"/>
    <mergeCell ref="J13:J15"/>
    <mergeCell ref="K13:K15"/>
    <mergeCell ref="L13:L15"/>
    <mergeCell ref="M13:M15"/>
    <mergeCell ref="O13:O15"/>
    <mergeCell ref="K7:K9"/>
    <mergeCell ref="L7:L9"/>
    <mergeCell ref="M7:M9"/>
    <mergeCell ref="O7:O9"/>
    <mergeCell ref="I7:I9"/>
    <mergeCell ref="J7:J9"/>
    <mergeCell ref="A13:A15"/>
    <mergeCell ref="B13:B15"/>
    <mergeCell ref="C13:C15"/>
    <mergeCell ref="D13:D15"/>
    <mergeCell ref="E13:E15"/>
    <mergeCell ref="F13:F15"/>
    <mergeCell ref="G13:G15"/>
    <mergeCell ref="H13:H15"/>
    <mergeCell ref="A7:A9"/>
    <mergeCell ref="B7:B9"/>
    <mergeCell ref="C7:C9"/>
    <mergeCell ref="D7:D9"/>
    <mergeCell ref="A1:AL2"/>
    <mergeCell ref="A4:J4"/>
    <mergeCell ref="K4:Q4"/>
    <mergeCell ref="R4:Z4"/>
    <mergeCell ref="AA4:AG4"/>
    <mergeCell ref="AH4:AL4"/>
    <mergeCell ref="R5:R6"/>
    <mergeCell ref="AF5:AF6"/>
    <mergeCell ref="AE5:AE6"/>
    <mergeCell ref="AA5:AA6"/>
    <mergeCell ref="S5:S6"/>
    <mergeCell ref="A5:A6"/>
    <mergeCell ref="I5:I6"/>
    <mergeCell ref="H5:H6"/>
    <mergeCell ref="G5:G6"/>
    <mergeCell ref="F5:F6"/>
    <mergeCell ref="U5:Z5"/>
    <mergeCell ref="Q7:Q9"/>
    <mergeCell ref="AH5:AH6"/>
    <mergeCell ref="AL5:AL6"/>
    <mergeCell ref="AK5:AK6"/>
    <mergeCell ref="AJ5:AJ6"/>
    <mergeCell ref="AI5:AI6"/>
    <mergeCell ref="AG5:AG6"/>
    <mergeCell ref="B5:B6"/>
    <mergeCell ref="C5:C6"/>
    <mergeCell ref="D5:D6"/>
    <mergeCell ref="AD5:AD6"/>
    <mergeCell ref="AB5:AB6"/>
    <mergeCell ref="AC5:AC6"/>
    <mergeCell ref="J5:J6"/>
    <mergeCell ref="K5:K6"/>
    <mergeCell ref="L5:L6"/>
    <mergeCell ref="O5:O6"/>
    <mergeCell ref="P5:P6"/>
    <mergeCell ref="E5:E6"/>
    <mergeCell ref="Q5:Q6"/>
    <mergeCell ref="M5:M6"/>
    <mergeCell ref="N5:N6"/>
    <mergeCell ref="T5:T6"/>
    <mergeCell ref="E7:E9"/>
    <mergeCell ref="Q85:Q87"/>
    <mergeCell ref="G85:G87"/>
    <mergeCell ref="H85:H87"/>
    <mergeCell ref="I85:I87"/>
    <mergeCell ref="J85:J87"/>
    <mergeCell ref="K85:K87"/>
    <mergeCell ref="L85:L87"/>
    <mergeCell ref="M85:M87"/>
    <mergeCell ref="O85:O87"/>
    <mergeCell ref="P85:P87"/>
    <mergeCell ref="J70:J72"/>
    <mergeCell ref="K70:K72"/>
    <mergeCell ref="L70:L72"/>
    <mergeCell ref="M70:M72"/>
    <mergeCell ref="O70:O72"/>
    <mergeCell ref="P70:P72"/>
    <mergeCell ref="Q70:Q72"/>
    <mergeCell ref="A70:A72"/>
    <mergeCell ref="B70:B72"/>
    <mergeCell ref="C70:C72"/>
    <mergeCell ref="D70:D72"/>
    <mergeCell ref="E70:E72"/>
    <mergeCell ref="F70:F72"/>
    <mergeCell ref="G70:G72"/>
    <mergeCell ref="H70:H72"/>
    <mergeCell ref="I70:I72"/>
  </mergeCells>
  <phoneticPr fontId="66" type="noConversion"/>
  <conditionalFormatting sqref="K7 AB7:AB16">
    <cfRule type="cellIs" dxfId="2596" priority="3309" operator="equal">
      <formula>"Muy Alta"</formula>
    </cfRule>
    <cfRule type="cellIs" dxfId="2595" priority="3310" operator="equal">
      <formula>"Alta"</formula>
    </cfRule>
    <cfRule type="cellIs" dxfId="2594" priority="3311" operator="equal">
      <formula>"Media"</formula>
    </cfRule>
    <cfRule type="cellIs" dxfId="2593" priority="3312" operator="equal">
      <formula>"Baja"</formula>
    </cfRule>
    <cfRule type="cellIs" dxfId="2592" priority="3313" operator="equal">
      <formula>"Muy Baja"</formula>
    </cfRule>
  </conditionalFormatting>
  <conditionalFormatting sqref="Q7 AF7:AF16">
    <cfRule type="cellIs" dxfId="2591" priority="3300" operator="equal">
      <formula>"Extremo"</formula>
    </cfRule>
    <cfRule type="cellIs" dxfId="2590" priority="3301" operator="equal">
      <formula>"Alto"</formula>
    </cfRule>
    <cfRule type="cellIs" dxfId="2589" priority="3302" operator="equal">
      <formula>"Moderado"</formula>
    </cfRule>
    <cfRule type="cellIs" dxfId="2588" priority="3303" operator="equal">
      <formula>"Bajo"</formula>
    </cfRule>
  </conditionalFormatting>
  <conditionalFormatting sqref="AB49 AB55 AB58 AB61 AB64 AB67 AB79 AB82 AB88 AB91 AB97:AB98 AB106 AB19 AB22">
    <cfRule type="cellIs" dxfId="2587" priority="3295" operator="equal">
      <formula>"Muy Alta"</formula>
    </cfRule>
    <cfRule type="cellIs" dxfId="2586" priority="3296" operator="equal">
      <formula>"Alta"</formula>
    </cfRule>
    <cfRule type="cellIs" dxfId="2585" priority="3297" operator="equal">
      <formula>"Media"</formula>
    </cfRule>
    <cfRule type="cellIs" dxfId="2584" priority="3298" operator="equal">
      <formula>"Baja"</formula>
    </cfRule>
    <cfRule type="cellIs" dxfId="2583" priority="3299" operator="equal">
      <formula>"Muy Baja"</formula>
    </cfRule>
  </conditionalFormatting>
  <conditionalFormatting sqref="AD49 AD55 AD58 AD61 AD64 AD67 AD79 AD82 AD88 AD91 AD97:AD98 AD106 AD19 AD22 AD7:AD16">
    <cfRule type="cellIs" dxfId="2582" priority="3290" operator="equal">
      <formula>"Catastrófico"</formula>
    </cfRule>
    <cfRule type="cellIs" dxfId="2581" priority="3291" operator="equal">
      <formula>"Mayor"</formula>
    </cfRule>
    <cfRule type="cellIs" dxfId="2580" priority="3292" operator="equal">
      <formula>"Moderado"</formula>
    </cfRule>
    <cfRule type="cellIs" dxfId="2579" priority="3293" operator="equal">
      <formula>"Menor"</formula>
    </cfRule>
    <cfRule type="cellIs" dxfId="2578" priority="3294" operator="equal">
      <formula>"Leve"</formula>
    </cfRule>
  </conditionalFormatting>
  <conditionalFormatting sqref="AF49 AF55 AF58 AF61 AF64 AF67 AF79 AF82 AF88 AF91 AF97:AF98 AF106 AF19 AF22">
    <cfRule type="cellIs" dxfId="2577" priority="3286" operator="equal">
      <formula>"Extremo"</formula>
    </cfRule>
    <cfRule type="cellIs" dxfId="2576" priority="3287" operator="equal">
      <formula>"Alto"</formula>
    </cfRule>
    <cfRule type="cellIs" dxfId="2575" priority="3288" operator="equal">
      <formula>"Moderado"</formula>
    </cfRule>
    <cfRule type="cellIs" dxfId="2574" priority="3289" operator="equal">
      <formula>"Bajo"</formula>
    </cfRule>
  </conditionalFormatting>
  <conditionalFormatting sqref="K97:K98">
    <cfRule type="cellIs" dxfId="2573" priority="1423" operator="equal">
      <formula>"Muy Alta"</formula>
    </cfRule>
    <cfRule type="cellIs" dxfId="2572" priority="1424" operator="equal">
      <formula>"Alta"</formula>
    </cfRule>
    <cfRule type="cellIs" dxfId="2571" priority="1425" operator="equal">
      <formula>"Media"</formula>
    </cfRule>
    <cfRule type="cellIs" dxfId="2570" priority="1426" operator="equal">
      <formula>"Baja"</formula>
    </cfRule>
    <cfRule type="cellIs" dxfId="2569" priority="1427" operator="equal">
      <formula>"Muy Baja"</formula>
    </cfRule>
  </conditionalFormatting>
  <conditionalFormatting sqref="K82">
    <cfRule type="cellIs" dxfId="2568" priority="1483" operator="equal">
      <formula>"Muy Alta"</formula>
    </cfRule>
    <cfRule type="cellIs" dxfId="2567" priority="1484" operator="equal">
      <formula>"Alta"</formula>
    </cfRule>
    <cfRule type="cellIs" dxfId="2566" priority="1485" operator="equal">
      <formula>"Media"</formula>
    </cfRule>
    <cfRule type="cellIs" dxfId="2565" priority="1486" operator="equal">
      <formula>"Baja"</formula>
    </cfRule>
    <cfRule type="cellIs" dxfId="2564" priority="1487" operator="equal">
      <formula>"Muy Baja"</formula>
    </cfRule>
  </conditionalFormatting>
  <conditionalFormatting sqref="N7:N9">
    <cfRule type="containsText" dxfId="2563" priority="2991" operator="containsText" text="❌">
      <formula>NOT(ISERROR(SEARCH("❌",N7)))</formula>
    </cfRule>
  </conditionalFormatting>
  <conditionalFormatting sqref="AD52">
    <cfRule type="cellIs" dxfId="2562" priority="2469" operator="equal">
      <formula>"Catastrófico"</formula>
    </cfRule>
    <cfRule type="cellIs" dxfId="2561" priority="2470" operator="equal">
      <formula>"Mayor"</formula>
    </cfRule>
    <cfRule type="cellIs" dxfId="2560" priority="2471" operator="equal">
      <formula>"Moderado"</formula>
    </cfRule>
    <cfRule type="cellIs" dxfId="2559" priority="2472" operator="equal">
      <formula>"Menor"</formula>
    </cfRule>
    <cfRule type="cellIs" dxfId="2558" priority="2473" operator="equal">
      <formula>"Leve"</formula>
    </cfRule>
  </conditionalFormatting>
  <conditionalFormatting sqref="AF52">
    <cfRule type="cellIs" dxfId="2557" priority="2465" operator="equal">
      <formula>"Extremo"</formula>
    </cfRule>
    <cfRule type="cellIs" dxfId="2556" priority="2466" operator="equal">
      <formula>"Alto"</formula>
    </cfRule>
    <cfRule type="cellIs" dxfId="2555" priority="2467" operator="equal">
      <formula>"Moderado"</formula>
    </cfRule>
    <cfRule type="cellIs" dxfId="2554" priority="2468" operator="equal">
      <formula>"Bajo"</formula>
    </cfRule>
  </conditionalFormatting>
  <conditionalFormatting sqref="AF50">
    <cfRule type="cellIs" dxfId="2553" priority="2479" operator="equal">
      <formula>"Extremo"</formula>
    </cfRule>
    <cfRule type="cellIs" dxfId="2552" priority="2480" operator="equal">
      <formula>"Alto"</formula>
    </cfRule>
    <cfRule type="cellIs" dxfId="2551" priority="2481" operator="equal">
      <formula>"Moderado"</formula>
    </cfRule>
    <cfRule type="cellIs" dxfId="2550" priority="2482" operator="equal">
      <formula>"Bajo"</formula>
    </cfRule>
  </conditionalFormatting>
  <conditionalFormatting sqref="AB23">
    <cfRule type="cellIs" dxfId="2549" priority="2894" operator="equal">
      <formula>"Muy Alta"</formula>
    </cfRule>
    <cfRule type="cellIs" dxfId="2548" priority="2895" operator="equal">
      <formula>"Alta"</formula>
    </cfRule>
    <cfRule type="cellIs" dxfId="2547" priority="2896" operator="equal">
      <formula>"Media"</formula>
    </cfRule>
    <cfRule type="cellIs" dxfId="2546" priority="2897" operator="equal">
      <formula>"Baja"</formula>
    </cfRule>
    <cfRule type="cellIs" dxfId="2545" priority="2898" operator="equal">
      <formula>"Muy Baja"</formula>
    </cfRule>
  </conditionalFormatting>
  <conditionalFormatting sqref="AD23">
    <cfRule type="cellIs" dxfId="2544" priority="2889" operator="equal">
      <formula>"Catastrófico"</formula>
    </cfRule>
    <cfRule type="cellIs" dxfId="2543" priority="2890" operator="equal">
      <formula>"Mayor"</formula>
    </cfRule>
    <cfRule type="cellIs" dxfId="2542" priority="2891" operator="equal">
      <formula>"Moderado"</formula>
    </cfRule>
    <cfRule type="cellIs" dxfId="2541" priority="2892" operator="equal">
      <formula>"Menor"</formula>
    </cfRule>
    <cfRule type="cellIs" dxfId="2540" priority="2893" operator="equal">
      <formula>"Leve"</formula>
    </cfRule>
  </conditionalFormatting>
  <conditionalFormatting sqref="AF23">
    <cfRule type="cellIs" dxfId="2539" priority="2885" operator="equal">
      <formula>"Extremo"</formula>
    </cfRule>
    <cfRule type="cellIs" dxfId="2538" priority="2886" operator="equal">
      <formula>"Alto"</formula>
    </cfRule>
    <cfRule type="cellIs" dxfId="2537" priority="2887" operator="equal">
      <formula>"Moderado"</formula>
    </cfRule>
    <cfRule type="cellIs" dxfId="2536" priority="2888" operator="equal">
      <formula>"Bajo"</formula>
    </cfRule>
  </conditionalFormatting>
  <conditionalFormatting sqref="AB24">
    <cfRule type="cellIs" dxfId="2535" priority="2880" operator="equal">
      <formula>"Muy Alta"</formula>
    </cfRule>
    <cfRule type="cellIs" dxfId="2534" priority="2881" operator="equal">
      <formula>"Alta"</formula>
    </cfRule>
    <cfRule type="cellIs" dxfId="2533" priority="2882" operator="equal">
      <formula>"Media"</formula>
    </cfRule>
    <cfRule type="cellIs" dxfId="2532" priority="2883" operator="equal">
      <formula>"Baja"</formula>
    </cfRule>
    <cfRule type="cellIs" dxfId="2531" priority="2884" operator="equal">
      <formula>"Muy Baja"</formula>
    </cfRule>
  </conditionalFormatting>
  <conditionalFormatting sqref="AD24">
    <cfRule type="cellIs" dxfId="2530" priority="2875" operator="equal">
      <formula>"Catastrófico"</formula>
    </cfRule>
    <cfRule type="cellIs" dxfId="2529" priority="2876" operator="equal">
      <formula>"Mayor"</formula>
    </cfRule>
    <cfRule type="cellIs" dxfId="2528" priority="2877" operator="equal">
      <formula>"Moderado"</formula>
    </cfRule>
    <cfRule type="cellIs" dxfId="2527" priority="2878" operator="equal">
      <formula>"Menor"</formula>
    </cfRule>
    <cfRule type="cellIs" dxfId="2526" priority="2879" operator="equal">
      <formula>"Leve"</formula>
    </cfRule>
  </conditionalFormatting>
  <conditionalFormatting sqref="AF24">
    <cfRule type="cellIs" dxfId="2525" priority="2871" operator="equal">
      <formula>"Extremo"</formula>
    </cfRule>
    <cfRule type="cellIs" dxfId="2524" priority="2872" operator="equal">
      <formula>"Alto"</formula>
    </cfRule>
    <cfRule type="cellIs" dxfId="2523" priority="2873" operator="equal">
      <formula>"Moderado"</formula>
    </cfRule>
    <cfRule type="cellIs" dxfId="2522" priority="2874" operator="equal">
      <formula>"Bajo"</formula>
    </cfRule>
  </conditionalFormatting>
  <conditionalFormatting sqref="AB25">
    <cfRule type="cellIs" dxfId="2521" priority="2866" operator="equal">
      <formula>"Muy Alta"</formula>
    </cfRule>
    <cfRule type="cellIs" dxfId="2520" priority="2867" operator="equal">
      <formula>"Alta"</formula>
    </cfRule>
    <cfRule type="cellIs" dxfId="2519" priority="2868" operator="equal">
      <formula>"Media"</formula>
    </cfRule>
    <cfRule type="cellIs" dxfId="2518" priority="2869" operator="equal">
      <formula>"Baja"</formula>
    </cfRule>
    <cfRule type="cellIs" dxfId="2517" priority="2870" operator="equal">
      <formula>"Muy Baja"</formula>
    </cfRule>
  </conditionalFormatting>
  <conditionalFormatting sqref="AD25">
    <cfRule type="cellIs" dxfId="2516" priority="2861" operator="equal">
      <formula>"Catastrófico"</formula>
    </cfRule>
    <cfRule type="cellIs" dxfId="2515" priority="2862" operator="equal">
      <formula>"Mayor"</formula>
    </cfRule>
    <cfRule type="cellIs" dxfId="2514" priority="2863" operator="equal">
      <formula>"Moderado"</formula>
    </cfRule>
    <cfRule type="cellIs" dxfId="2513" priority="2864" operator="equal">
      <formula>"Menor"</formula>
    </cfRule>
    <cfRule type="cellIs" dxfId="2512" priority="2865" operator="equal">
      <formula>"Leve"</formula>
    </cfRule>
  </conditionalFormatting>
  <conditionalFormatting sqref="AF25">
    <cfRule type="cellIs" dxfId="2511" priority="2857" operator="equal">
      <formula>"Extremo"</formula>
    </cfRule>
    <cfRule type="cellIs" dxfId="2510" priority="2858" operator="equal">
      <formula>"Alto"</formula>
    </cfRule>
    <cfRule type="cellIs" dxfId="2509" priority="2859" operator="equal">
      <formula>"Moderado"</formula>
    </cfRule>
    <cfRule type="cellIs" dxfId="2508" priority="2860" operator="equal">
      <formula>"Bajo"</formula>
    </cfRule>
  </conditionalFormatting>
  <conditionalFormatting sqref="AB26">
    <cfRule type="cellIs" dxfId="2507" priority="2852" operator="equal">
      <formula>"Muy Alta"</formula>
    </cfRule>
    <cfRule type="cellIs" dxfId="2506" priority="2853" operator="equal">
      <formula>"Alta"</formula>
    </cfRule>
    <cfRule type="cellIs" dxfId="2505" priority="2854" operator="equal">
      <formula>"Media"</formula>
    </cfRule>
    <cfRule type="cellIs" dxfId="2504" priority="2855" operator="equal">
      <formula>"Baja"</formula>
    </cfRule>
    <cfRule type="cellIs" dxfId="2503" priority="2856" operator="equal">
      <formula>"Muy Baja"</formula>
    </cfRule>
  </conditionalFormatting>
  <conditionalFormatting sqref="AD26">
    <cfRule type="cellIs" dxfId="2502" priority="2847" operator="equal">
      <formula>"Catastrófico"</formula>
    </cfRule>
    <cfRule type="cellIs" dxfId="2501" priority="2848" operator="equal">
      <formula>"Mayor"</formula>
    </cfRule>
    <cfRule type="cellIs" dxfId="2500" priority="2849" operator="equal">
      <formula>"Moderado"</formula>
    </cfRule>
    <cfRule type="cellIs" dxfId="2499" priority="2850" operator="equal">
      <formula>"Menor"</formula>
    </cfRule>
    <cfRule type="cellIs" dxfId="2498" priority="2851" operator="equal">
      <formula>"Leve"</formula>
    </cfRule>
  </conditionalFormatting>
  <conditionalFormatting sqref="AF26">
    <cfRule type="cellIs" dxfId="2497" priority="2843" operator="equal">
      <formula>"Extremo"</formula>
    </cfRule>
    <cfRule type="cellIs" dxfId="2496" priority="2844" operator="equal">
      <formula>"Alto"</formula>
    </cfRule>
    <cfRule type="cellIs" dxfId="2495" priority="2845" operator="equal">
      <formula>"Moderado"</formula>
    </cfRule>
    <cfRule type="cellIs" dxfId="2494" priority="2846" operator="equal">
      <formula>"Bajo"</formula>
    </cfRule>
  </conditionalFormatting>
  <conditionalFormatting sqref="AB27">
    <cfRule type="cellIs" dxfId="2493" priority="2838" operator="equal">
      <formula>"Muy Alta"</formula>
    </cfRule>
    <cfRule type="cellIs" dxfId="2492" priority="2839" operator="equal">
      <formula>"Alta"</formula>
    </cfRule>
    <cfRule type="cellIs" dxfId="2491" priority="2840" operator="equal">
      <formula>"Media"</formula>
    </cfRule>
    <cfRule type="cellIs" dxfId="2490" priority="2841" operator="equal">
      <formula>"Baja"</formula>
    </cfRule>
    <cfRule type="cellIs" dxfId="2489" priority="2842" operator="equal">
      <formula>"Muy Baja"</formula>
    </cfRule>
  </conditionalFormatting>
  <conditionalFormatting sqref="AD27">
    <cfRule type="cellIs" dxfId="2488" priority="2833" operator="equal">
      <formula>"Catastrófico"</formula>
    </cfRule>
    <cfRule type="cellIs" dxfId="2487" priority="2834" operator="equal">
      <formula>"Mayor"</formula>
    </cfRule>
    <cfRule type="cellIs" dxfId="2486" priority="2835" operator="equal">
      <formula>"Moderado"</formula>
    </cfRule>
    <cfRule type="cellIs" dxfId="2485" priority="2836" operator="equal">
      <formula>"Menor"</formula>
    </cfRule>
    <cfRule type="cellIs" dxfId="2484" priority="2837" operator="equal">
      <formula>"Leve"</formula>
    </cfRule>
  </conditionalFormatting>
  <conditionalFormatting sqref="AF27">
    <cfRule type="cellIs" dxfId="2483" priority="2829" operator="equal">
      <formula>"Extremo"</formula>
    </cfRule>
    <cfRule type="cellIs" dxfId="2482" priority="2830" operator="equal">
      <formula>"Alto"</formula>
    </cfRule>
    <cfRule type="cellIs" dxfId="2481" priority="2831" operator="equal">
      <formula>"Moderado"</formula>
    </cfRule>
    <cfRule type="cellIs" dxfId="2480" priority="2832" operator="equal">
      <formula>"Bajo"</formula>
    </cfRule>
  </conditionalFormatting>
  <conditionalFormatting sqref="AB28">
    <cfRule type="cellIs" dxfId="2479" priority="2824" operator="equal">
      <formula>"Muy Alta"</formula>
    </cfRule>
    <cfRule type="cellIs" dxfId="2478" priority="2825" operator="equal">
      <formula>"Alta"</formula>
    </cfRule>
    <cfRule type="cellIs" dxfId="2477" priority="2826" operator="equal">
      <formula>"Media"</formula>
    </cfRule>
    <cfRule type="cellIs" dxfId="2476" priority="2827" operator="equal">
      <formula>"Baja"</formula>
    </cfRule>
    <cfRule type="cellIs" dxfId="2475" priority="2828" operator="equal">
      <formula>"Muy Baja"</formula>
    </cfRule>
  </conditionalFormatting>
  <conditionalFormatting sqref="AD28">
    <cfRule type="cellIs" dxfId="2474" priority="2819" operator="equal">
      <formula>"Catastrófico"</formula>
    </cfRule>
    <cfRule type="cellIs" dxfId="2473" priority="2820" operator="equal">
      <formula>"Mayor"</formula>
    </cfRule>
    <cfRule type="cellIs" dxfId="2472" priority="2821" operator="equal">
      <formula>"Moderado"</formula>
    </cfRule>
    <cfRule type="cellIs" dxfId="2471" priority="2822" operator="equal">
      <formula>"Menor"</formula>
    </cfRule>
    <cfRule type="cellIs" dxfId="2470" priority="2823" operator="equal">
      <formula>"Leve"</formula>
    </cfRule>
  </conditionalFormatting>
  <conditionalFormatting sqref="AF28">
    <cfRule type="cellIs" dxfId="2469" priority="2815" operator="equal">
      <formula>"Extremo"</formula>
    </cfRule>
    <cfRule type="cellIs" dxfId="2468" priority="2816" operator="equal">
      <formula>"Alto"</formula>
    </cfRule>
    <cfRule type="cellIs" dxfId="2467" priority="2817" operator="equal">
      <formula>"Moderado"</formula>
    </cfRule>
    <cfRule type="cellIs" dxfId="2466" priority="2818" operator="equal">
      <formula>"Bajo"</formula>
    </cfRule>
  </conditionalFormatting>
  <conditionalFormatting sqref="AB29">
    <cfRule type="cellIs" dxfId="2465" priority="2810" operator="equal">
      <formula>"Muy Alta"</formula>
    </cfRule>
    <cfRule type="cellIs" dxfId="2464" priority="2811" operator="equal">
      <formula>"Alta"</formula>
    </cfRule>
    <cfRule type="cellIs" dxfId="2463" priority="2812" operator="equal">
      <formula>"Media"</formula>
    </cfRule>
    <cfRule type="cellIs" dxfId="2462" priority="2813" operator="equal">
      <formula>"Baja"</formula>
    </cfRule>
    <cfRule type="cellIs" dxfId="2461" priority="2814" operator="equal">
      <formula>"Muy Baja"</formula>
    </cfRule>
  </conditionalFormatting>
  <conditionalFormatting sqref="AD29">
    <cfRule type="cellIs" dxfId="2460" priority="2805" operator="equal">
      <formula>"Catastrófico"</formula>
    </cfRule>
    <cfRule type="cellIs" dxfId="2459" priority="2806" operator="equal">
      <formula>"Mayor"</formula>
    </cfRule>
    <cfRule type="cellIs" dxfId="2458" priority="2807" operator="equal">
      <formula>"Moderado"</formula>
    </cfRule>
    <cfRule type="cellIs" dxfId="2457" priority="2808" operator="equal">
      <formula>"Menor"</formula>
    </cfRule>
    <cfRule type="cellIs" dxfId="2456" priority="2809" operator="equal">
      <formula>"Leve"</formula>
    </cfRule>
  </conditionalFormatting>
  <conditionalFormatting sqref="AF29">
    <cfRule type="cellIs" dxfId="2455" priority="2801" operator="equal">
      <formula>"Extremo"</formula>
    </cfRule>
    <cfRule type="cellIs" dxfId="2454" priority="2802" operator="equal">
      <formula>"Alto"</formula>
    </cfRule>
    <cfRule type="cellIs" dxfId="2453" priority="2803" operator="equal">
      <formula>"Moderado"</formula>
    </cfRule>
    <cfRule type="cellIs" dxfId="2452" priority="2804" operator="equal">
      <formula>"Bajo"</formula>
    </cfRule>
  </conditionalFormatting>
  <conditionalFormatting sqref="AB30">
    <cfRule type="cellIs" dxfId="2451" priority="2796" operator="equal">
      <formula>"Muy Alta"</formula>
    </cfRule>
    <cfRule type="cellIs" dxfId="2450" priority="2797" operator="equal">
      <formula>"Alta"</formula>
    </cfRule>
    <cfRule type="cellIs" dxfId="2449" priority="2798" operator="equal">
      <formula>"Media"</formula>
    </cfRule>
    <cfRule type="cellIs" dxfId="2448" priority="2799" operator="equal">
      <formula>"Baja"</formula>
    </cfRule>
    <cfRule type="cellIs" dxfId="2447" priority="2800" operator="equal">
      <formula>"Muy Baja"</formula>
    </cfRule>
  </conditionalFormatting>
  <conditionalFormatting sqref="AD30">
    <cfRule type="cellIs" dxfId="2446" priority="2791" operator="equal">
      <formula>"Catastrófico"</formula>
    </cfRule>
    <cfRule type="cellIs" dxfId="2445" priority="2792" operator="equal">
      <formula>"Mayor"</formula>
    </cfRule>
    <cfRule type="cellIs" dxfId="2444" priority="2793" operator="equal">
      <formula>"Moderado"</formula>
    </cfRule>
    <cfRule type="cellIs" dxfId="2443" priority="2794" operator="equal">
      <formula>"Menor"</formula>
    </cfRule>
    <cfRule type="cellIs" dxfId="2442" priority="2795" operator="equal">
      <formula>"Leve"</formula>
    </cfRule>
  </conditionalFormatting>
  <conditionalFormatting sqref="AF30">
    <cfRule type="cellIs" dxfId="2441" priority="2787" operator="equal">
      <formula>"Extremo"</formula>
    </cfRule>
    <cfRule type="cellIs" dxfId="2440" priority="2788" operator="equal">
      <formula>"Alto"</formula>
    </cfRule>
    <cfRule type="cellIs" dxfId="2439" priority="2789" operator="equal">
      <formula>"Moderado"</formula>
    </cfRule>
    <cfRule type="cellIs" dxfId="2438" priority="2790" operator="equal">
      <formula>"Bajo"</formula>
    </cfRule>
  </conditionalFormatting>
  <conditionalFormatting sqref="AB31">
    <cfRule type="cellIs" dxfId="2437" priority="2782" operator="equal">
      <formula>"Muy Alta"</formula>
    </cfRule>
    <cfRule type="cellIs" dxfId="2436" priority="2783" operator="equal">
      <formula>"Alta"</formula>
    </cfRule>
    <cfRule type="cellIs" dxfId="2435" priority="2784" operator="equal">
      <formula>"Media"</formula>
    </cfRule>
    <cfRule type="cellIs" dxfId="2434" priority="2785" operator="equal">
      <formula>"Baja"</formula>
    </cfRule>
    <cfRule type="cellIs" dxfId="2433" priority="2786" operator="equal">
      <formula>"Muy Baja"</formula>
    </cfRule>
  </conditionalFormatting>
  <conditionalFormatting sqref="AD31">
    <cfRule type="cellIs" dxfId="2432" priority="2777" operator="equal">
      <formula>"Catastrófico"</formula>
    </cfRule>
    <cfRule type="cellIs" dxfId="2431" priority="2778" operator="equal">
      <formula>"Mayor"</formula>
    </cfRule>
    <cfRule type="cellIs" dxfId="2430" priority="2779" operator="equal">
      <formula>"Moderado"</formula>
    </cfRule>
    <cfRule type="cellIs" dxfId="2429" priority="2780" operator="equal">
      <formula>"Menor"</formula>
    </cfRule>
    <cfRule type="cellIs" dxfId="2428" priority="2781" operator="equal">
      <formula>"Leve"</formula>
    </cfRule>
  </conditionalFormatting>
  <conditionalFormatting sqref="AF31">
    <cfRule type="cellIs" dxfId="2427" priority="2773" operator="equal">
      <formula>"Extremo"</formula>
    </cfRule>
    <cfRule type="cellIs" dxfId="2426" priority="2774" operator="equal">
      <formula>"Alto"</formula>
    </cfRule>
    <cfRule type="cellIs" dxfId="2425" priority="2775" operator="equal">
      <formula>"Moderado"</formula>
    </cfRule>
    <cfRule type="cellIs" dxfId="2424" priority="2776" operator="equal">
      <formula>"Bajo"</formula>
    </cfRule>
  </conditionalFormatting>
  <conditionalFormatting sqref="AB32">
    <cfRule type="cellIs" dxfId="2423" priority="2768" operator="equal">
      <formula>"Muy Alta"</formula>
    </cfRule>
    <cfRule type="cellIs" dxfId="2422" priority="2769" operator="equal">
      <formula>"Alta"</formula>
    </cfRule>
    <cfRule type="cellIs" dxfId="2421" priority="2770" operator="equal">
      <formula>"Media"</formula>
    </cfRule>
    <cfRule type="cellIs" dxfId="2420" priority="2771" operator="equal">
      <formula>"Baja"</formula>
    </cfRule>
    <cfRule type="cellIs" dxfId="2419" priority="2772" operator="equal">
      <formula>"Muy Baja"</formula>
    </cfRule>
  </conditionalFormatting>
  <conditionalFormatting sqref="AD32">
    <cfRule type="cellIs" dxfId="2418" priority="2763" operator="equal">
      <formula>"Catastrófico"</formula>
    </cfRule>
    <cfRule type="cellIs" dxfId="2417" priority="2764" operator="equal">
      <formula>"Mayor"</formula>
    </cfRule>
    <cfRule type="cellIs" dxfId="2416" priority="2765" operator="equal">
      <formula>"Moderado"</formula>
    </cfRule>
    <cfRule type="cellIs" dxfId="2415" priority="2766" operator="equal">
      <formula>"Menor"</formula>
    </cfRule>
    <cfRule type="cellIs" dxfId="2414" priority="2767" operator="equal">
      <formula>"Leve"</formula>
    </cfRule>
  </conditionalFormatting>
  <conditionalFormatting sqref="AF32">
    <cfRule type="cellIs" dxfId="2413" priority="2759" operator="equal">
      <formula>"Extremo"</formula>
    </cfRule>
    <cfRule type="cellIs" dxfId="2412" priority="2760" operator="equal">
      <formula>"Alto"</formula>
    </cfRule>
    <cfRule type="cellIs" dxfId="2411" priority="2761" operator="equal">
      <formula>"Moderado"</formula>
    </cfRule>
    <cfRule type="cellIs" dxfId="2410" priority="2762" operator="equal">
      <formula>"Bajo"</formula>
    </cfRule>
  </conditionalFormatting>
  <conditionalFormatting sqref="AB33">
    <cfRule type="cellIs" dxfId="2409" priority="2754" operator="equal">
      <formula>"Muy Alta"</formula>
    </cfRule>
    <cfRule type="cellIs" dxfId="2408" priority="2755" operator="equal">
      <formula>"Alta"</formula>
    </cfRule>
    <cfRule type="cellIs" dxfId="2407" priority="2756" operator="equal">
      <formula>"Media"</formula>
    </cfRule>
    <cfRule type="cellIs" dxfId="2406" priority="2757" operator="equal">
      <formula>"Baja"</formula>
    </cfRule>
    <cfRule type="cellIs" dxfId="2405" priority="2758" operator="equal">
      <formula>"Muy Baja"</formula>
    </cfRule>
  </conditionalFormatting>
  <conditionalFormatting sqref="AD33">
    <cfRule type="cellIs" dxfId="2404" priority="2749" operator="equal">
      <formula>"Catastrófico"</formula>
    </cfRule>
    <cfRule type="cellIs" dxfId="2403" priority="2750" operator="equal">
      <formula>"Mayor"</formula>
    </cfRule>
    <cfRule type="cellIs" dxfId="2402" priority="2751" operator="equal">
      <formula>"Moderado"</formula>
    </cfRule>
    <cfRule type="cellIs" dxfId="2401" priority="2752" operator="equal">
      <formula>"Menor"</formula>
    </cfRule>
    <cfRule type="cellIs" dxfId="2400" priority="2753" operator="equal">
      <formula>"Leve"</formula>
    </cfRule>
  </conditionalFormatting>
  <conditionalFormatting sqref="AF33">
    <cfRule type="cellIs" dxfId="2399" priority="2745" operator="equal">
      <formula>"Extremo"</formula>
    </cfRule>
    <cfRule type="cellIs" dxfId="2398" priority="2746" operator="equal">
      <formula>"Alto"</formula>
    </cfRule>
    <cfRule type="cellIs" dxfId="2397" priority="2747" operator="equal">
      <formula>"Moderado"</formula>
    </cfRule>
    <cfRule type="cellIs" dxfId="2396" priority="2748" operator="equal">
      <formula>"Bajo"</formula>
    </cfRule>
  </conditionalFormatting>
  <conditionalFormatting sqref="AB34">
    <cfRule type="cellIs" dxfId="2395" priority="2740" operator="equal">
      <formula>"Muy Alta"</formula>
    </cfRule>
    <cfRule type="cellIs" dxfId="2394" priority="2741" operator="equal">
      <formula>"Alta"</formula>
    </cfRule>
    <cfRule type="cellIs" dxfId="2393" priority="2742" operator="equal">
      <formula>"Media"</formula>
    </cfRule>
    <cfRule type="cellIs" dxfId="2392" priority="2743" operator="equal">
      <formula>"Baja"</formula>
    </cfRule>
    <cfRule type="cellIs" dxfId="2391" priority="2744" operator="equal">
      <formula>"Muy Baja"</formula>
    </cfRule>
  </conditionalFormatting>
  <conditionalFormatting sqref="AD34">
    <cfRule type="cellIs" dxfId="2390" priority="2735" operator="equal">
      <formula>"Catastrófico"</formula>
    </cfRule>
    <cfRule type="cellIs" dxfId="2389" priority="2736" operator="equal">
      <formula>"Mayor"</formula>
    </cfRule>
    <cfRule type="cellIs" dxfId="2388" priority="2737" operator="equal">
      <formula>"Moderado"</formula>
    </cfRule>
    <cfRule type="cellIs" dxfId="2387" priority="2738" operator="equal">
      <formula>"Menor"</formula>
    </cfRule>
    <cfRule type="cellIs" dxfId="2386" priority="2739" operator="equal">
      <formula>"Leve"</formula>
    </cfRule>
  </conditionalFormatting>
  <conditionalFormatting sqref="AF34">
    <cfRule type="cellIs" dxfId="2385" priority="2731" operator="equal">
      <formula>"Extremo"</formula>
    </cfRule>
    <cfRule type="cellIs" dxfId="2384" priority="2732" operator="equal">
      <formula>"Alto"</formula>
    </cfRule>
    <cfRule type="cellIs" dxfId="2383" priority="2733" operator="equal">
      <formula>"Moderado"</formula>
    </cfRule>
    <cfRule type="cellIs" dxfId="2382" priority="2734" operator="equal">
      <formula>"Bajo"</formula>
    </cfRule>
  </conditionalFormatting>
  <conditionalFormatting sqref="AB35">
    <cfRule type="cellIs" dxfId="2381" priority="2726" operator="equal">
      <formula>"Muy Alta"</formula>
    </cfRule>
    <cfRule type="cellIs" dxfId="2380" priority="2727" operator="equal">
      <formula>"Alta"</formula>
    </cfRule>
    <cfRule type="cellIs" dxfId="2379" priority="2728" operator="equal">
      <formula>"Media"</formula>
    </cfRule>
    <cfRule type="cellIs" dxfId="2378" priority="2729" operator="equal">
      <formula>"Baja"</formula>
    </cfRule>
    <cfRule type="cellIs" dxfId="2377" priority="2730" operator="equal">
      <formula>"Muy Baja"</formula>
    </cfRule>
  </conditionalFormatting>
  <conditionalFormatting sqref="AD35">
    <cfRule type="cellIs" dxfId="2376" priority="2721" operator="equal">
      <formula>"Catastrófico"</formula>
    </cfRule>
    <cfRule type="cellIs" dxfId="2375" priority="2722" operator="equal">
      <formula>"Mayor"</formula>
    </cfRule>
    <cfRule type="cellIs" dxfId="2374" priority="2723" operator="equal">
      <formula>"Moderado"</formula>
    </cfRule>
    <cfRule type="cellIs" dxfId="2373" priority="2724" operator="equal">
      <formula>"Menor"</formula>
    </cfRule>
    <cfRule type="cellIs" dxfId="2372" priority="2725" operator="equal">
      <formula>"Leve"</formula>
    </cfRule>
  </conditionalFormatting>
  <conditionalFormatting sqref="AF35">
    <cfRule type="cellIs" dxfId="2371" priority="2717" operator="equal">
      <formula>"Extremo"</formula>
    </cfRule>
    <cfRule type="cellIs" dxfId="2370" priority="2718" operator="equal">
      <formula>"Alto"</formula>
    </cfRule>
    <cfRule type="cellIs" dxfId="2369" priority="2719" operator="equal">
      <formula>"Moderado"</formula>
    </cfRule>
    <cfRule type="cellIs" dxfId="2368" priority="2720" operator="equal">
      <formula>"Bajo"</formula>
    </cfRule>
  </conditionalFormatting>
  <conditionalFormatting sqref="AB36">
    <cfRule type="cellIs" dxfId="2367" priority="2712" operator="equal">
      <formula>"Muy Alta"</formula>
    </cfRule>
    <cfRule type="cellIs" dxfId="2366" priority="2713" operator="equal">
      <formula>"Alta"</formula>
    </cfRule>
    <cfRule type="cellIs" dxfId="2365" priority="2714" operator="equal">
      <formula>"Media"</formula>
    </cfRule>
    <cfRule type="cellIs" dxfId="2364" priority="2715" operator="equal">
      <formula>"Baja"</formula>
    </cfRule>
    <cfRule type="cellIs" dxfId="2363" priority="2716" operator="equal">
      <formula>"Muy Baja"</formula>
    </cfRule>
  </conditionalFormatting>
  <conditionalFormatting sqref="AD36">
    <cfRule type="cellIs" dxfId="2362" priority="2707" operator="equal">
      <formula>"Catastrófico"</formula>
    </cfRule>
    <cfRule type="cellIs" dxfId="2361" priority="2708" operator="equal">
      <formula>"Mayor"</formula>
    </cfRule>
    <cfRule type="cellIs" dxfId="2360" priority="2709" operator="equal">
      <formula>"Moderado"</formula>
    </cfRule>
    <cfRule type="cellIs" dxfId="2359" priority="2710" operator="equal">
      <formula>"Menor"</formula>
    </cfRule>
    <cfRule type="cellIs" dxfId="2358" priority="2711" operator="equal">
      <formula>"Leve"</formula>
    </cfRule>
  </conditionalFormatting>
  <conditionalFormatting sqref="AF36">
    <cfRule type="cellIs" dxfId="2357" priority="2703" operator="equal">
      <formula>"Extremo"</formula>
    </cfRule>
    <cfRule type="cellIs" dxfId="2356" priority="2704" operator="equal">
      <formula>"Alto"</formula>
    </cfRule>
    <cfRule type="cellIs" dxfId="2355" priority="2705" operator="equal">
      <formula>"Moderado"</formula>
    </cfRule>
    <cfRule type="cellIs" dxfId="2354" priority="2706" operator="equal">
      <formula>"Bajo"</formula>
    </cfRule>
  </conditionalFormatting>
  <conditionalFormatting sqref="AB37">
    <cfRule type="cellIs" dxfId="2353" priority="2698" operator="equal">
      <formula>"Muy Alta"</formula>
    </cfRule>
    <cfRule type="cellIs" dxfId="2352" priority="2699" operator="equal">
      <formula>"Alta"</formula>
    </cfRule>
    <cfRule type="cellIs" dxfId="2351" priority="2700" operator="equal">
      <formula>"Media"</formula>
    </cfRule>
    <cfRule type="cellIs" dxfId="2350" priority="2701" operator="equal">
      <formula>"Baja"</formula>
    </cfRule>
    <cfRule type="cellIs" dxfId="2349" priority="2702" operator="equal">
      <formula>"Muy Baja"</formula>
    </cfRule>
  </conditionalFormatting>
  <conditionalFormatting sqref="AD37">
    <cfRule type="cellIs" dxfId="2348" priority="2693" operator="equal">
      <formula>"Catastrófico"</formula>
    </cfRule>
    <cfRule type="cellIs" dxfId="2347" priority="2694" operator="equal">
      <formula>"Mayor"</formula>
    </cfRule>
    <cfRule type="cellIs" dxfId="2346" priority="2695" operator="equal">
      <formula>"Moderado"</formula>
    </cfRule>
    <cfRule type="cellIs" dxfId="2345" priority="2696" operator="equal">
      <formula>"Menor"</formula>
    </cfRule>
    <cfRule type="cellIs" dxfId="2344" priority="2697" operator="equal">
      <formula>"Leve"</formula>
    </cfRule>
  </conditionalFormatting>
  <conditionalFormatting sqref="AF37">
    <cfRule type="cellIs" dxfId="2343" priority="2689" operator="equal">
      <formula>"Extremo"</formula>
    </cfRule>
    <cfRule type="cellIs" dxfId="2342" priority="2690" operator="equal">
      <formula>"Alto"</formula>
    </cfRule>
    <cfRule type="cellIs" dxfId="2341" priority="2691" operator="equal">
      <formula>"Moderado"</formula>
    </cfRule>
    <cfRule type="cellIs" dxfId="2340" priority="2692" operator="equal">
      <formula>"Bajo"</formula>
    </cfRule>
  </conditionalFormatting>
  <conditionalFormatting sqref="AB38">
    <cfRule type="cellIs" dxfId="2339" priority="2684" operator="equal">
      <formula>"Muy Alta"</formula>
    </cfRule>
    <cfRule type="cellIs" dxfId="2338" priority="2685" operator="equal">
      <formula>"Alta"</formula>
    </cfRule>
    <cfRule type="cellIs" dxfId="2337" priority="2686" operator="equal">
      <formula>"Media"</formula>
    </cfRule>
    <cfRule type="cellIs" dxfId="2336" priority="2687" operator="equal">
      <formula>"Baja"</formula>
    </cfRule>
    <cfRule type="cellIs" dxfId="2335" priority="2688" operator="equal">
      <formula>"Muy Baja"</formula>
    </cfRule>
  </conditionalFormatting>
  <conditionalFormatting sqref="AD38">
    <cfRule type="cellIs" dxfId="2334" priority="2679" operator="equal">
      <formula>"Catastrófico"</formula>
    </cfRule>
    <cfRule type="cellIs" dxfId="2333" priority="2680" operator="equal">
      <formula>"Mayor"</formula>
    </cfRule>
    <cfRule type="cellIs" dxfId="2332" priority="2681" operator="equal">
      <formula>"Moderado"</formula>
    </cfRule>
    <cfRule type="cellIs" dxfId="2331" priority="2682" operator="equal">
      <formula>"Menor"</formula>
    </cfRule>
    <cfRule type="cellIs" dxfId="2330" priority="2683" operator="equal">
      <formula>"Leve"</formula>
    </cfRule>
  </conditionalFormatting>
  <conditionalFormatting sqref="AF38">
    <cfRule type="cellIs" dxfId="2329" priority="2675" operator="equal">
      <formula>"Extremo"</formula>
    </cfRule>
    <cfRule type="cellIs" dxfId="2328" priority="2676" operator="equal">
      <formula>"Alto"</formula>
    </cfRule>
    <cfRule type="cellIs" dxfId="2327" priority="2677" operator="equal">
      <formula>"Moderado"</formula>
    </cfRule>
    <cfRule type="cellIs" dxfId="2326" priority="2678" operator="equal">
      <formula>"Bajo"</formula>
    </cfRule>
  </conditionalFormatting>
  <conditionalFormatting sqref="AB39">
    <cfRule type="cellIs" dxfId="2325" priority="2670" operator="equal">
      <formula>"Muy Alta"</formula>
    </cfRule>
    <cfRule type="cellIs" dxfId="2324" priority="2671" operator="equal">
      <formula>"Alta"</formula>
    </cfRule>
    <cfRule type="cellIs" dxfId="2323" priority="2672" operator="equal">
      <formula>"Media"</formula>
    </cfRule>
    <cfRule type="cellIs" dxfId="2322" priority="2673" operator="equal">
      <formula>"Baja"</formula>
    </cfRule>
    <cfRule type="cellIs" dxfId="2321" priority="2674" operator="equal">
      <formula>"Muy Baja"</formula>
    </cfRule>
  </conditionalFormatting>
  <conditionalFormatting sqref="AD39">
    <cfRule type="cellIs" dxfId="2320" priority="2665" operator="equal">
      <formula>"Catastrófico"</formula>
    </cfRule>
    <cfRule type="cellIs" dxfId="2319" priority="2666" operator="equal">
      <formula>"Mayor"</formula>
    </cfRule>
    <cfRule type="cellIs" dxfId="2318" priority="2667" operator="equal">
      <formula>"Moderado"</formula>
    </cfRule>
    <cfRule type="cellIs" dxfId="2317" priority="2668" operator="equal">
      <formula>"Menor"</formula>
    </cfRule>
    <cfRule type="cellIs" dxfId="2316" priority="2669" operator="equal">
      <formula>"Leve"</formula>
    </cfRule>
  </conditionalFormatting>
  <conditionalFormatting sqref="AF39">
    <cfRule type="cellIs" dxfId="2315" priority="2661" operator="equal">
      <formula>"Extremo"</formula>
    </cfRule>
    <cfRule type="cellIs" dxfId="2314" priority="2662" operator="equal">
      <formula>"Alto"</formula>
    </cfRule>
    <cfRule type="cellIs" dxfId="2313" priority="2663" operator="equal">
      <formula>"Moderado"</formula>
    </cfRule>
    <cfRule type="cellIs" dxfId="2312" priority="2664" operator="equal">
      <formula>"Bajo"</formula>
    </cfRule>
  </conditionalFormatting>
  <conditionalFormatting sqref="AB40">
    <cfRule type="cellIs" dxfId="2311" priority="2656" operator="equal">
      <formula>"Muy Alta"</formula>
    </cfRule>
    <cfRule type="cellIs" dxfId="2310" priority="2657" operator="equal">
      <formula>"Alta"</formula>
    </cfRule>
    <cfRule type="cellIs" dxfId="2309" priority="2658" operator="equal">
      <formula>"Media"</formula>
    </cfRule>
    <cfRule type="cellIs" dxfId="2308" priority="2659" operator="equal">
      <formula>"Baja"</formula>
    </cfRule>
    <cfRule type="cellIs" dxfId="2307" priority="2660" operator="equal">
      <formula>"Muy Baja"</formula>
    </cfRule>
  </conditionalFormatting>
  <conditionalFormatting sqref="AD40">
    <cfRule type="cellIs" dxfId="2306" priority="2651" operator="equal">
      <formula>"Catastrófico"</formula>
    </cfRule>
    <cfRule type="cellIs" dxfId="2305" priority="2652" operator="equal">
      <formula>"Mayor"</formula>
    </cfRule>
    <cfRule type="cellIs" dxfId="2304" priority="2653" operator="equal">
      <formula>"Moderado"</formula>
    </cfRule>
    <cfRule type="cellIs" dxfId="2303" priority="2654" operator="equal">
      <formula>"Menor"</formula>
    </cfRule>
    <cfRule type="cellIs" dxfId="2302" priority="2655" operator="equal">
      <formula>"Leve"</formula>
    </cfRule>
  </conditionalFormatting>
  <conditionalFormatting sqref="AF40">
    <cfRule type="cellIs" dxfId="2301" priority="2647" operator="equal">
      <formula>"Extremo"</formula>
    </cfRule>
    <cfRule type="cellIs" dxfId="2300" priority="2648" operator="equal">
      <formula>"Alto"</formula>
    </cfRule>
    <cfRule type="cellIs" dxfId="2299" priority="2649" operator="equal">
      <formula>"Moderado"</formula>
    </cfRule>
    <cfRule type="cellIs" dxfId="2298" priority="2650" operator="equal">
      <formula>"Bajo"</formula>
    </cfRule>
  </conditionalFormatting>
  <conditionalFormatting sqref="AB41">
    <cfRule type="cellIs" dxfId="2297" priority="2642" operator="equal">
      <formula>"Muy Alta"</formula>
    </cfRule>
    <cfRule type="cellIs" dxfId="2296" priority="2643" operator="equal">
      <formula>"Alta"</formula>
    </cfRule>
    <cfRule type="cellIs" dxfId="2295" priority="2644" operator="equal">
      <formula>"Media"</formula>
    </cfRule>
    <cfRule type="cellIs" dxfId="2294" priority="2645" operator="equal">
      <formula>"Baja"</formula>
    </cfRule>
    <cfRule type="cellIs" dxfId="2293" priority="2646" operator="equal">
      <formula>"Muy Baja"</formula>
    </cfRule>
  </conditionalFormatting>
  <conditionalFormatting sqref="AD41">
    <cfRule type="cellIs" dxfId="2292" priority="2637" operator="equal">
      <formula>"Catastrófico"</formula>
    </cfRule>
    <cfRule type="cellIs" dxfId="2291" priority="2638" operator="equal">
      <formula>"Mayor"</formula>
    </cfRule>
    <cfRule type="cellIs" dxfId="2290" priority="2639" operator="equal">
      <formula>"Moderado"</formula>
    </cfRule>
    <cfRule type="cellIs" dxfId="2289" priority="2640" operator="equal">
      <formula>"Menor"</formula>
    </cfRule>
    <cfRule type="cellIs" dxfId="2288" priority="2641" operator="equal">
      <formula>"Leve"</formula>
    </cfRule>
  </conditionalFormatting>
  <conditionalFormatting sqref="AF41">
    <cfRule type="cellIs" dxfId="2287" priority="2633" operator="equal">
      <formula>"Extremo"</formula>
    </cfRule>
    <cfRule type="cellIs" dxfId="2286" priority="2634" operator="equal">
      <formula>"Alto"</formula>
    </cfRule>
    <cfRule type="cellIs" dxfId="2285" priority="2635" operator="equal">
      <formula>"Moderado"</formula>
    </cfRule>
    <cfRule type="cellIs" dxfId="2284" priority="2636" operator="equal">
      <formula>"Bajo"</formula>
    </cfRule>
  </conditionalFormatting>
  <conditionalFormatting sqref="AB42">
    <cfRule type="cellIs" dxfId="2283" priority="2628" operator="equal">
      <formula>"Muy Alta"</formula>
    </cfRule>
    <cfRule type="cellIs" dxfId="2282" priority="2629" operator="equal">
      <formula>"Alta"</formula>
    </cfRule>
    <cfRule type="cellIs" dxfId="2281" priority="2630" operator="equal">
      <formula>"Media"</formula>
    </cfRule>
    <cfRule type="cellIs" dxfId="2280" priority="2631" operator="equal">
      <formula>"Baja"</formula>
    </cfRule>
    <cfRule type="cellIs" dxfId="2279" priority="2632" operator="equal">
      <formula>"Muy Baja"</formula>
    </cfRule>
  </conditionalFormatting>
  <conditionalFormatting sqref="AD42">
    <cfRule type="cellIs" dxfId="2278" priority="2623" operator="equal">
      <formula>"Catastrófico"</formula>
    </cfRule>
    <cfRule type="cellIs" dxfId="2277" priority="2624" operator="equal">
      <formula>"Mayor"</formula>
    </cfRule>
    <cfRule type="cellIs" dxfId="2276" priority="2625" operator="equal">
      <formula>"Moderado"</formula>
    </cfRule>
    <cfRule type="cellIs" dxfId="2275" priority="2626" operator="equal">
      <formula>"Menor"</formula>
    </cfRule>
    <cfRule type="cellIs" dxfId="2274" priority="2627" operator="equal">
      <formula>"Leve"</formula>
    </cfRule>
  </conditionalFormatting>
  <conditionalFormatting sqref="AF42">
    <cfRule type="cellIs" dxfId="2273" priority="2619" operator="equal">
      <formula>"Extremo"</formula>
    </cfRule>
    <cfRule type="cellIs" dxfId="2272" priority="2620" operator="equal">
      <formula>"Alto"</formula>
    </cfRule>
    <cfRule type="cellIs" dxfId="2271" priority="2621" operator="equal">
      <formula>"Moderado"</formula>
    </cfRule>
    <cfRule type="cellIs" dxfId="2270" priority="2622" operator="equal">
      <formula>"Bajo"</formula>
    </cfRule>
  </conditionalFormatting>
  <conditionalFormatting sqref="AB43">
    <cfRule type="cellIs" dxfId="2269" priority="2572" operator="equal">
      <formula>"Muy Alta"</formula>
    </cfRule>
    <cfRule type="cellIs" dxfId="2268" priority="2573" operator="equal">
      <formula>"Alta"</formula>
    </cfRule>
    <cfRule type="cellIs" dxfId="2267" priority="2574" operator="equal">
      <formula>"Media"</formula>
    </cfRule>
    <cfRule type="cellIs" dxfId="2266" priority="2575" operator="equal">
      <formula>"Baja"</formula>
    </cfRule>
    <cfRule type="cellIs" dxfId="2265" priority="2576" operator="equal">
      <formula>"Muy Baja"</formula>
    </cfRule>
  </conditionalFormatting>
  <conditionalFormatting sqref="AD43">
    <cfRule type="cellIs" dxfId="2264" priority="2567" operator="equal">
      <formula>"Catastrófico"</formula>
    </cfRule>
    <cfRule type="cellIs" dxfId="2263" priority="2568" operator="equal">
      <formula>"Mayor"</formula>
    </cfRule>
    <cfRule type="cellIs" dxfId="2262" priority="2569" operator="equal">
      <formula>"Moderado"</formula>
    </cfRule>
    <cfRule type="cellIs" dxfId="2261" priority="2570" operator="equal">
      <formula>"Menor"</formula>
    </cfRule>
    <cfRule type="cellIs" dxfId="2260" priority="2571" operator="equal">
      <formula>"Leve"</formula>
    </cfRule>
  </conditionalFormatting>
  <conditionalFormatting sqref="AF43">
    <cfRule type="cellIs" dxfId="2259" priority="2563" operator="equal">
      <formula>"Extremo"</formula>
    </cfRule>
    <cfRule type="cellIs" dxfId="2258" priority="2564" operator="equal">
      <formula>"Alto"</formula>
    </cfRule>
    <cfRule type="cellIs" dxfId="2257" priority="2565" operator="equal">
      <formula>"Moderado"</formula>
    </cfRule>
    <cfRule type="cellIs" dxfId="2256" priority="2566" operator="equal">
      <formula>"Bajo"</formula>
    </cfRule>
  </conditionalFormatting>
  <conditionalFormatting sqref="AB46">
    <cfRule type="cellIs" dxfId="2255" priority="2558" operator="equal">
      <formula>"Muy Alta"</formula>
    </cfRule>
    <cfRule type="cellIs" dxfId="2254" priority="2559" operator="equal">
      <formula>"Alta"</formula>
    </cfRule>
    <cfRule type="cellIs" dxfId="2253" priority="2560" operator="equal">
      <formula>"Media"</formula>
    </cfRule>
    <cfRule type="cellIs" dxfId="2252" priority="2561" operator="equal">
      <formula>"Baja"</formula>
    </cfRule>
    <cfRule type="cellIs" dxfId="2251" priority="2562" operator="equal">
      <formula>"Muy Baja"</formula>
    </cfRule>
  </conditionalFormatting>
  <conditionalFormatting sqref="AD46">
    <cfRule type="cellIs" dxfId="2250" priority="2553" operator="equal">
      <formula>"Catastrófico"</formula>
    </cfRule>
    <cfRule type="cellIs" dxfId="2249" priority="2554" operator="equal">
      <formula>"Mayor"</formula>
    </cfRule>
    <cfRule type="cellIs" dxfId="2248" priority="2555" operator="equal">
      <formula>"Moderado"</formula>
    </cfRule>
    <cfRule type="cellIs" dxfId="2247" priority="2556" operator="equal">
      <formula>"Menor"</formula>
    </cfRule>
    <cfRule type="cellIs" dxfId="2246" priority="2557" operator="equal">
      <formula>"Leve"</formula>
    </cfRule>
  </conditionalFormatting>
  <conditionalFormatting sqref="AF46">
    <cfRule type="cellIs" dxfId="2245" priority="2549" operator="equal">
      <formula>"Extremo"</formula>
    </cfRule>
    <cfRule type="cellIs" dxfId="2244" priority="2550" operator="equal">
      <formula>"Alto"</formula>
    </cfRule>
    <cfRule type="cellIs" dxfId="2243" priority="2551" operator="equal">
      <formula>"Moderado"</formula>
    </cfRule>
    <cfRule type="cellIs" dxfId="2242" priority="2552" operator="equal">
      <formula>"Bajo"</formula>
    </cfRule>
  </conditionalFormatting>
  <conditionalFormatting sqref="AB44">
    <cfRule type="cellIs" dxfId="2241" priority="2544" operator="equal">
      <formula>"Muy Alta"</formula>
    </cfRule>
    <cfRule type="cellIs" dxfId="2240" priority="2545" operator="equal">
      <formula>"Alta"</formula>
    </cfRule>
    <cfRule type="cellIs" dxfId="2239" priority="2546" operator="equal">
      <formula>"Media"</formula>
    </cfRule>
    <cfRule type="cellIs" dxfId="2238" priority="2547" operator="equal">
      <formula>"Baja"</formula>
    </cfRule>
    <cfRule type="cellIs" dxfId="2237" priority="2548" operator="equal">
      <formula>"Muy Baja"</formula>
    </cfRule>
  </conditionalFormatting>
  <conditionalFormatting sqref="AD44">
    <cfRule type="cellIs" dxfId="2236" priority="2539" operator="equal">
      <formula>"Catastrófico"</formula>
    </cfRule>
    <cfRule type="cellIs" dxfId="2235" priority="2540" operator="equal">
      <formula>"Mayor"</formula>
    </cfRule>
    <cfRule type="cellIs" dxfId="2234" priority="2541" operator="equal">
      <formula>"Moderado"</formula>
    </cfRule>
    <cfRule type="cellIs" dxfId="2233" priority="2542" operator="equal">
      <formula>"Menor"</formula>
    </cfRule>
    <cfRule type="cellIs" dxfId="2232" priority="2543" operator="equal">
      <formula>"Leve"</formula>
    </cfRule>
  </conditionalFormatting>
  <conditionalFormatting sqref="AF44">
    <cfRule type="cellIs" dxfId="2231" priority="2535" operator="equal">
      <formula>"Extremo"</formula>
    </cfRule>
    <cfRule type="cellIs" dxfId="2230" priority="2536" operator="equal">
      <formula>"Alto"</formula>
    </cfRule>
    <cfRule type="cellIs" dxfId="2229" priority="2537" operator="equal">
      <formula>"Moderado"</formula>
    </cfRule>
    <cfRule type="cellIs" dxfId="2228" priority="2538" operator="equal">
      <formula>"Bajo"</formula>
    </cfRule>
  </conditionalFormatting>
  <conditionalFormatting sqref="AB45">
    <cfRule type="cellIs" dxfId="2227" priority="2530" operator="equal">
      <formula>"Muy Alta"</formula>
    </cfRule>
    <cfRule type="cellIs" dxfId="2226" priority="2531" operator="equal">
      <formula>"Alta"</formula>
    </cfRule>
    <cfRule type="cellIs" dxfId="2225" priority="2532" operator="equal">
      <formula>"Media"</formula>
    </cfRule>
    <cfRule type="cellIs" dxfId="2224" priority="2533" operator="equal">
      <formula>"Baja"</formula>
    </cfRule>
    <cfRule type="cellIs" dxfId="2223" priority="2534" operator="equal">
      <formula>"Muy Baja"</formula>
    </cfRule>
  </conditionalFormatting>
  <conditionalFormatting sqref="AD45">
    <cfRule type="cellIs" dxfId="2222" priority="2525" operator="equal">
      <formula>"Catastrófico"</formula>
    </cfRule>
    <cfRule type="cellIs" dxfId="2221" priority="2526" operator="equal">
      <formula>"Mayor"</formula>
    </cfRule>
    <cfRule type="cellIs" dxfId="2220" priority="2527" operator="equal">
      <formula>"Moderado"</formula>
    </cfRule>
    <cfRule type="cellIs" dxfId="2219" priority="2528" operator="equal">
      <formula>"Menor"</formula>
    </cfRule>
    <cfRule type="cellIs" dxfId="2218" priority="2529" operator="equal">
      <formula>"Leve"</formula>
    </cfRule>
  </conditionalFormatting>
  <conditionalFormatting sqref="AF45">
    <cfRule type="cellIs" dxfId="2217" priority="2521" operator="equal">
      <formula>"Extremo"</formula>
    </cfRule>
    <cfRule type="cellIs" dxfId="2216" priority="2522" operator="equal">
      <formula>"Alto"</formula>
    </cfRule>
    <cfRule type="cellIs" dxfId="2215" priority="2523" operator="equal">
      <formula>"Moderado"</formula>
    </cfRule>
    <cfRule type="cellIs" dxfId="2214" priority="2524" operator="equal">
      <formula>"Bajo"</formula>
    </cfRule>
  </conditionalFormatting>
  <conditionalFormatting sqref="AB47">
    <cfRule type="cellIs" dxfId="2213" priority="2516" operator="equal">
      <formula>"Muy Alta"</formula>
    </cfRule>
    <cfRule type="cellIs" dxfId="2212" priority="2517" operator="equal">
      <formula>"Alta"</formula>
    </cfRule>
    <cfRule type="cellIs" dxfId="2211" priority="2518" operator="equal">
      <formula>"Media"</formula>
    </cfRule>
    <cfRule type="cellIs" dxfId="2210" priority="2519" operator="equal">
      <formula>"Baja"</formula>
    </cfRule>
    <cfRule type="cellIs" dxfId="2209" priority="2520" operator="equal">
      <formula>"Muy Baja"</formula>
    </cfRule>
  </conditionalFormatting>
  <conditionalFormatting sqref="AD47">
    <cfRule type="cellIs" dxfId="2208" priority="2511" operator="equal">
      <formula>"Catastrófico"</formula>
    </cfRule>
    <cfRule type="cellIs" dxfId="2207" priority="2512" operator="equal">
      <formula>"Mayor"</formula>
    </cfRule>
    <cfRule type="cellIs" dxfId="2206" priority="2513" operator="equal">
      <formula>"Moderado"</formula>
    </cfRule>
    <cfRule type="cellIs" dxfId="2205" priority="2514" operator="equal">
      <formula>"Menor"</formula>
    </cfRule>
    <cfRule type="cellIs" dxfId="2204" priority="2515" operator="equal">
      <formula>"Leve"</formula>
    </cfRule>
  </conditionalFormatting>
  <conditionalFormatting sqref="AF47">
    <cfRule type="cellIs" dxfId="2203" priority="2507" operator="equal">
      <formula>"Extremo"</formula>
    </cfRule>
    <cfRule type="cellIs" dxfId="2202" priority="2508" operator="equal">
      <formula>"Alto"</formula>
    </cfRule>
    <cfRule type="cellIs" dxfId="2201" priority="2509" operator="equal">
      <formula>"Moderado"</formula>
    </cfRule>
    <cfRule type="cellIs" dxfId="2200" priority="2510" operator="equal">
      <formula>"Bajo"</formula>
    </cfRule>
  </conditionalFormatting>
  <conditionalFormatting sqref="AB48">
    <cfRule type="cellIs" dxfId="2199" priority="2502" operator="equal">
      <formula>"Muy Alta"</formula>
    </cfRule>
    <cfRule type="cellIs" dxfId="2198" priority="2503" operator="equal">
      <formula>"Alta"</formula>
    </cfRule>
    <cfRule type="cellIs" dxfId="2197" priority="2504" operator="equal">
      <formula>"Media"</formula>
    </cfRule>
    <cfRule type="cellIs" dxfId="2196" priority="2505" operator="equal">
      <formula>"Baja"</formula>
    </cfRule>
    <cfRule type="cellIs" dxfId="2195" priority="2506" operator="equal">
      <formula>"Muy Baja"</formula>
    </cfRule>
  </conditionalFormatting>
  <conditionalFormatting sqref="AD48">
    <cfRule type="cellIs" dxfId="2194" priority="2497" operator="equal">
      <formula>"Catastrófico"</formula>
    </cfRule>
    <cfRule type="cellIs" dxfId="2193" priority="2498" operator="equal">
      <formula>"Mayor"</formula>
    </cfRule>
    <cfRule type="cellIs" dxfId="2192" priority="2499" operator="equal">
      <formula>"Moderado"</formula>
    </cfRule>
    <cfRule type="cellIs" dxfId="2191" priority="2500" operator="equal">
      <formula>"Menor"</formula>
    </cfRule>
    <cfRule type="cellIs" dxfId="2190" priority="2501" operator="equal">
      <formula>"Leve"</formula>
    </cfRule>
  </conditionalFormatting>
  <conditionalFormatting sqref="AF48">
    <cfRule type="cellIs" dxfId="2189" priority="2493" operator="equal">
      <formula>"Extremo"</formula>
    </cfRule>
    <cfRule type="cellIs" dxfId="2188" priority="2494" operator="equal">
      <formula>"Alto"</formula>
    </cfRule>
    <cfRule type="cellIs" dxfId="2187" priority="2495" operator="equal">
      <formula>"Moderado"</formula>
    </cfRule>
    <cfRule type="cellIs" dxfId="2186" priority="2496" operator="equal">
      <formula>"Bajo"</formula>
    </cfRule>
  </conditionalFormatting>
  <conditionalFormatting sqref="AB50">
    <cfRule type="cellIs" dxfId="2185" priority="2488" operator="equal">
      <formula>"Muy Alta"</formula>
    </cfRule>
    <cfRule type="cellIs" dxfId="2184" priority="2489" operator="equal">
      <formula>"Alta"</formula>
    </cfRule>
    <cfRule type="cellIs" dxfId="2183" priority="2490" operator="equal">
      <formula>"Media"</formula>
    </cfRule>
    <cfRule type="cellIs" dxfId="2182" priority="2491" operator="equal">
      <formula>"Baja"</formula>
    </cfRule>
    <cfRule type="cellIs" dxfId="2181" priority="2492" operator="equal">
      <formula>"Muy Baja"</formula>
    </cfRule>
  </conditionalFormatting>
  <conditionalFormatting sqref="AD50">
    <cfRule type="cellIs" dxfId="2180" priority="2483" operator="equal">
      <formula>"Catastrófico"</formula>
    </cfRule>
    <cfRule type="cellIs" dxfId="2179" priority="2484" operator="equal">
      <formula>"Mayor"</formula>
    </cfRule>
    <cfRule type="cellIs" dxfId="2178" priority="2485" operator="equal">
      <formula>"Moderado"</formula>
    </cfRule>
    <cfRule type="cellIs" dxfId="2177" priority="2486" operator="equal">
      <formula>"Menor"</formula>
    </cfRule>
    <cfRule type="cellIs" dxfId="2176" priority="2487" operator="equal">
      <formula>"Leve"</formula>
    </cfRule>
  </conditionalFormatting>
  <conditionalFormatting sqref="AB52">
    <cfRule type="cellIs" dxfId="2175" priority="2474" operator="equal">
      <formula>"Muy Alta"</formula>
    </cfRule>
    <cfRule type="cellIs" dxfId="2174" priority="2475" operator="equal">
      <formula>"Alta"</formula>
    </cfRule>
    <cfRule type="cellIs" dxfId="2173" priority="2476" operator="equal">
      <formula>"Media"</formula>
    </cfRule>
    <cfRule type="cellIs" dxfId="2172" priority="2477" operator="equal">
      <formula>"Baja"</formula>
    </cfRule>
    <cfRule type="cellIs" dxfId="2171" priority="2478" operator="equal">
      <formula>"Muy Baja"</formula>
    </cfRule>
  </conditionalFormatting>
  <conditionalFormatting sqref="AB51">
    <cfRule type="cellIs" dxfId="2170" priority="2460" operator="equal">
      <formula>"Muy Alta"</formula>
    </cfRule>
    <cfRule type="cellIs" dxfId="2169" priority="2461" operator="equal">
      <formula>"Alta"</formula>
    </cfRule>
    <cfRule type="cellIs" dxfId="2168" priority="2462" operator="equal">
      <formula>"Media"</formula>
    </cfRule>
    <cfRule type="cellIs" dxfId="2167" priority="2463" operator="equal">
      <formula>"Baja"</formula>
    </cfRule>
    <cfRule type="cellIs" dxfId="2166" priority="2464" operator="equal">
      <formula>"Muy Baja"</formula>
    </cfRule>
  </conditionalFormatting>
  <conditionalFormatting sqref="AD51">
    <cfRule type="cellIs" dxfId="2165" priority="2455" operator="equal">
      <formula>"Catastrófico"</formula>
    </cfRule>
    <cfRule type="cellIs" dxfId="2164" priority="2456" operator="equal">
      <formula>"Mayor"</formula>
    </cfRule>
    <cfRule type="cellIs" dxfId="2163" priority="2457" operator="equal">
      <formula>"Moderado"</formula>
    </cfRule>
    <cfRule type="cellIs" dxfId="2162" priority="2458" operator="equal">
      <formula>"Menor"</formula>
    </cfRule>
    <cfRule type="cellIs" dxfId="2161" priority="2459" operator="equal">
      <formula>"Leve"</formula>
    </cfRule>
  </conditionalFormatting>
  <conditionalFormatting sqref="AF51">
    <cfRule type="cellIs" dxfId="2160" priority="2451" operator="equal">
      <formula>"Extremo"</formula>
    </cfRule>
    <cfRule type="cellIs" dxfId="2159" priority="2452" operator="equal">
      <formula>"Alto"</formula>
    </cfRule>
    <cfRule type="cellIs" dxfId="2158" priority="2453" operator="equal">
      <formula>"Moderado"</formula>
    </cfRule>
    <cfRule type="cellIs" dxfId="2157" priority="2454" operator="equal">
      <formula>"Bajo"</formula>
    </cfRule>
  </conditionalFormatting>
  <conditionalFormatting sqref="AB53">
    <cfRule type="cellIs" dxfId="2156" priority="2446" operator="equal">
      <formula>"Muy Alta"</formula>
    </cfRule>
    <cfRule type="cellIs" dxfId="2155" priority="2447" operator="equal">
      <formula>"Alta"</formula>
    </cfRule>
    <cfRule type="cellIs" dxfId="2154" priority="2448" operator="equal">
      <formula>"Media"</formula>
    </cfRule>
    <cfRule type="cellIs" dxfId="2153" priority="2449" operator="equal">
      <formula>"Baja"</formula>
    </cfRule>
    <cfRule type="cellIs" dxfId="2152" priority="2450" operator="equal">
      <formula>"Muy Baja"</formula>
    </cfRule>
  </conditionalFormatting>
  <conditionalFormatting sqref="AD53">
    <cfRule type="cellIs" dxfId="2151" priority="2441" operator="equal">
      <formula>"Catastrófico"</formula>
    </cfRule>
    <cfRule type="cellIs" dxfId="2150" priority="2442" operator="equal">
      <formula>"Mayor"</formula>
    </cfRule>
    <cfRule type="cellIs" dxfId="2149" priority="2443" operator="equal">
      <formula>"Moderado"</formula>
    </cfRule>
    <cfRule type="cellIs" dxfId="2148" priority="2444" operator="equal">
      <formula>"Menor"</formula>
    </cfRule>
    <cfRule type="cellIs" dxfId="2147" priority="2445" operator="equal">
      <formula>"Leve"</formula>
    </cfRule>
  </conditionalFormatting>
  <conditionalFormatting sqref="AF53">
    <cfRule type="cellIs" dxfId="2146" priority="2437" operator="equal">
      <formula>"Extremo"</formula>
    </cfRule>
    <cfRule type="cellIs" dxfId="2145" priority="2438" operator="equal">
      <formula>"Alto"</formula>
    </cfRule>
    <cfRule type="cellIs" dxfId="2144" priority="2439" operator="equal">
      <formula>"Moderado"</formula>
    </cfRule>
    <cfRule type="cellIs" dxfId="2143" priority="2440" operator="equal">
      <formula>"Bajo"</formula>
    </cfRule>
  </conditionalFormatting>
  <conditionalFormatting sqref="AB54">
    <cfRule type="cellIs" dxfId="2142" priority="2432" operator="equal">
      <formula>"Muy Alta"</formula>
    </cfRule>
    <cfRule type="cellIs" dxfId="2141" priority="2433" operator="equal">
      <formula>"Alta"</formula>
    </cfRule>
    <cfRule type="cellIs" dxfId="2140" priority="2434" operator="equal">
      <formula>"Media"</formula>
    </cfRule>
    <cfRule type="cellIs" dxfId="2139" priority="2435" operator="equal">
      <formula>"Baja"</formula>
    </cfRule>
    <cfRule type="cellIs" dxfId="2138" priority="2436" operator="equal">
      <formula>"Muy Baja"</formula>
    </cfRule>
  </conditionalFormatting>
  <conditionalFormatting sqref="AD54">
    <cfRule type="cellIs" dxfId="2137" priority="2427" operator="equal">
      <formula>"Catastrófico"</formula>
    </cfRule>
    <cfRule type="cellIs" dxfId="2136" priority="2428" operator="equal">
      <formula>"Mayor"</formula>
    </cfRule>
    <cfRule type="cellIs" dxfId="2135" priority="2429" operator="equal">
      <formula>"Moderado"</formula>
    </cfRule>
    <cfRule type="cellIs" dxfId="2134" priority="2430" operator="equal">
      <formula>"Menor"</formula>
    </cfRule>
    <cfRule type="cellIs" dxfId="2133" priority="2431" operator="equal">
      <formula>"Leve"</formula>
    </cfRule>
  </conditionalFormatting>
  <conditionalFormatting sqref="AF54">
    <cfRule type="cellIs" dxfId="2132" priority="2423" operator="equal">
      <formula>"Extremo"</formula>
    </cfRule>
    <cfRule type="cellIs" dxfId="2131" priority="2424" operator="equal">
      <formula>"Alto"</formula>
    </cfRule>
    <cfRule type="cellIs" dxfId="2130" priority="2425" operator="equal">
      <formula>"Moderado"</formula>
    </cfRule>
    <cfRule type="cellIs" dxfId="2129" priority="2426" operator="equal">
      <formula>"Bajo"</formula>
    </cfRule>
  </conditionalFormatting>
  <conditionalFormatting sqref="AB56">
    <cfRule type="cellIs" dxfId="2128" priority="2418" operator="equal">
      <formula>"Muy Alta"</formula>
    </cfRule>
    <cfRule type="cellIs" dxfId="2127" priority="2419" operator="equal">
      <formula>"Alta"</formula>
    </cfRule>
    <cfRule type="cellIs" dxfId="2126" priority="2420" operator="equal">
      <formula>"Media"</formula>
    </cfRule>
    <cfRule type="cellIs" dxfId="2125" priority="2421" operator="equal">
      <formula>"Baja"</formula>
    </cfRule>
    <cfRule type="cellIs" dxfId="2124" priority="2422" operator="equal">
      <formula>"Muy Baja"</formula>
    </cfRule>
  </conditionalFormatting>
  <conditionalFormatting sqref="AD56">
    <cfRule type="cellIs" dxfId="2123" priority="2413" operator="equal">
      <formula>"Catastrófico"</formula>
    </cfRule>
    <cfRule type="cellIs" dxfId="2122" priority="2414" operator="equal">
      <formula>"Mayor"</formula>
    </cfRule>
    <cfRule type="cellIs" dxfId="2121" priority="2415" operator="equal">
      <formula>"Moderado"</formula>
    </cfRule>
    <cfRule type="cellIs" dxfId="2120" priority="2416" operator="equal">
      <formula>"Menor"</formula>
    </cfRule>
    <cfRule type="cellIs" dxfId="2119" priority="2417" operator="equal">
      <formula>"Leve"</formula>
    </cfRule>
  </conditionalFormatting>
  <conditionalFormatting sqref="AF56">
    <cfRule type="cellIs" dxfId="2118" priority="2409" operator="equal">
      <formula>"Extremo"</formula>
    </cfRule>
    <cfRule type="cellIs" dxfId="2117" priority="2410" operator="equal">
      <formula>"Alto"</formula>
    </cfRule>
    <cfRule type="cellIs" dxfId="2116" priority="2411" operator="equal">
      <formula>"Moderado"</formula>
    </cfRule>
    <cfRule type="cellIs" dxfId="2115" priority="2412" operator="equal">
      <formula>"Bajo"</formula>
    </cfRule>
  </conditionalFormatting>
  <conditionalFormatting sqref="AB57">
    <cfRule type="cellIs" dxfId="2114" priority="2404" operator="equal">
      <formula>"Muy Alta"</formula>
    </cfRule>
    <cfRule type="cellIs" dxfId="2113" priority="2405" operator="equal">
      <formula>"Alta"</formula>
    </cfRule>
    <cfRule type="cellIs" dxfId="2112" priority="2406" operator="equal">
      <formula>"Media"</formula>
    </cfRule>
    <cfRule type="cellIs" dxfId="2111" priority="2407" operator="equal">
      <formula>"Baja"</formula>
    </cfRule>
    <cfRule type="cellIs" dxfId="2110" priority="2408" operator="equal">
      <formula>"Muy Baja"</formula>
    </cfRule>
  </conditionalFormatting>
  <conditionalFormatting sqref="AD57">
    <cfRule type="cellIs" dxfId="2109" priority="2399" operator="equal">
      <formula>"Catastrófico"</formula>
    </cfRule>
    <cfRule type="cellIs" dxfId="2108" priority="2400" operator="equal">
      <formula>"Mayor"</formula>
    </cfRule>
    <cfRule type="cellIs" dxfId="2107" priority="2401" operator="equal">
      <formula>"Moderado"</formula>
    </cfRule>
    <cfRule type="cellIs" dxfId="2106" priority="2402" operator="equal">
      <formula>"Menor"</formula>
    </cfRule>
    <cfRule type="cellIs" dxfId="2105" priority="2403" operator="equal">
      <formula>"Leve"</formula>
    </cfRule>
  </conditionalFormatting>
  <conditionalFormatting sqref="AF57">
    <cfRule type="cellIs" dxfId="2104" priority="2395" operator="equal">
      <formula>"Extremo"</formula>
    </cfRule>
    <cfRule type="cellIs" dxfId="2103" priority="2396" operator="equal">
      <formula>"Alto"</formula>
    </cfRule>
    <cfRule type="cellIs" dxfId="2102" priority="2397" operator="equal">
      <formula>"Moderado"</formula>
    </cfRule>
    <cfRule type="cellIs" dxfId="2101" priority="2398" operator="equal">
      <formula>"Bajo"</formula>
    </cfRule>
  </conditionalFormatting>
  <conditionalFormatting sqref="AB59">
    <cfRule type="cellIs" dxfId="2100" priority="2390" operator="equal">
      <formula>"Muy Alta"</formula>
    </cfRule>
    <cfRule type="cellIs" dxfId="2099" priority="2391" operator="equal">
      <formula>"Alta"</formula>
    </cfRule>
    <cfRule type="cellIs" dxfId="2098" priority="2392" operator="equal">
      <formula>"Media"</formula>
    </cfRule>
    <cfRule type="cellIs" dxfId="2097" priority="2393" operator="equal">
      <formula>"Baja"</formula>
    </cfRule>
    <cfRule type="cellIs" dxfId="2096" priority="2394" operator="equal">
      <formula>"Muy Baja"</formula>
    </cfRule>
  </conditionalFormatting>
  <conditionalFormatting sqref="AD59">
    <cfRule type="cellIs" dxfId="2095" priority="2385" operator="equal">
      <formula>"Catastrófico"</formula>
    </cfRule>
    <cfRule type="cellIs" dxfId="2094" priority="2386" operator="equal">
      <formula>"Mayor"</formula>
    </cfRule>
    <cfRule type="cellIs" dxfId="2093" priority="2387" operator="equal">
      <formula>"Moderado"</formula>
    </cfRule>
    <cfRule type="cellIs" dxfId="2092" priority="2388" operator="equal">
      <formula>"Menor"</formula>
    </cfRule>
    <cfRule type="cellIs" dxfId="2091" priority="2389" operator="equal">
      <formula>"Leve"</formula>
    </cfRule>
  </conditionalFormatting>
  <conditionalFormatting sqref="AF59">
    <cfRule type="cellIs" dxfId="2090" priority="2381" operator="equal">
      <formula>"Extremo"</formula>
    </cfRule>
    <cfRule type="cellIs" dxfId="2089" priority="2382" operator="equal">
      <formula>"Alto"</formula>
    </cfRule>
    <cfRule type="cellIs" dxfId="2088" priority="2383" operator="equal">
      <formula>"Moderado"</formula>
    </cfRule>
    <cfRule type="cellIs" dxfId="2087" priority="2384" operator="equal">
      <formula>"Bajo"</formula>
    </cfRule>
  </conditionalFormatting>
  <conditionalFormatting sqref="AB60">
    <cfRule type="cellIs" dxfId="2086" priority="2376" operator="equal">
      <formula>"Muy Alta"</formula>
    </cfRule>
    <cfRule type="cellIs" dxfId="2085" priority="2377" operator="equal">
      <formula>"Alta"</formula>
    </cfRule>
    <cfRule type="cellIs" dxfId="2084" priority="2378" operator="equal">
      <formula>"Media"</formula>
    </cfRule>
    <cfRule type="cellIs" dxfId="2083" priority="2379" operator="equal">
      <formula>"Baja"</formula>
    </cfRule>
    <cfRule type="cellIs" dxfId="2082" priority="2380" operator="equal">
      <formula>"Muy Baja"</formula>
    </cfRule>
  </conditionalFormatting>
  <conditionalFormatting sqref="AD60">
    <cfRule type="cellIs" dxfId="2081" priority="2371" operator="equal">
      <formula>"Catastrófico"</formula>
    </cfRule>
    <cfRule type="cellIs" dxfId="2080" priority="2372" operator="equal">
      <formula>"Mayor"</formula>
    </cfRule>
    <cfRule type="cellIs" dxfId="2079" priority="2373" operator="equal">
      <formula>"Moderado"</formula>
    </cfRule>
    <cfRule type="cellIs" dxfId="2078" priority="2374" operator="equal">
      <formula>"Menor"</formula>
    </cfRule>
    <cfRule type="cellIs" dxfId="2077" priority="2375" operator="equal">
      <formula>"Leve"</formula>
    </cfRule>
  </conditionalFormatting>
  <conditionalFormatting sqref="AF60">
    <cfRule type="cellIs" dxfId="2076" priority="2367" operator="equal">
      <formula>"Extremo"</formula>
    </cfRule>
    <cfRule type="cellIs" dxfId="2075" priority="2368" operator="equal">
      <formula>"Alto"</formula>
    </cfRule>
    <cfRule type="cellIs" dxfId="2074" priority="2369" operator="equal">
      <formula>"Moderado"</formula>
    </cfRule>
    <cfRule type="cellIs" dxfId="2073" priority="2370" operator="equal">
      <formula>"Bajo"</formula>
    </cfRule>
  </conditionalFormatting>
  <conditionalFormatting sqref="AB62">
    <cfRule type="cellIs" dxfId="2072" priority="2362" operator="equal">
      <formula>"Muy Alta"</formula>
    </cfRule>
    <cfRule type="cellIs" dxfId="2071" priority="2363" operator="equal">
      <formula>"Alta"</formula>
    </cfRule>
    <cfRule type="cellIs" dxfId="2070" priority="2364" operator="equal">
      <formula>"Media"</formula>
    </cfRule>
    <cfRule type="cellIs" dxfId="2069" priority="2365" operator="equal">
      <formula>"Baja"</formula>
    </cfRule>
    <cfRule type="cellIs" dxfId="2068" priority="2366" operator="equal">
      <formula>"Muy Baja"</formula>
    </cfRule>
  </conditionalFormatting>
  <conditionalFormatting sqref="AD62">
    <cfRule type="cellIs" dxfId="2067" priority="2357" operator="equal">
      <formula>"Catastrófico"</formula>
    </cfRule>
    <cfRule type="cellIs" dxfId="2066" priority="2358" operator="equal">
      <formula>"Mayor"</formula>
    </cfRule>
    <cfRule type="cellIs" dxfId="2065" priority="2359" operator="equal">
      <formula>"Moderado"</formula>
    </cfRule>
    <cfRule type="cellIs" dxfId="2064" priority="2360" operator="equal">
      <formula>"Menor"</formula>
    </cfRule>
    <cfRule type="cellIs" dxfId="2063" priority="2361" operator="equal">
      <formula>"Leve"</formula>
    </cfRule>
  </conditionalFormatting>
  <conditionalFormatting sqref="AF62">
    <cfRule type="cellIs" dxfId="2062" priority="2353" operator="equal">
      <formula>"Extremo"</formula>
    </cfRule>
    <cfRule type="cellIs" dxfId="2061" priority="2354" operator="equal">
      <formula>"Alto"</formula>
    </cfRule>
    <cfRule type="cellIs" dxfId="2060" priority="2355" operator="equal">
      <formula>"Moderado"</formula>
    </cfRule>
    <cfRule type="cellIs" dxfId="2059" priority="2356" operator="equal">
      <formula>"Bajo"</formula>
    </cfRule>
  </conditionalFormatting>
  <conditionalFormatting sqref="AB63">
    <cfRule type="cellIs" dxfId="2058" priority="2348" operator="equal">
      <formula>"Muy Alta"</formula>
    </cfRule>
    <cfRule type="cellIs" dxfId="2057" priority="2349" operator="equal">
      <formula>"Alta"</formula>
    </cfRule>
    <cfRule type="cellIs" dxfId="2056" priority="2350" operator="equal">
      <formula>"Media"</formula>
    </cfRule>
    <cfRule type="cellIs" dxfId="2055" priority="2351" operator="equal">
      <formula>"Baja"</formula>
    </cfRule>
    <cfRule type="cellIs" dxfId="2054" priority="2352" operator="equal">
      <formula>"Muy Baja"</formula>
    </cfRule>
  </conditionalFormatting>
  <conditionalFormatting sqref="AD63">
    <cfRule type="cellIs" dxfId="2053" priority="2343" operator="equal">
      <formula>"Catastrófico"</formula>
    </cfRule>
    <cfRule type="cellIs" dxfId="2052" priority="2344" operator="equal">
      <formula>"Mayor"</formula>
    </cfRule>
    <cfRule type="cellIs" dxfId="2051" priority="2345" operator="equal">
      <formula>"Moderado"</formula>
    </cfRule>
    <cfRule type="cellIs" dxfId="2050" priority="2346" operator="equal">
      <formula>"Menor"</formula>
    </cfRule>
    <cfRule type="cellIs" dxfId="2049" priority="2347" operator="equal">
      <formula>"Leve"</formula>
    </cfRule>
  </conditionalFormatting>
  <conditionalFormatting sqref="AF63">
    <cfRule type="cellIs" dxfId="2048" priority="2339" operator="equal">
      <formula>"Extremo"</formula>
    </cfRule>
    <cfRule type="cellIs" dxfId="2047" priority="2340" operator="equal">
      <formula>"Alto"</formula>
    </cfRule>
    <cfRule type="cellIs" dxfId="2046" priority="2341" operator="equal">
      <formula>"Moderado"</formula>
    </cfRule>
    <cfRule type="cellIs" dxfId="2045" priority="2342" operator="equal">
      <formula>"Bajo"</formula>
    </cfRule>
  </conditionalFormatting>
  <conditionalFormatting sqref="AB65">
    <cfRule type="cellIs" dxfId="2044" priority="2334" operator="equal">
      <formula>"Muy Alta"</formula>
    </cfRule>
    <cfRule type="cellIs" dxfId="2043" priority="2335" operator="equal">
      <formula>"Alta"</formula>
    </cfRule>
    <cfRule type="cellIs" dxfId="2042" priority="2336" operator="equal">
      <formula>"Media"</formula>
    </cfRule>
    <cfRule type="cellIs" dxfId="2041" priority="2337" operator="equal">
      <formula>"Baja"</formula>
    </cfRule>
    <cfRule type="cellIs" dxfId="2040" priority="2338" operator="equal">
      <formula>"Muy Baja"</formula>
    </cfRule>
  </conditionalFormatting>
  <conditionalFormatting sqref="AD65">
    <cfRule type="cellIs" dxfId="2039" priority="2329" operator="equal">
      <formula>"Catastrófico"</formula>
    </cfRule>
    <cfRule type="cellIs" dxfId="2038" priority="2330" operator="equal">
      <formula>"Mayor"</formula>
    </cfRule>
    <cfRule type="cellIs" dxfId="2037" priority="2331" operator="equal">
      <formula>"Moderado"</formula>
    </cfRule>
    <cfRule type="cellIs" dxfId="2036" priority="2332" operator="equal">
      <formula>"Menor"</formula>
    </cfRule>
    <cfRule type="cellIs" dxfId="2035" priority="2333" operator="equal">
      <formula>"Leve"</formula>
    </cfRule>
  </conditionalFormatting>
  <conditionalFormatting sqref="AF65">
    <cfRule type="cellIs" dxfId="2034" priority="2325" operator="equal">
      <formula>"Extremo"</formula>
    </cfRule>
    <cfRule type="cellIs" dxfId="2033" priority="2326" operator="equal">
      <formula>"Alto"</formula>
    </cfRule>
    <cfRule type="cellIs" dxfId="2032" priority="2327" operator="equal">
      <formula>"Moderado"</formula>
    </cfRule>
    <cfRule type="cellIs" dxfId="2031" priority="2328" operator="equal">
      <formula>"Bajo"</formula>
    </cfRule>
  </conditionalFormatting>
  <conditionalFormatting sqref="AB66">
    <cfRule type="cellIs" dxfId="2030" priority="2320" operator="equal">
      <formula>"Muy Alta"</formula>
    </cfRule>
    <cfRule type="cellIs" dxfId="2029" priority="2321" operator="equal">
      <formula>"Alta"</formula>
    </cfRule>
    <cfRule type="cellIs" dxfId="2028" priority="2322" operator="equal">
      <formula>"Media"</formula>
    </cfRule>
    <cfRule type="cellIs" dxfId="2027" priority="2323" operator="equal">
      <formula>"Baja"</formula>
    </cfRule>
    <cfRule type="cellIs" dxfId="2026" priority="2324" operator="equal">
      <formula>"Muy Baja"</formula>
    </cfRule>
  </conditionalFormatting>
  <conditionalFormatting sqref="AD66">
    <cfRule type="cellIs" dxfId="2025" priority="2315" operator="equal">
      <formula>"Catastrófico"</formula>
    </cfRule>
    <cfRule type="cellIs" dxfId="2024" priority="2316" operator="equal">
      <formula>"Mayor"</formula>
    </cfRule>
    <cfRule type="cellIs" dxfId="2023" priority="2317" operator="equal">
      <formula>"Moderado"</formula>
    </cfRule>
    <cfRule type="cellIs" dxfId="2022" priority="2318" operator="equal">
      <formula>"Menor"</formula>
    </cfRule>
    <cfRule type="cellIs" dxfId="2021" priority="2319" operator="equal">
      <formula>"Leve"</formula>
    </cfRule>
  </conditionalFormatting>
  <conditionalFormatting sqref="AF66">
    <cfRule type="cellIs" dxfId="2020" priority="2311" operator="equal">
      <formula>"Extremo"</formula>
    </cfRule>
    <cfRule type="cellIs" dxfId="2019" priority="2312" operator="equal">
      <formula>"Alto"</formula>
    </cfRule>
    <cfRule type="cellIs" dxfId="2018" priority="2313" operator="equal">
      <formula>"Moderado"</formula>
    </cfRule>
    <cfRule type="cellIs" dxfId="2017" priority="2314" operator="equal">
      <formula>"Bajo"</formula>
    </cfRule>
  </conditionalFormatting>
  <conditionalFormatting sqref="AB68">
    <cfRule type="cellIs" dxfId="2016" priority="2306" operator="equal">
      <formula>"Muy Alta"</formula>
    </cfRule>
    <cfRule type="cellIs" dxfId="2015" priority="2307" operator="equal">
      <formula>"Alta"</formula>
    </cfRule>
    <cfRule type="cellIs" dxfId="2014" priority="2308" operator="equal">
      <formula>"Media"</formula>
    </cfRule>
    <cfRule type="cellIs" dxfId="2013" priority="2309" operator="equal">
      <formula>"Baja"</formula>
    </cfRule>
    <cfRule type="cellIs" dxfId="2012" priority="2310" operator="equal">
      <formula>"Muy Baja"</formula>
    </cfRule>
  </conditionalFormatting>
  <conditionalFormatting sqref="AD68">
    <cfRule type="cellIs" dxfId="2011" priority="2301" operator="equal">
      <formula>"Catastrófico"</formula>
    </cfRule>
    <cfRule type="cellIs" dxfId="2010" priority="2302" operator="equal">
      <formula>"Mayor"</formula>
    </cfRule>
    <cfRule type="cellIs" dxfId="2009" priority="2303" operator="equal">
      <formula>"Moderado"</formula>
    </cfRule>
    <cfRule type="cellIs" dxfId="2008" priority="2304" operator="equal">
      <formula>"Menor"</formula>
    </cfRule>
    <cfRule type="cellIs" dxfId="2007" priority="2305" operator="equal">
      <formula>"Leve"</formula>
    </cfRule>
  </conditionalFormatting>
  <conditionalFormatting sqref="AF68">
    <cfRule type="cellIs" dxfId="2006" priority="2297" operator="equal">
      <formula>"Extremo"</formula>
    </cfRule>
    <cfRule type="cellIs" dxfId="2005" priority="2298" operator="equal">
      <formula>"Alto"</formula>
    </cfRule>
    <cfRule type="cellIs" dxfId="2004" priority="2299" operator="equal">
      <formula>"Moderado"</formula>
    </cfRule>
    <cfRule type="cellIs" dxfId="2003" priority="2300" operator="equal">
      <formula>"Bajo"</formula>
    </cfRule>
  </conditionalFormatting>
  <conditionalFormatting sqref="AB69">
    <cfRule type="cellIs" dxfId="2002" priority="2292" operator="equal">
      <formula>"Muy Alta"</formula>
    </cfRule>
    <cfRule type="cellIs" dxfId="2001" priority="2293" operator="equal">
      <formula>"Alta"</formula>
    </cfRule>
    <cfRule type="cellIs" dxfId="2000" priority="2294" operator="equal">
      <formula>"Media"</formula>
    </cfRule>
    <cfRule type="cellIs" dxfId="1999" priority="2295" operator="equal">
      <formula>"Baja"</formula>
    </cfRule>
    <cfRule type="cellIs" dxfId="1998" priority="2296" operator="equal">
      <formula>"Muy Baja"</formula>
    </cfRule>
  </conditionalFormatting>
  <conditionalFormatting sqref="AD69">
    <cfRule type="cellIs" dxfId="1997" priority="2287" operator="equal">
      <formula>"Catastrófico"</formula>
    </cfRule>
    <cfRule type="cellIs" dxfId="1996" priority="2288" operator="equal">
      <formula>"Mayor"</formula>
    </cfRule>
    <cfRule type="cellIs" dxfId="1995" priority="2289" operator="equal">
      <formula>"Moderado"</formula>
    </cfRule>
    <cfRule type="cellIs" dxfId="1994" priority="2290" operator="equal">
      <formula>"Menor"</formula>
    </cfRule>
    <cfRule type="cellIs" dxfId="1993" priority="2291" operator="equal">
      <formula>"Leve"</formula>
    </cfRule>
  </conditionalFormatting>
  <conditionalFormatting sqref="AF69">
    <cfRule type="cellIs" dxfId="1992" priority="2283" operator="equal">
      <formula>"Extremo"</formula>
    </cfRule>
    <cfRule type="cellIs" dxfId="1991" priority="2284" operator="equal">
      <formula>"Alto"</formula>
    </cfRule>
    <cfRule type="cellIs" dxfId="1990" priority="2285" operator="equal">
      <formula>"Moderado"</formula>
    </cfRule>
    <cfRule type="cellIs" dxfId="1989" priority="2286" operator="equal">
      <formula>"Bajo"</formula>
    </cfRule>
  </conditionalFormatting>
  <conditionalFormatting sqref="AB73">
    <cfRule type="cellIs" dxfId="1988" priority="2278" operator="equal">
      <formula>"Muy Alta"</formula>
    </cfRule>
    <cfRule type="cellIs" dxfId="1987" priority="2279" operator="equal">
      <formula>"Alta"</formula>
    </cfRule>
    <cfRule type="cellIs" dxfId="1986" priority="2280" operator="equal">
      <formula>"Media"</formula>
    </cfRule>
    <cfRule type="cellIs" dxfId="1985" priority="2281" operator="equal">
      <formula>"Baja"</formula>
    </cfRule>
    <cfRule type="cellIs" dxfId="1984" priority="2282" operator="equal">
      <formula>"Muy Baja"</formula>
    </cfRule>
  </conditionalFormatting>
  <conditionalFormatting sqref="AD73">
    <cfRule type="cellIs" dxfId="1983" priority="2273" operator="equal">
      <formula>"Catastrófico"</formula>
    </cfRule>
    <cfRule type="cellIs" dxfId="1982" priority="2274" operator="equal">
      <formula>"Mayor"</formula>
    </cfRule>
    <cfRule type="cellIs" dxfId="1981" priority="2275" operator="equal">
      <formula>"Moderado"</formula>
    </cfRule>
    <cfRule type="cellIs" dxfId="1980" priority="2276" operator="equal">
      <formula>"Menor"</formula>
    </cfRule>
    <cfRule type="cellIs" dxfId="1979" priority="2277" operator="equal">
      <formula>"Leve"</formula>
    </cfRule>
  </conditionalFormatting>
  <conditionalFormatting sqref="AF73">
    <cfRule type="cellIs" dxfId="1978" priority="2269" operator="equal">
      <formula>"Extremo"</formula>
    </cfRule>
    <cfRule type="cellIs" dxfId="1977" priority="2270" operator="equal">
      <formula>"Alto"</formula>
    </cfRule>
    <cfRule type="cellIs" dxfId="1976" priority="2271" operator="equal">
      <formula>"Moderado"</formula>
    </cfRule>
    <cfRule type="cellIs" dxfId="1975" priority="2272" operator="equal">
      <formula>"Bajo"</formula>
    </cfRule>
  </conditionalFormatting>
  <conditionalFormatting sqref="AB74">
    <cfRule type="cellIs" dxfId="1974" priority="2264" operator="equal">
      <formula>"Muy Alta"</formula>
    </cfRule>
    <cfRule type="cellIs" dxfId="1973" priority="2265" operator="equal">
      <formula>"Alta"</formula>
    </cfRule>
    <cfRule type="cellIs" dxfId="1972" priority="2266" operator="equal">
      <formula>"Media"</formula>
    </cfRule>
    <cfRule type="cellIs" dxfId="1971" priority="2267" operator="equal">
      <formula>"Baja"</formula>
    </cfRule>
    <cfRule type="cellIs" dxfId="1970" priority="2268" operator="equal">
      <formula>"Muy Baja"</formula>
    </cfRule>
  </conditionalFormatting>
  <conditionalFormatting sqref="AD74">
    <cfRule type="cellIs" dxfId="1969" priority="2259" operator="equal">
      <formula>"Catastrófico"</formula>
    </cfRule>
    <cfRule type="cellIs" dxfId="1968" priority="2260" operator="equal">
      <formula>"Mayor"</formula>
    </cfRule>
    <cfRule type="cellIs" dxfId="1967" priority="2261" operator="equal">
      <formula>"Moderado"</formula>
    </cfRule>
    <cfRule type="cellIs" dxfId="1966" priority="2262" operator="equal">
      <formula>"Menor"</formula>
    </cfRule>
    <cfRule type="cellIs" dxfId="1965" priority="2263" operator="equal">
      <formula>"Leve"</formula>
    </cfRule>
  </conditionalFormatting>
  <conditionalFormatting sqref="AF74">
    <cfRule type="cellIs" dxfId="1964" priority="2255" operator="equal">
      <formula>"Extremo"</formula>
    </cfRule>
    <cfRule type="cellIs" dxfId="1963" priority="2256" operator="equal">
      <formula>"Alto"</formula>
    </cfRule>
    <cfRule type="cellIs" dxfId="1962" priority="2257" operator="equal">
      <formula>"Moderado"</formula>
    </cfRule>
    <cfRule type="cellIs" dxfId="1961" priority="2258" operator="equal">
      <formula>"Bajo"</formula>
    </cfRule>
  </conditionalFormatting>
  <conditionalFormatting sqref="AB75">
    <cfRule type="cellIs" dxfId="1960" priority="2250" operator="equal">
      <formula>"Muy Alta"</formula>
    </cfRule>
    <cfRule type="cellIs" dxfId="1959" priority="2251" operator="equal">
      <formula>"Alta"</formula>
    </cfRule>
    <cfRule type="cellIs" dxfId="1958" priority="2252" operator="equal">
      <formula>"Media"</formula>
    </cfRule>
    <cfRule type="cellIs" dxfId="1957" priority="2253" operator="equal">
      <formula>"Baja"</formula>
    </cfRule>
    <cfRule type="cellIs" dxfId="1956" priority="2254" operator="equal">
      <formula>"Muy Baja"</formula>
    </cfRule>
  </conditionalFormatting>
  <conditionalFormatting sqref="AD75">
    <cfRule type="cellIs" dxfId="1955" priority="2245" operator="equal">
      <formula>"Catastrófico"</formula>
    </cfRule>
    <cfRule type="cellIs" dxfId="1954" priority="2246" operator="equal">
      <formula>"Mayor"</formula>
    </cfRule>
    <cfRule type="cellIs" dxfId="1953" priority="2247" operator="equal">
      <formula>"Moderado"</formula>
    </cfRule>
    <cfRule type="cellIs" dxfId="1952" priority="2248" operator="equal">
      <formula>"Menor"</formula>
    </cfRule>
    <cfRule type="cellIs" dxfId="1951" priority="2249" operator="equal">
      <formula>"Leve"</formula>
    </cfRule>
  </conditionalFormatting>
  <conditionalFormatting sqref="AF75">
    <cfRule type="cellIs" dxfId="1950" priority="2241" operator="equal">
      <formula>"Extremo"</formula>
    </cfRule>
    <cfRule type="cellIs" dxfId="1949" priority="2242" operator="equal">
      <formula>"Alto"</formula>
    </cfRule>
    <cfRule type="cellIs" dxfId="1948" priority="2243" operator="equal">
      <formula>"Moderado"</formula>
    </cfRule>
    <cfRule type="cellIs" dxfId="1947" priority="2244" operator="equal">
      <formula>"Bajo"</formula>
    </cfRule>
  </conditionalFormatting>
  <conditionalFormatting sqref="AB77">
    <cfRule type="cellIs" dxfId="1946" priority="2236" operator="equal">
      <formula>"Muy Alta"</formula>
    </cfRule>
    <cfRule type="cellIs" dxfId="1945" priority="2237" operator="equal">
      <formula>"Alta"</formula>
    </cfRule>
    <cfRule type="cellIs" dxfId="1944" priority="2238" operator="equal">
      <formula>"Media"</formula>
    </cfRule>
    <cfRule type="cellIs" dxfId="1943" priority="2239" operator="equal">
      <formula>"Baja"</formula>
    </cfRule>
    <cfRule type="cellIs" dxfId="1942" priority="2240" operator="equal">
      <formula>"Muy Baja"</formula>
    </cfRule>
  </conditionalFormatting>
  <conditionalFormatting sqref="AD77">
    <cfRule type="cellIs" dxfId="1941" priority="2231" operator="equal">
      <formula>"Catastrófico"</formula>
    </cfRule>
    <cfRule type="cellIs" dxfId="1940" priority="2232" operator="equal">
      <formula>"Mayor"</formula>
    </cfRule>
    <cfRule type="cellIs" dxfId="1939" priority="2233" operator="equal">
      <formula>"Moderado"</formula>
    </cfRule>
    <cfRule type="cellIs" dxfId="1938" priority="2234" operator="equal">
      <formula>"Menor"</formula>
    </cfRule>
    <cfRule type="cellIs" dxfId="1937" priority="2235" operator="equal">
      <formula>"Leve"</formula>
    </cfRule>
  </conditionalFormatting>
  <conditionalFormatting sqref="AF77">
    <cfRule type="cellIs" dxfId="1936" priority="2227" operator="equal">
      <formula>"Extremo"</formula>
    </cfRule>
    <cfRule type="cellIs" dxfId="1935" priority="2228" operator="equal">
      <formula>"Alto"</formula>
    </cfRule>
    <cfRule type="cellIs" dxfId="1934" priority="2229" operator="equal">
      <formula>"Moderado"</formula>
    </cfRule>
    <cfRule type="cellIs" dxfId="1933" priority="2230" operator="equal">
      <formula>"Bajo"</formula>
    </cfRule>
  </conditionalFormatting>
  <conditionalFormatting sqref="AB76">
    <cfRule type="cellIs" dxfId="1932" priority="2222" operator="equal">
      <formula>"Muy Alta"</formula>
    </cfRule>
    <cfRule type="cellIs" dxfId="1931" priority="2223" operator="equal">
      <formula>"Alta"</formula>
    </cfRule>
    <cfRule type="cellIs" dxfId="1930" priority="2224" operator="equal">
      <formula>"Media"</formula>
    </cfRule>
    <cfRule type="cellIs" dxfId="1929" priority="2225" operator="equal">
      <formula>"Baja"</formula>
    </cfRule>
    <cfRule type="cellIs" dxfId="1928" priority="2226" operator="equal">
      <formula>"Muy Baja"</formula>
    </cfRule>
  </conditionalFormatting>
  <conditionalFormatting sqref="AD76">
    <cfRule type="cellIs" dxfId="1927" priority="2217" operator="equal">
      <formula>"Catastrófico"</formula>
    </cfRule>
    <cfRule type="cellIs" dxfId="1926" priority="2218" operator="equal">
      <formula>"Mayor"</formula>
    </cfRule>
    <cfRule type="cellIs" dxfId="1925" priority="2219" operator="equal">
      <formula>"Moderado"</formula>
    </cfRule>
    <cfRule type="cellIs" dxfId="1924" priority="2220" operator="equal">
      <formula>"Menor"</formula>
    </cfRule>
    <cfRule type="cellIs" dxfId="1923" priority="2221" operator="equal">
      <formula>"Leve"</formula>
    </cfRule>
  </conditionalFormatting>
  <conditionalFormatting sqref="AF76">
    <cfRule type="cellIs" dxfId="1922" priority="2213" operator="equal">
      <formula>"Extremo"</formula>
    </cfRule>
    <cfRule type="cellIs" dxfId="1921" priority="2214" operator="equal">
      <formula>"Alto"</formula>
    </cfRule>
    <cfRule type="cellIs" dxfId="1920" priority="2215" operator="equal">
      <formula>"Moderado"</formula>
    </cfRule>
    <cfRule type="cellIs" dxfId="1919" priority="2216" operator="equal">
      <formula>"Bajo"</formula>
    </cfRule>
  </conditionalFormatting>
  <conditionalFormatting sqref="AB78">
    <cfRule type="cellIs" dxfId="1918" priority="2208" operator="equal">
      <formula>"Muy Alta"</formula>
    </cfRule>
    <cfRule type="cellIs" dxfId="1917" priority="2209" operator="equal">
      <formula>"Alta"</formula>
    </cfRule>
    <cfRule type="cellIs" dxfId="1916" priority="2210" operator="equal">
      <formula>"Media"</formula>
    </cfRule>
    <cfRule type="cellIs" dxfId="1915" priority="2211" operator="equal">
      <formula>"Baja"</formula>
    </cfRule>
    <cfRule type="cellIs" dxfId="1914" priority="2212" operator="equal">
      <formula>"Muy Baja"</formula>
    </cfRule>
  </conditionalFormatting>
  <conditionalFormatting sqref="AD78">
    <cfRule type="cellIs" dxfId="1913" priority="2203" operator="equal">
      <formula>"Catastrófico"</formula>
    </cfRule>
    <cfRule type="cellIs" dxfId="1912" priority="2204" operator="equal">
      <formula>"Mayor"</formula>
    </cfRule>
    <cfRule type="cellIs" dxfId="1911" priority="2205" operator="equal">
      <formula>"Moderado"</formula>
    </cfRule>
    <cfRule type="cellIs" dxfId="1910" priority="2206" operator="equal">
      <formula>"Menor"</formula>
    </cfRule>
    <cfRule type="cellIs" dxfId="1909" priority="2207" operator="equal">
      <formula>"Leve"</formula>
    </cfRule>
  </conditionalFormatting>
  <conditionalFormatting sqref="AF78">
    <cfRule type="cellIs" dxfId="1908" priority="2199" operator="equal">
      <formula>"Extremo"</formula>
    </cfRule>
    <cfRule type="cellIs" dxfId="1907" priority="2200" operator="equal">
      <formula>"Alto"</formula>
    </cfRule>
    <cfRule type="cellIs" dxfId="1906" priority="2201" operator="equal">
      <formula>"Moderado"</formula>
    </cfRule>
    <cfRule type="cellIs" dxfId="1905" priority="2202" operator="equal">
      <formula>"Bajo"</formula>
    </cfRule>
  </conditionalFormatting>
  <conditionalFormatting sqref="AB80">
    <cfRule type="cellIs" dxfId="1904" priority="2194" operator="equal">
      <formula>"Muy Alta"</formula>
    </cfRule>
    <cfRule type="cellIs" dxfId="1903" priority="2195" operator="equal">
      <formula>"Alta"</formula>
    </cfRule>
    <cfRule type="cellIs" dxfId="1902" priority="2196" operator="equal">
      <formula>"Media"</formula>
    </cfRule>
    <cfRule type="cellIs" dxfId="1901" priority="2197" operator="equal">
      <formula>"Baja"</formula>
    </cfRule>
    <cfRule type="cellIs" dxfId="1900" priority="2198" operator="equal">
      <formula>"Muy Baja"</formula>
    </cfRule>
  </conditionalFormatting>
  <conditionalFormatting sqref="AD80">
    <cfRule type="cellIs" dxfId="1899" priority="2189" operator="equal">
      <formula>"Catastrófico"</formula>
    </cfRule>
    <cfRule type="cellIs" dxfId="1898" priority="2190" operator="equal">
      <formula>"Mayor"</formula>
    </cfRule>
    <cfRule type="cellIs" dxfId="1897" priority="2191" operator="equal">
      <formula>"Moderado"</formula>
    </cfRule>
    <cfRule type="cellIs" dxfId="1896" priority="2192" operator="equal">
      <formula>"Menor"</formula>
    </cfRule>
    <cfRule type="cellIs" dxfId="1895" priority="2193" operator="equal">
      <formula>"Leve"</formula>
    </cfRule>
  </conditionalFormatting>
  <conditionalFormatting sqref="AF80">
    <cfRule type="cellIs" dxfId="1894" priority="2185" operator="equal">
      <formula>"Extremo"</formula>
    </cfRule>
    <cfRule type="cellIs" dxfId="1893" priority="2186" operator="equal">
      <formula>"Alto"</formula>
    </cfRule>
    <cfRule type="cellIs" dxfId="1892" priority="2187" operator="equal">
      <formula>"Moderado"</formula>
    </cfRule>
    <cfRule type="cellIs" dxfId="1891" priority="2188" operator="equal">
      <formula>"Bajo"</formula>
    </cfRule>
  </conditionalFormatting>
  <conditionalFormatting sqref="AB81">
    <cfRule type="cellIs" dxfId="1890" priority="2180" operator="equal">
      <formula>"Muy Alta"</formula>
    </cfRule>
    <cfRule type="cellIs" dxfId="1889" priority="2181" operator="equal">
      <formula>"Alta"</formula>
    </cfRule>
    <cfRule type="cellIs" dxfId="1888" priority="2182" operator="equal">
      <formula>"Media"</formula>
    </cfRule>
    <cfRule type="cellIs" dxfId="1887" priority="2183" operator="equal">
      <formula>"Baja"</formula>
    </cfRule>
    <cfRule type="cellIs" dxfId="1886" priority="2184" operator="equal">
      <formula>"Muy Baja"</formula>
    </cfRule>
  </conditionalFormatting>
  <conditionalFormatting sqref="AD81">
    <cfRule type="cellIs" dxfId="1885" priority="2175" operator="equal">
      <formula>"Catastrófico"</formula>
    </cfRule>
    <cfRule type="cellIs" dxfId="1884" priority="2176" operator="equal">
      <formula>"Mayor"</formula>
    </cfRule>
    <cfRule type="cellIs" dxfId="1883" priority="2177" operator="equal">
      <formula>"Moderado"</formula>
    </cfRule>
    <cfRule type="cellIs" dxfId="1882" priority="2178" operator="equal">
      <formula>"Menor"</formula>
    </cfRule>
    <cfRule type="cellIs" dxfId="1881" priority="2179" operator="equal">
      <formula>"Leve"</formula>
    </cfRule>
  </conditionalFormatting>
  <conditionalFormatting sqref="AF81">
    <cfRule type="cellIs" dxfId="1880" priority="2171" operator="equal">
      <formula>"Extremo"</formula>
    </cfRule>
    <cfRule type="cellIs" dxfId="1879" priority="2172" operator="equal">
      <formula>"Alto"</formula>
    </cfRule>
    <cfRule type="cellIs" dxfId="1878" priority="2173" operator="equal">
      <formula>"Moderado"</formula>
    </cfRule>
    <cfRule type="cellIs" dxfId="1877" priority="2174" operator="equal">
      <formula>"Bajo"</formula>
    </cfRule>
  </conditionalFormatting>
  <conditionalFormatting sqref="AB83">
    <cfRule type="cellIs" dxfId="1876" priority="2166" operator="equal">
      <formula>"Muy Alta"</formula>
    </cfRule>
    <cfRule type="cellIs" dxfId="1875" priority="2167" operator="equal">
      <formula>"Alta"</formula>
    </cfRule>
    <cfRule type="cellIs" dxfId="1874" priority="2168" operator="equal">
      <formula>"Media"</formula>
    </cfRule>
    <cfRule type="cellIs" dxfId="1873" priority="2169" operator="equal">
      <formula>"Baja"</formula>
    </cfRule>
    <cfRule type="cellIs" dxfId="1872" priority="2170" operator="equal">
      <formula>"Muy Baja"</formula>
    </cfRule>
  </conditionalFormatting>
  <conditionalFormatting sqref="AD83">
    <cfRule type="cellIs" dxfId="1871" priority="2161" operator="equal">
      <formula>"Catastrófico"</formula>
    </cfRule>
    <cfRule type="cellIs" dxfId="1870" priority="2162" operator="equal">
      <formula>"Mayor"</formula>
    </cfRule>
    <cfRule type="cellIs" dxfId="1869" priority="2163" operator="equal">
      <formula>"Moderado"</formula>
    </cfRule>
    <cfRule type="cellIs" dxfId="1868" priority="2164" operator="equal">
      <formula>"Menor"</formula>
    </cfRule>
    <cfRule type="cellIs" dxfId="1867" priority="2165" operator="equal">
      <formula>"Leve"</formula>
    </cfRule>
  </conditionalFormatting>
  <conditionalFormatting sqref="AF83">
    <cfRule type="cellIs" dxfId="1866" priority="2157" operator="equal">
      <formula>"Extremo"</formula>
    </cfRule>
    <cfRule type="cellIs" dxfId="1865" priority="2158" operator="equal">
      <formula>"Alto"</formula>
    </cfRule>
    <cfRule type="cellIs" dxfId="1864" priority="2159" operator="equal">
      <formula>"Moderado"</formula>
    </cfRule>
    <cfRule type="cellIs" dxfId="1863" priority="2160" operator="equal">
      <formula>"Bajo"</formula>
    </cfRule>
  </conditionalFormatting>
  <conditionalFormatting sqref="AB84">
    <cfRule type="cellIs" dxfId="1862" priority="2152" operator="equal">
      <formula>"Muy Alta"</formula>
    </cfRule>
    <cfRule type="cellIs" dxfId="1861" priority="2153" operator="equal">
      <formula>"Alta"</formula>
    </cfRule>
    <cfRule type="cellIs" dxfId="1860" priority="2154" operator="equal">
      <formula>"Media"</formula>
    </cfRule>
    <cfRule type="cellIs" dxfId="1859" priority="2155" operator="equal">
      <formula>"Baja"</formula>
    </cfRule>
    <cfRule type="cellIs" dxfId="1858" priority="2156" operator="equal">
      <formula>"Muy Baja"</formula>
    </cfRule>
  </conditionalFormatting>
  <conditionalFormatting sqref="AD84">
    <cfRule type="cellIs" dxfId="1857" priority="2147" operator="equal">
      <formula>"Catastrófico"</formula>
    </cfRule>
    <cfRule type="cellIs" dxfId="1856" priority="2148" operator="equal">
      <formula>"Mayor"</formula>
    </cfRule>
    <cfRule type="cellIs" dxfId="1855" priority="2149" operator="equal">
      <formula>"Moderado"</formula>
    </cfRule>
    <cfRule type="cellIs" dxfId="1854" priority="2150" operator="equal">
      <formula>"Menor"</formula>
    </cfRule>
    <cfRule type="cellIs" dxfId="1853" priority="2151" operator="equal">
      <formula>"Leve"</formula>
    </cfRule>
  </conditionalFormatting>
  <conditionalFormatting sqref="AF84">
    <cfRule type="cellIs" dxfId="1852" priority="2143" operator="equal">
      <formula>"Extremo"</formula>
    </cfRule>
    <cfRule type="cellIs" dxfId="1851" priority="2144" operator="equal">
      <formula>"Alto"</formula>
    </cfRule>
    <cfRule type="cellIs" dxfId="1850" priority="2145" operator="equal">
      <formula>"Moderado"</formula>
    </cfRule>
    <cfRule type="cellIs" dxfId="1849" priority="2146" operator="equal">
      <formula>"Bajo"</formula>
    </cfRule>
  </conditionalFormatting>
  <conditionalFormatting sqref="AB89">
    <cfRule type="cellIs" dxfId="1848" priority="2138" operator="equal">
      <formula>"Muy Alta"</formula>
    </cfRule>
    <cfRule type="cellIs" dxfId="1847" priority="2139" operator="equal">
      <formula>"Alta"</formula>
    </cfRule>
    <cfRule type="cellIs" dxfId="1846" priority="2140" operator="equal">
      <formula>"Media"</formula>
    </cfRule>
    <cfRule type="cellIs" dxfId="1845" priority="2141" operator="equal">
      <formula>"Baja"</formula>
    </cfRule>
    <cfRule type="cellIs" dxfId="1844" priority="2142" operator="equal">
      <formula>"Muy Baja"</formula>
    </cfRule>
  </conditionalFormatting>
  <conditionalFormatting sqref="AD89">
    <cfRule type="cellIs" dxfId="1843" priority="2133" operator="equal">
      <formula>"Catastrófico"</formula>
    </cfRule>
    <cfRule type="cellIs" dxfId="1842" priority="2134" operator="equal">
      <formula>"Mayor"</formula>
    </cfRule>
    <cfRule type="cellIs" dxfId="1841" priority="2135" operator="equal">
      <formula>"Moderado"</formula>
    </cfRule>
    <cfRule type="cellIs" dxfId="1840" priority="2136" operator="equal">
      <formula>"Menor"</formula>
    </cfRule>
    <cfRule type="cellIs" dxfId="1839" priority="2137" operator="equal">
      <formula>"Leve"</formula>
    </cfRule>
  </conditionalFormatting>
  <conditionalFormatting sqref="AF89">
    <cfRule type="cellIs" dxfId="1838" priority="2129" operator="equal">
      <formula>"Extremo"</formula>
    </cfRule>
    <cfRule type="cellIs" dxfId="1837" priority="2130" operator="equal">
      <formula>"Alto"</formula>
    </cfRule>
    <cfRule type="cellIs" dxfId="1836" priority="2131" operator="equal">
      <formula>"Moderado"</formula>
    </cfRule>
    <cfRule type="cellIs" dxfId="1835" priority="2132" operator="equal">
      <formula>"Bajo"</formula>
    </cfRule>
  </conditionalFormatting>
  <conditionalFormatting sqref="AB90">
    <cfRule type="cellIs" dxfId="1834" priority="2124" operator="equal">
      <formula>"Muy Alta"</formula>
    </cfRule>
    <cfRule type="cellIs" dxfId="1833" priority="2125" operator="equal">
      <formula>"Alta"</formula>
    </cfRule>
    <cfRule type="cellIs" dxfId="1832" priority="2126" operator="equal">
      <formula>"Media"</formula>
    </cfRule>
    <cfRule type="cellIs" dxfId="1831" priority="2127" operator="equal">
      <formula>"Baja"</formula>
    </cfRule>
    <cfRule type="cellIs" dxfId="1830" priority="2128" operator="equal">
      <formula>"Muy Baja"</formula>
    </cfRule>
  </conditionalFormatting>
  <conditionalFormatting sqref="AD90">
    <cfRule type="cellIs" dxfId="1829" priority="2119" operator="equal">
      <formula>"Catastrófico"</formula>
    </cfRule>
    <cfRule type="cellIs" dxfId="1828" priority="2120" operator="equal">
      <formula>"Mayor"</formula>
    </cfRule>
    <cfRule type="cellIs" dxfId="1827" priority="2121" operator="equal">
      <formula>"Moderado"</formula>
    </cfRule>
    <cfRule type="cellIs" dxfId="1826" priority="2122" operator="equal">
      <formula>"Menor"</formula>
    </cfRule>
    <cfRule type="cellIs" dxfId="1825" priority="2123" operator="equal">
      <formula>"Leve"</formula>
    </cfRule>
  </conditionalFormatting>
  <conditionalFormatting sqref="AF90">
    <cfRule type="cellIs" dxfId="1824" priority="2115" operator="equal">
      <formula>"Extremo"</formula>
    </cfRule>
    <cfRule type="cellIs" dxfId="1823" priority="2116" operator="equal">
      <formula>"Alto"</formula>
    </cfRule>
    <cfRule type="cellIs" dxfId="1822" priority="2117" operator="equal">
      <formula>"Moderado"</formula>
    </cfRule>
    <cfRule type="cellIs" dxfId="1821" priority="2118" operator="equal">
      <formula>"Bajo"</formula>
    </cfRule>
  </conditionalFormatting>
  <conditionalFormatting sqref="AB92">
    <cfRule type="cellIs" dxfId="1820" priority="2110" operator="equal">
      <formula>"Muy Alta"</formula>
    </cfRule>
    <cfRule type="cellIs" dxfId="1819" priority="2111" operator="equal">
      <formula>"Alta"</formula>
    </cfRule>
    <cfRule type="cellIs" dxfId="1818" priority="2112" operator="equal">
      <formula>"Media"</formula>
    </cfRule>
    <cfRule type="cellIs" dxfId="1817" priority="2113" operator="equal">
      <formula>"Baja"</formula>
    </cfRule>
    <cfRule type="cellIs" dxfId="1816" priority="2114" operator="equal">
      <formula>"Muy Baja"</formula>
    </cfRule>
  </conditionalFormatting>
  <conditionalFormatting sqref="AD92">
    <cfRule type="cellIs" dxfId="1815" priority="2105" operator="equal">
      <formula>"Catastrófico"</formula>
    </cfRule>
    <cfRule type="cellIs" dxfId="1814" priority="2106" operator="equal">
      <formula>"Mayor"</formula>
    </cfRule>
    <cfRule type="cellIs" dxfId="1813" priority="2107" operator="equal">
      <formula>"Moderado"</formula>
    </cfRule>
    <cfRule type="cellIs" dxfId="1812" priority="2108" operator="equal">
      <formula>"Menor"</formula>
    </cfRule>
    <cfRule type="cellIs" dxfId="1811" priority="2109" operator="equal">
      <formula>"Leve"</formula>
    </cfRule>
  </conditionalFormatting>
  <conditionalFormatting sqref="AF92">
    <cfRule type="cellIs" dxfId="1810" priority="2101" operator="equal">
      <formula>"Extremo"</formula>
    </cfRule>
    <cfRule type="cellIs" dxfId="1809" priority="2102" operator="equal">
      <formula>"Alto"</formula>
    </cfRule>
    <cfRule type="cellIs" dxfId="1808" priority="2103" operator="equal">
      <formula>"Moderado"</formula>
    </cfRule>
    <cfRule type="cellIs" dxfId="1807" priority="2104" operator="equal">
      <formula>"Bajo"</formula>
    </cfRule>
  </conditionalFormatting>
  <conditionalFormatting sqref="AB94">
    <cfRule type="cellIs" dxfId="1806" priority="2096" operator="equal">
      <formula>"Muy Alta"</formula>
    </cfRule>
    <cfRule type="cellIs" dxfId="1805" priority="2097" operator="equal">
      <formula>"Alta"</formula>
    </cfRule>
    <cfRule type="cellIs" dxfId="1804" priority="2098" operator="equal">
      <formula>"Media"</formula>
    </cfRule>
    <cfRule type="cellIs" dxfId="1803" priority="2099" operator="equal">
      <formula>"Baja"</formula>
    </cfRule>
    <cfRule type="cellIs" dxfId="1802" priority="2100" operator="equal">
      <formula>"Muy Baja"</formula>
    </cfRule>
  </conditionalFormatting>
  <conditionalFormatting sqref="AD94">
    <cfRule type="cellIs" dxfId="1801" priority="2091" operator="equal">
      <formula>"Catastrófico"</formula>
    </cfRule>
    <cfRule type="cellIs" dxfId="1800" priority="2092" operator="equal">
      <formula>"Mayor"</formula>
    </cfRule>
    <cfRule type="cellIs" dxfId="1799" priority="2093" operator="equal">
      <formula>"Moderado"</formula>
    </cfRule>
    <cfRule type="cellIs" dxfId="1798" priority="2094" operator="equal">
      <formula>"Menor"</formula>
    </cfRule>
    <cfRule type="cellIs" dxfId="1797" priority="2095" operator="equal">
      <formula>"Leve"</formula>
    </cfRule>
  </conditionalFormatting>
  <conditionalFormatting sqref="AF94">
    <cfRule type="cellIs" dxfId="1796" priority="2087" operator="equal">
      <formula>"Extremo"</formula>
    </cfRule>
    <cfRule type="cellIs" dxfId="1795" priority="2088" operator="equal">
      <formula>"Alto"</formula>
    </cfRule>
    <cfRule type="cellIs" dxfId="1794" priority="2089" operator="equal">
      <formula>"Moderado"</formula>
    </cfRule>
    <cfRule type="cellIs" dxfId="1793" priority="2090" operator="equal">
      <formula>"Bajo"</formula>
    </cfRule>
  </conditionalFormatting>
  <conditionalFormatting sqref="AB93">
    <cfRule type="cellIs" dxfId="1792" priority="2082" operator="equal">
      <formula>"Muy Alta"</formula>
    </cfRule>
    <cfRule type="cellIs" dxfId="1791" priority="2083" operator="equal">
      <formula>"Alta"</formula>
    </cfRule>
    <cfRule type="cellIs" dxfId="1790" priority="2084" operator="equal">
      <formula>"Media"</formula>
    </cfRule>
    <cfRule type="cellIs" dxfId="1789" priority="2085" operator="equal">
      <formula>"Baja"</formula>
    </cfRule>
    <cfRule type="cellIs" dxfId="1788" priority="2086" operator="equal">
      <formula>"Muy Baja"</formula>
    </cfRule>
  </conditionalFormatting>
  <conditionalFormatting sqref="AD93">
    <cfRule type="cellIs" dxfId="1787" priority="2077" operator="equal">
      <formula>"Catastrófico"</formula>
    </cfRule>
    <cfRule type="cellIs" dxfId="1786" priority="2078" operator="equal">
      <formula>"Mayor"</formula>
    </cfRule>
    <cfRule type="cellIs" dxfId="1785" priority="2079" operator="equal">
      <formula>"Moderado"</formula>
    </cfRule>
    <cfRule type="cellIs" dxfId="1784" priority="2080" operator="equal">
      <formula>"Menor"</formula>
    </cfRule>
    <cfRule type="cellIs" dxfId="1783" priority="2081" operator="equal">
      <formula>"Leve"</formula>
    </cfRule>
  </conditionalFormatting>
  <conditionalFormatting sqref="AF93">
    <cfRule type="cellIs" dxfId="1782" priority="2073" operator="equal">
      <formula>"Extremo"</formula>
    </cfRule>
    <cfRule type="cellIs" dxfId="1781" priority="2074" operator="equal">
      <formula>"Alto"</formula>
    </cfRule>
    <cfRule type="cellIs" dxfId="1780" priority="2075" operator="equal">
      <formula>"Moderado"</formula>
    </cfRule>
    <cfRule type="cellIs" dxfId="1779" priority="2076" operator="equal">
      <formula>"Bajo"</formula>
    </cfRule>
  </conditionalFormatting>
  <conditionalFormatting sqref="AB95">
    <cfRule type="cellIs" dxfId="1778" priority="2068" operator="equal">
      <formula>"Muy Alta"</formula>
    </cfRule>
    <cfRule type="cellIs" dxfId="1777" priority="2069" operator="equal">
      <formula>"Alta"</formula>
    </cfRule>
    <cfRule type="cellIs" dxfId="1776" priority="2070" operator="equal">
      <formula>"Media"</formula>
    </cfRule>
    <cfRule type="cellIs" dxfId="1775" priority="2071" operator="equal">
      <formula>"Baja"</formula>
    </cfRule>
    <cfRule type="cellIs" dxfId="1774" priority="2072" operator="equal">
      <formula>"Muy Baja"</formula>
    </cfRule>
  </conditionalFormatting>
  <conditionalFormatting sqref="AD95">
    <cfRule type="cellIs" dxfId="1773" priority="2063" operator="equal">
      <formula>"Catastrófico"</formula>
    </cfRule>
    <cfRule type="cellIs" dxfId="1772" priority="2064" operator="equal">
      <formula>"Mayor"</formula>
    </cfRule>
    <cfRule type="cellIs" dxfId="1771" priority="2065" operator="equal">
      <formula>"Moderado"</formula>
    </cfRule>
    <cfRule type="cellIs" dxfId="1770" priority="2066" operator="equal">
      <formula>"Menor"</formula>
    </cfRule>
    <cfRule type="cellIs" dxfId="1769" priority="2067" operator="equal">
      <formula>"Leve"</formula>
    </cfRule>
  </conditionalFormatting>
  <conditionalFormatting sqref="AF95">
    <cfRule type="cellIs" dxfId="1768" priority="2059" operator="equal">
      <formula>"Extremo"</formula>
    </cfRule>
    <cfRule type="cellIs" dxfId="1767" priority="2060" operator="equal">
      <formula>"Alto"</formula>
    </cfRule>
    <cfRule type="cellIs" dxfId="1766" priority="2061" operator="equal">
      <formula>"Moderado"</formula>
    </cfRule>
    <cfRule type="cellIs" dxfId="1765" priority="2062" operator="equal">
      <formula>"Bajo"</formula>
    </cfRule>
  </conditionalFormatting>
  <conditionalFormatting sqref="AB96">
    <cfRule type="cellIs" dxfId="1764" priority="2054" operator="equal">
      <formula>"Muy Alta"</formula>
    </cfRule>
    <cfRule type="cellIs" dxfId="1763" priority="2055" operator="equal">
      <formula>"Alta"</formula>
    </cfRule>
    <cfRule type="cellIs" dxfId="1762" priority="2056" operator="equal">
      <formula>"Media"</formula>
    </cfRule>
    <cfRule type="cellIs" dxfId="1761" priority="2057" operator="equal">
      <formula>"Baja"</formula>
    </cfRule>
    <cfRule type="cellIs" dxfId="1760" priority="2058" operator="equal">
      <formula>"Muy Baja"</formula>
    </cfRule>
  </conditionalFormatting>
  <conditionalFormatting sqref="AD96">
    <cfRule type="cellIs" dxfId="1759" priority="2049" operator="equal">
      <formula>"Catastrófico"</formula>
    </cfRule>
    <cfRule type="cellIs" dxfId="1758" priority="2050" operator="equal">
      <formula>"Mayor"</formula>
    </cfRule>
    <cfRule type="cellIs" dxfId="1757" priority="2051" operator="equal">
      <formula>"Moderado"</formula>
    </cfRule>
    <cfRule type="cellIs" dxfId="1756" priority="2052" operator="equal">
      <formula>"Menor"</formula>
    </cfRule>
    <cfRule type="cellIs" dxfId="1755" priority="2053" operator="equal">
      <formula>"Leve"</formula>
    </cfRule>
  </conditionalFormatting>
  <conditionalFormatting sqref="AF96">
    <cfRule type="cellIs" dxfId="1754" priority="2045" operator="equal">
      <formula>"Extremo"</formula>
    </cfRule>
    <cfRule type="cellIs" dxfId="1753" priority="2046" operator="equal">
      <formula>"Alto"</formula>
    </cfRule>
    <cfRule type="cellIs" dxfId="1752" priority="2047" operator="equal">
      <formula>"Moderado"</formula>
    </cfRule>
    <cfRule type="cellIs" dxfId="1751" priority="2048" operator="equal">
      <formula>"Bajo"</formula>
    </cfRule>
  </conditionalFormatting>
  <conditionalFormatting sqref="AB98">
    <cfRule type="cellIs" dxfId="1750" priority="2040" operator="equal">
      <formula>"Muy Alta"</formula>
    </cfRule>
    <cfRule type="cellIs" dxfId="1749" priority="2041" operator="equal">
      <formula>"Alta"</formula>
    </cfRule>
    <cfRule type="cellIs" dxfId="1748" priority="2042" operator="equal">
      <formula>"Media"</formula>
    </cfRule>
    <cfRule type="cellIs" dxfId="1747" priority="2043" operator="equal">
      <formula>"Baja"</formula>
    </cfRule>
    <cfRule type="cellIs" dxfId="1746" priority="2044" operator="equal">
      <formula>"Muy Baja"</formula>
    </cfRule>
  </conditionalFormatting>
  <conditionalFormatting sqref="AD98">
    <cfRule type="cellIs" dxfId="1745" priority="2035" operator="equal">
      <formula>"Catastrófico"</formula>
    </cfRule>
    <cfRule type="cellIs" dxfId="1744" priority="2036" operator="equal">
      <formula>"Mayor"</formula>
    </cfRule>
    <cfRule type="cellIs" dxfId="1743" priority="2037" operator="equal">
      <formula>"Moderado"</formula>
    </cfRule>
    <cfRule type="cellIs" dxfId="1742" priority="2038" operator="equal">
      <formula>"Menor"</formula>
    </cfRule>
    <cfRule type="cellIs" dxfId="1741" priority="2039" operator="equal">
      <formula>"Leve"</formula>
    </cfRule>
  </conditionalFormatting>
  <conditionalFormatting sqref="AF98">
    <cfRule type="cellIs" dxfId="1740" priority="2031" operator="equal">
      <formula>"Extremo"</formula>
    </cfRule>
    <cfRule type="cellIs" dxfId="1739" priority="2032" operator="equal">
      <formula>"Alto"</formula>
    </cfRule>
    <cfRule type="cellIs" dxfId="1738" priority="2033" operator="equal">
      <formula>"Moderado"</formula>
    </cfRule>
    <cfRule type="cellIs" dxfId="1737" priority="2034" operator="equal">
      <formula>"Bajo"</formula>
    </cfRule>
  </conditionalFormatting>
  <conditionalFormatting sqref="AB103">
    <cfRule type="cellIs" dxfId="1736" priority="1998" operator="equal">
      <formula>"Muy Alta"</formula>
    </cfRule>
    <cfRule type="cellIs" dxfId="1735" priority="1999" operator="equal">
      <formula>"Alta"</formula>
    </cfRule>
    <cfRule type="cellIs" dxfId="1734" priority="2000" operator="equal">
      <formula>"Media"</formula>
    </cfRule>
    <cfRule type="cellIs" dxfId="1733" priority="2001" operator="equal">
      <formula>"Baja"</formula>
    </cfRule>
    <cfRule type="cellIs" dxfId="1732" priority="2002" operator="equal">
      <formula>"Muy Baja"</formula>
    </cfRule>
  </conditionalFormatting>
  <conditionalFormatting sqref="AD103">
    <cfRule type="cellIs" dxfId="1731" priority="1993" operator="equal">
      <formula>"Catastrófico"</formula>
    </cfRule>
    <cfRule type="cellIs" dxfId="1730" priority="1994" operator="equal">
      <formula>"Mayor"</formula>
    </cfRule>
    <cfRule type="cellIs" dxfId="1729" priority="1995" operator="equal">
      <formula>"Moderado"</formula>
    </cfRule>
    <cfRule type="cellIs" dxfId="1728" priority="1996" operator="equal">
      <formula>"Menor"</formula>
    </cfRule>
    <cfRule type="cellIs" dxfId="1727" priority="1997" operator="equal">
      <formula>"Leve"</formula>
    </cfRule>
  </conditionalFormatting>
  <conditionalFormatting sqref="AF103">
    <cfRule type="cellIs" dxfId="1726" priority="1989" operator="equal">
      <formula>"Extremo"</formula>
    </cfRule>
    <cfRule type="cellIs" dxfId="1725" priority="1990" operator="equal">
      <formula>"Alto"</formula>
    </cfRule>
    <cfRule type="cellIs" dxfId="1724" priority="1991" operator="equal">
      <formula>"Moderado"</formula>
    </cfRule>
    <cfRule type="cellIs" dxfId="1723" priority="1992" operator="equal">
      <formula>"Bajo"</formula>
    </cfRule>
  </conditionalFormatting>
  <conditionalFormatting sqref="AB104">
    <cfRule type="cellIs" dxfId="1722" priority="1956" operator="equal">
      <formula>"Muy Alta"</formula>
    </cfRule>
    <cfRule type="cellIs" dxfId="1721" priority="1957" operator="equal">
      <formula>"Alta"</formula>
    </cfRule>
    <cfRule type="cellIs" dxfId="1720" priority="1958" operator="equal">
      <formula>"Media"</formula>
    </cfRule>
    <cfRule type="cellIs" dxfId="1719" priority="1959" operator="equal">
      <formula>"Baja"</formula>
    </cfRule>
    <cfRule type="cellIs" dxfId="1718" priority="1960" operator="equal">
      <formula>"Muy Baja"</formula>
    </cfRule>
  </conditionalFormatting>
  <conditionalFormatting sqref="AD104">
    <cfRule type="cellIs" dxfId="1717" priority="1951" operator="equal">
      <formula>"Catastrófico"</formula>
    </cfRule>
    <cfRule type="cellIs" dxfId="1716" priority="1952" operator="equal">
      <formula>"Mayor"</formula>
    </cfRule>
    <cfRule type="cellIs" dxfId="1715" priority="1953" operator="equal">
      <formula>"Moderado"</formula>
    </cfRule>
    <cfRule type="cellIs" dxfId="1714" priority="1954" operator="equal">
      <formula>"Menor"</formula>
    </cfRule>
    <cfRule type="cellIs" dxfId="1713" priority="1955" operator="equal">
      <formula>"Leve"</formula>
    </cfRule>
  </conditionalFormatting>
  <conditionalFormatting sqref="AF104">
    <cfRule type="cellIs" dxfId="1712" priority="1947" operator="equal">
      <formula>"Extremo"</formula>
    </cfRule>
    <cfRule type="cellIs" dxfId="1711" priority="1948" operator="equal">
      <formula>"Alto"</formula>
    </cfRule>
    <cfRule type="cellIs" dxfId="1710" priority="1949" operator="equal">
      <formula>"Moderado"</formula>
    </cfRule>
    <cfRule type="cellIs" dxfId="1709" priority="1950" operator="equal">
      <formula>"Bajo"</formula>
    </cfRule>
  </conditionalFormatting>
  <conditionalFormatting sqref="AB105">
    <cfRule type="cellIs" dxfId="1708" priority="1942" operator="equal">
      <formula>"Muy Alta"</formula>
    </cfRule>
    <cfRule type="cellIs" dxfId="1707" priority="1943" operator="equal">
      <formula>"Alta"</formula>
    </cfRule>
    <cfRule type="cellIs" dxfId="1706" priority="1944" operator="equal">
      <formula>"Media"</formula>
    </cfRule>
    <cfRule type="cellIs" dxfId="1705" priority="1945" operator="equal">
      <formula>"Baja"</formula>
    </cfRule>
    <cfRule type="cellIs" dxfId="1704" priority="1946" operator="equal">
      <formula>"Muy Baja"</formula>
    </cfRule>
  </conditionalFormatting>
  <conditionalFormatting sqref="AD105">
    <cfRule type="cellIs" dxfId="1703" priority="1937" operator="equal">
      <formula>"Catastrófico"</formula>
    </cfRule>
    <cfRule type="cellIs" dxfId="1702" priority="1938" operator="equal">
      <formula>"Mayor"</formula>
    </cfRule>
    <cfRule type="cellIs" dxfId="1701" priority="1939" operator="equal">
      <formula>"Moderado"</formula>
    </cfRule>
    <cfRule type="cellIs" dxfId="1700" priority="1940" operator="equal">
      <formula>"Menor"</formula>
    </cfRule>
    <cfRule type="cellIs" dxfId="1699" priority="1941" operator="equal">
      <formula>"Leve"</formula>
    </cfRule>
  </conditionalFormatting>
  <conditionalFormatting sqref="AF105">
    <cfRule type="cellIs" dxfId="1698" priority="1933" operator="equal">
      <formula>"Extremo"</formula>
    </cfRule>
    <cfRule type="cellIs" dxfId="1697" priority="1934" operator="equal">
      <formula>"Alto"</formula>
    </cfRule>
    <cfRule type="cellIs" dxfId="1696" priority="1935" operator="equal">
      <formula>"Moderado"</formula>
    </cfRule>
    <cfRule type="cellIs" dxfId="1695" priority="1936" operator="equal">
      <formula>"Bajo"</formula>
    </cfRule>
  </conditionalFormatting>
  <conditionalFormatting sqref="AB107">
    <cfRule type="cellIs" dxfId="1694" priority="1928" operator="equal">
      <formula>"Muy Alta"</formula>
    </cfRule>
    <cfRule type="cellIs" dxfId="1693" priority="1929" operator="equal">
      <formula>"Alta"</formula>
    </cfRule>
    <cfRule type="cellIs" dxfId="1692" priority="1930" operator="equal">
      <formula>"Media"</formula>
    </cfRule>
    <cfRule type="cellIs" dxfId="1691" priority="1931" operator="equal">
      <formula>"Baja"</formula>
    </cfRule>
    <cfRule type="cellIs" dxfId="1690" priority="1932" operator="equal">
      <formula>"Muy Baja"</formula>
    </cfRule>
  </conditionalFormatting>
  <conditionalFormatting sqref="AD107">
    <cfRule type="cellIs" dxfId="1689" priority="1923" operator="equal">
      <formula>"Catastrófico"</formula>
    </cfRule>
    <cfRule type="cellIs" dxfId="1688" priority="1924" operator="equal">
      <formula>"Mayor"</formula>
    </cfRule>
    <cfRule type="cellIs" dxfId="1687" priority="1925" operator="equal">
      <formula>"Moderado"</formula>
    </cfRule>
    <cfRule type="cellIs" dxfId="1686" priority="1926" operator="equal">
      <formula>"Menor"</formula>
    </cfRule>
    <cfRule type="cellIs" dxfId="1685" priority="1927" operator="equal">
      <formula>"Leve"</formula>
    </cfRule>
  </conditionalFormatting>
  <conditionalFormatting sqref="AF107">
    <cfRule type="cellIs" dxfId="1684" priority="1919" operator="equal">
      <formula>"Extremo"</formula>
    </cfRule>
    <cfRule type="cellIs" dxfId="1683" priority="1920" operator="equal">
      <formula>"Alto"</formula>
    </cfRule>
    <cfRule type="cellIs" dxfId="1682" priority="1921" operator="equal">
      <formula>"Moderado"</formula>
    </cfRule>
    <cfRule type="cellIs" dxfId="1681" priority="1922" operator="equal">
      <formula>"Bajo"</formula>
    </cfRule>
  </conditionalFormatting>
  <conditionalFormatting sqref="AB108">
    <cfRule type="cellIs" dxfId="1680" priority="1914" operator="equal">
      <formula>"Muy Alta"</formula>
    </cfRule>
    <cfRule type="cellIs" dxfId="1679" priority="1915" operator="equal">
      <formula>"Alta"</formula>
    </cfRule>
    <cfRule type="cellIs" dxfId="1678" priority="1916" operator="equal">
      <formula>"Media"</formula>
    </cfRule>
    <cfRule type="cellIs" dxfId="1677" priority="1917" operator="equal">
      <formula>"Baja"</formula>
    </cfRule>
    <cfRule type="cellIs" dxfId="1676" priority="1918" operator="equal">
      <formula>"Muy Baja"</formula>
    </cfRule>
  </conditionalFormatting>
  <conditionalFormatting sqref="AD108">
    <cfRule type="cellIs" dxfId="1675" priority="1909" operator="equal">
      <formula>"Catastrófico"</formula>
    </cfRule>
    <cfRule type="cellIs" dxfId="1674" priority="1910" operator="equal">
      <formula>"Mayor"</formula>
    </cfRule>
    <cfRule type="cellIs" dxfId="1673" priority="1911" operator="equal">
      <formula>"Moderado"</formula>
    </cfRule>
    <cfRule type="cellIs" dxfId="1672" priority="1912" operator="equal">
      <formula>"Menor"</formula>
    </cfRule>
    <cfRule type="cellIs" dxfId="1671" priority="1913" operator="equal">
      <formula>"Leve"</formula>
    </cfRule>
  </conditionalFormatting>
  <conditionalFormatting sqref="AF108">
    <cfRule type="cellIs" dxfId="1670" priority="1905" operator="equal">
      <formula>"Extremo"</formula>
    </cfRule>
    <cfRule type="cellIs" dxfId="1669" priority="1906" operator="equal">
      <formula>"Alto"</formula>
    </cfRule>
    <cfRule type="cellIs" dxfId="1668" priority="1907" operator="equal">
      <formula>"Moderado"</formula>
    </cfRule>
    <cfRule type="cellIs" dxfId="1667" priority="1908" operator="equal">
      <formula>"Bajo"</formula>
    </cfRule>
  </conditionalFormatting>
  <conditionalFormatting sqref="AB124">
    <cfRule type="cellIs" dxfId="1666" priority="1900" operator="equal">
      <formula>"Muy Alta"</formula>
    </cfRule>
    <cfRule type="cellIs" dxfId="1665" priority="1901" operator="equal">
      <formula>"Alta"</formula>
    </cfRule>
    <cfRule type="cellIs" dxfId="1664" priority="1902" operator="equal">
      <formula>"Media"</formula>
    </cfRule>
    <cfRule type="cellIs" dxfId="1663" priority="1903" operator="equal">
      <formula>"Baja"</formula>
    </cfRule>
    <cfRule type="cellIs" dxfId="1662" priority="1904" operator="equal">
      <formula>"Muy Baja"</formula>
    </cfRule>
  </conditionalFormatting>
  <conditionalFormatting sqref="AD124">
    <cfRule type="cellIs" dxfId="1661" priority="1895" operator="equal">
      <formula>"Catastrófico"</formula>
    </cfRule>
    <cfRule type="cellIs" dxfId="1660" priority="1896" operator="equal">
      <formula>"Mayor"</formula>
    </cfRule>
    <cfRule type="cellIs" dxfId="1659" priority="1897" operator="equal">
      <formula>"Moderado"</formula>
    </cfRule>
    <cfRule type="cellIs" dxfId="1658" priority="1898" operator="equal">
      <formula>"Menor"</formula>
    </cfRule>
    <cfRule type="cellIs" dxfId="1657" priority="1899" operator="equal">
      <formula>"Leve"</formula>
    </cfRule>
  </conditionalFormatting>
  <conditionalFormatting sqref="AF124">
    <cfRule type="cellIs" dxfId="1656" priority="1891" operator="equal">
      <formula>"Extremo"</formula>
    </cfRule>
    <cfRule type="cellIs" dxfId="1655" priority="1892" operator="equal">
      <formula>"Alto"</formula>
    </cfRule>
    <cfRule type="cellIs" dxfId="1654" priority="1893" operator="equal">
      <formula>"Moderado"</formula>
    </cfRule>
    <cfRule type="cellIs" dxfId="1653" priority="1894" operator="equal">
      <formula>"Bajo"</formula>
    </cfRule>
  </conditionalFormatting>
  <conditionalFormatting sqref="AB125">
    <cfRule type="cellIs" dxfId="1652" priority="1886" operator="equal">
      <formula>"Muy Alta"</formula>
    </cfRule>
    <cfRule type="cellIs" dxfId="1651" priority="1887" operator="equal">
      <formula>"Alta"</formula>
    </cfRule>
    <cfRule type="cellIs" dxfId="1650" priority="1888" operator="equal">
      <formula>"Media"</formula>
    </cfRule>
    <cfRule type="cellIs" dxfId="1649" priority="1889" operator="equal">
      <formula>"Baja"</formula>
    </cfRule>
    <cfRule type="cellIs" dxfId="1648" priority="1890" operator="equal">
      <formula>"Muy Baja"</formula>
    </cfRule>
  </conditionalFormatting>
  <conditionalFormatting sqref="AD125">
    <cfRule type="cellIs" dxfId="1647" priority="1881" operator="equal">
      <formula>"Catastrófico"</formula>
    </cfRule>
    <cfRule type="cellIs" dxfId="1646" priority="1882" operator="equal">
      <formula>"Mayor"</formula>
    </cfRule>
    <cfRule type="cellIs" dxfId="1645" priority="1883" operator="equal">
      <formula>"Moderado"</formula>
    </cfRule>
    <cfRule type="cellIs" dxfId="1644" priority="1884" operator="equal">
      <formula>"Menor"</formula>
    </cfRule>
    <cfRule type="cellIs" dxfId="1643" priority="1885" operator="equal">
      <formula>"Leve"</formula>
    </cfRule>
  </conditionalFormatting>
  <conditionalFormatting sqref="AF125">
    <cfRule type="cellIs" dxfId="1642" priority="1877" operator="equal">
      <formula>"Extremo"</formula>
    </cfRule>
    <cfRule type="cellIs" dxfId="1641" priority="1878" operator="equal">
      <formula>"Alto"</formula>
    </cfRule>
    <cfRule type="cellIs" dxfId="1640" priority="1879" operator="equal">
      <formula>"Moderado"</formula>
    </cfRule>
    <cfRule type="cellIs" dxfId="1639" priority="1880" operator="equal">
      <formula>"Bajo"</formula>
    </cfRule>
  </conditionalFormatting>
  <conditionalFormatting sqref="AB126">
    <cfRule type="cellIs" dxfId="1638" priority="1872" operator="equal">
      <formula>"Muy Alta"</formula>
    </cfRule>
    <cfRule type="cellIs" dxfId="1637" priority="1873" operator="equal">
      <formula>"Alta"</formula>
    </cfRule>
    <cfRule type="cellIs" dxfId="1636" priority="1874" operator="equal">
      <formula>"Media"</formula>
    </cfRule>
    <cfRule type="cellIs" dxfId="1635" priority="1875" operator="equal">
      <formula>"Baja"</formula>
    </cfRule>
    <cfRule type="cellIs" dxfId="1634" priority="1876" operator="equal">
      <formula>"Muy Baja"</formula>
    </cfRule>
  </conditionalFormatting>
  <conditionalFormatting sqref="AD126">
    <cfRule type="cellIs" dxfId="1633" priority="1867" operator="equal">
      <formula>"Catastrófico"</formula>
    </cfRule>
    <cfRule type="cellIs" dxfId="1632" priority="1868" operator="equal">
      <formula>"Mayor"</formula>
    </cfRule>
    <cfRule type="cellIs" dxfId="1631" priority="1869" operator="equal">
      <formula>"Moderado"</formula>
    </cfRule>
    <cfRule type="cellIs" dxfId="1630" priority="1870" operator="equal">
      <formula>"Menor"</formula>
    </cfRule>
    <cfRule type="cellIs" dxfId="1629" priority="1871" operator="equal">
      <formula>"Leve"</formula>
    </cfRule>
  </conditionalFormatting>
  <conditionalFormatting sqref="AF126">
    <cfRule type="cellIs" dxfId="1628" priority="1863" operator="equal">
      <formula>"Extremo"</formula>
    </cfRule>
    <cfRule type="cellIs" dxfId="1627" priority="1864" operator="equal">
      <formula>"Alto"</formula>
    </cfRule>
    <cfRule type="cellIs" dxfId="1626" priority="1865" operator="equal">
      <formula>"Moderado"</formula>
    </cfRule>
    <cfRule type="cellIs" dxfId="1625" priority="1866" operator="equal">
      <formula>"Bajo"</formula>
    </cfRule>
  </conditionalFormatting>
  <conditionalFormatting sqref="K10">
    <cfRule type="cellIs" dxfId="1624" priority="1858" operator="equal">
      <formula>"Muy Alta"</formula>
    </cfRule>
    <cfRule type="cellIs" dxfId="1623" priority="1859" operator="equal">
      <formula>"Alta"</formula>
    </cfRule>
    <cfRule type="cellIs" dxfId="1622" priority="1860" operator="equal">
      <formula>"Media"</formula>
    </cfRule>
    <cfRule type="cellIs" dxfId="1621" priority="1861" operator="equal">
      <formula>"Baja"</formula>
    </cfRule>
    <cfRule type="cellIs" dxfId="1620" priority="1862" operator="equal">
      <formula>"Muy Baja"</formula>
    </cfRule>
  </conditionalFormatting>
  <conditionalFormatting sqref="O10">
    <cfRule type="cellIs" dxfId="1619" priority="1853" operator="equal">
      <formula>"Catastrófico"</formula>
    </cfRule>
    <cfRule type="cellIs" dxfId="1618" priority="1854" operator="equal">
      <formula>"Mayor"</formula>
    </cfRule>
    <cfRule type="cellIs" dxfId="1617" priority="1855" operator="equal">
      <formula>"Moderado"</formula>
    </cfRule>
    <cfRule type="cellIs" dxfId="1616" priority="1856" operator="equal">
      <formula>"Menor"</formula>
    </cfRule>
    <cfRule type="cellIs" dxfId="1615" priority="1857" operator="equal">
      <formula>"Leve"</formula>
    </cfRule>
  </conditionalFormatting>
  <conditionalFormatting sqref="Q10">
    <cfRule type="cellIs" dxfId="1614" priority="1849" operator="equal">
      <formula>"Extremo"</formula>
    </cfRule>
    <cfRule type="cellIs" dxfId="1613" priority="1850" operator="equal">
      <formula>"Alto"</formula>
    </cfRule>
    <cfRule type="cellIs" dxfId="1612" priority="1851" operator="equal">
      <formula>"Moderado"</formula>
    </cfRule>
    <cfRule type="cellIs" dxfId="1611" priority="1852" operator="equal">
      <formula>"Bajo"</formula>
    </cfRule>
  </conditionalFormatting>
  <conditionalFormatting sqref="N10:N12">
    <cfRule type="containsText" dxfId="1610" priority="1848" operator="containsText" text="❌">
      <formula>NOT(ISERROR(SEARCH("❌",N10)))</formula>
    </cfRule>
  </conditionalFormatting>
  <conditionalFormatting sqref="K13">
    <cfRule type="cellIs" dxfId="1609" priority="1843" operator="equal">
      <formula>"Muy Alta"</formula>
    </cfRule>
    <cfRule type="cellIs" dxfId="1608" priority="1844" operator="equal">
      <formula>"Alta"</formula>
    </cfRule>
    <cfRule type="cellIs" dxfId="1607" priority="1845" operator="equal">
      <formula>"Media"</formula>
    </cfRule>
    <cfRule type="cellIs" dxfId="1606" priority="1846" operator="equal">
      <formula>"Baja"</formula>
    </cfRule>
    <cfRule type="cellIs" dxfId="1605" priority="1847" operator="equal">
      <formula>"Muy Baja"</formula>
    </cfRule>
  </conditionalFormatting>
  <conditionalFormatting sqref="O13">
    <cfRule type="cellIs" dxfId="1604" priority="1838" operator="equal">
      <formula>"Catastrófico"</formula>
    </cfRule>
    <cfRule type="cellIs" dxfId="1603" priority="1839" operator="equal">
      <formula>"Mayor"</formula>
    </cfRule>
    <cfRule type="cellIs" dxfId="1602" priority="1840" operator="equal">
      <formula>"Moderado"</formula>
    </cfRule>
    <cfRule type="cellIs" dxfId="1601" priority="1841" operator="equal">
      <formula>"Menor"</formula>
    </cfRule>
    <cfRule type="cellIs" dxfId="1600" priority="1842" operator="equal">
      <formula>"Leve"</formula>
    </cfRule>
  </conditionalFormatting>
  <conditionalFormatting sqref="Q13">
    <cfRule type="cellIs" dxfId="1599" priority="1834" operator="equal">
      <formula>"Extremo"</formula>
    </cfRule>
    <cfRule type="cellIs" dxfId="1598" priority="1835" operator="equal">
      <formula>"Alto"</formula>
    </cfRule>
    <cfRule type="cellIs" dxfId="1597" priority="1836" operator="equal">
      <formula>"Moderado"</formula>
    </cfRule>
    <cfRule type="cellIs" dxfId="1596" priority="1837" operator="equal">
      <formula>"Bajo"</formula>
    </cfRule>
  </conditionalFormatting>
  <conditionalFormatting sqref="N13:N15">
    <cfRule type="containsText" dxfId="1595" priority="1833" operator="containsText" text="❌">
      <formula>NOT(ISERROR(SEARCH("❌",N13)))</formula>
    </cfRule>
  </conditionalFormatting>
  <conditionalFormatting sqref="K16">
    <cfRule type="cellIs" dxfId="1594" priority="1813" operator="equal">
      <formula>"Muy Alta"</formula>
    </cfRule>
    <cfRule type="cellIs" dxfId="1593" priority="1814" operator="equal">
      <formula>"Alta"</formula>
    </cfRule>
    <cfRule type="cellIs" dxfId="1592" priority="1815" operator="equal">
      <formula>"Media"</formula>
    </cfRule>
    <cfRule type="cellIs" dxfId="1591" priority="1816" operator="equal">
      <formula>"Baja"</formula>
    </cfRule>
    <cfRule type="cellIs" dxfId="1590" priority="1817" operator="equal">
      <formula>"Muy Baja"</formula>
    </cfRule>
  </conditionalFormatting>
  <conditionalFormatting sqref="O16">
    <cfRule type="cellIs" dxfId="1589" priority="1808" operator="equal">
      <formula>"Catastrófico"</formula>
    </cfRule>
    <cfRule type="cellIs" dxfId="1588" priority="1809" operator="equal">
      <formula>"Mayor"</formula>
    </cfRule>
    <cfRule type="cellIs" dxfId="1587" priority="1810" operator="equal">
      <formula>"Moderado"</formula>
    </cfRule>
    <cfRule type="cellIs" dxfId="1586" priority="1811" operator="equal">
      <formula>"Menor"</formula>
    </cfRule>
    <cfRule type="cellIs" dxfId="1585" priority="1812" operator="equal">
      <formula>"Leve"</formula>
    </cfRule>
  </conditionalFormatting>
  <conditionalFormatting sqref="Q16">
    <cfRule type="cellIs" dxfId="1584" priority="1804" operator="equal">
      <formula>"Extremo"</formula>
    </cfRule>
    <cfRule type="cellIs" dxfId="1583" priority="1805" operator="equal">
      <formula>"Alto"</formula>
    </cfRule>
    <cfRule type="cellIs" dxfId="1582" priority="1806" operator="equal">
      <formula>"Moderado"</formula>
    </cfRule>
    <cfRule type="cellIs" dxfId="1581" priority="1807" operator="equal">
      <formula>"Bajo"</formula>
    </cfRule>
  </conditionalFormatting>
  <conditionalFormatting sqref="N16:N18">
    <cfRule type="containsText" dxfId="1580" priority="1803" operator="containsText" text="❌">
      <formula>NOT(ISERROR(SEARCH("❌",N16)))</formula>
    </cfRule>
  </conditionalFormatting>
  <conditionalFormatting sqref="K19">
    <cfRule type="cellIs" dxfId="1579" priority="1798" operator="equal">
      <formula>"Muy Alta"</formula>
    </cfRule>
    <cfRule type="cellIs" dxfId="1578" priority="1799" operator="equal">
      <formula>"Alta"</formula>
    </cfRule>
    <cfRule type="cellIs" dxfId="1577" priority="1800" operator="equal">
      <formula>"Media"</formula>
    </cfRule>
    <cfRule type="cellIs" dxfId="1576" priority="1801" operator="equal">
      <formula>"Baja"</formula>
    </cfRule>
    <cfRule type="cellIs" dxfId="1575" priority="1802" operator="equal">
      <formula>"Muy Baja"</formula>
    </cfRule>
  </conditionalFormatting>
  <conditionalFormatting sqref="O19">
    <cfRule type="cellIs" dxfId="1574" priority="1793" operator="equal">
      <formula>"Catastrófico"</formula>
    </cfRule>
    <cfRule type="cellIs" dxfId="1573" priority="1794" operator="equal">
      <formula>"Mayor"</formula>
    </cfRule>
    <cfRule type="cellIs" dxfId="1572" priority="1795" operator="equal">
      <formula>"Moderado"</formula>
    </cfRule>
    <cfRule type="cellIs" dxfId="1571" priority="1796" operator="equal">
      <formula>"Menor"</formula>
    </cfRule>
    <cfRule type="cellIs" dxfId="1570" priority="1797" operator="equal">
      <formula>"Leve"</formula>
    </cfRule>
  </conditionalFormatting>
  <conditionalFormatting sqref="Q19">
    <cfRule type="cellIs" dxfId="1569" priority="1789" operator="equal">
      <formula>"Extremo"</formula>
    </cfRule>
    <cfRule type="cellIs" dxfId="1568" priority="1790" operator="equal">
      <formula>"Alto"</formula>
    </cfRule>
    <cfRule type="cellIs" dxfId="1567" priority="1791" operator="equal">
      <formula>"Moderado"</formula>
    </cfRule>
    <cfRule type="cellIs" dxfId="1566" priority="1792" operator="equal">
      <formula>"Bajo"</formula>
    </cfRule>
  </conditionalFormatting>
  <conditionalFormatting sqref="N19:N21">
    <cfRule type="containsText" dxfId="1565" priority="1788" operator="containsText" text="❌">
      <formula>NOT(ISERROR(SEARCH("❌",N19)))</formula>
    </cfRule>
  </conditionalFormatting>
  <conditionalFormatting sqref="K22">
    <cfRule type="cellIs" dxfId="1564" priority="1783" operator="equal">
      <formula>"Muy Alta"</formula>
    </cfRule>
    <cfRule type="cellIs" dxfId="1563" priority="1784" operator="equal">
      <formula>"Alta"</formula>
    </cfRule>
    <cfRule type="cellIs" dxfId="1562" priority="1785" operator="equal">
      <formula>"Media"</formula>
    </cfRule>
    <cfRule type="cellIs" dxfId="1561" priority="1786" operator="equal">
      <formula>"Baja"</formula>
    </cfRule>
    <cfRule type="cellIs" dxfId="1560" priority="1787" operator="equal">
      <formula>"Muy Baja"</formula>
    </cfRule>
  </conditionalFormatting>
  <conditionalFormatting sqref="O22">
    <cfRule type="cellIs" dxfId="1559" priority="1778" operator="equal">
      <formula>"Catastrófico"</formula>
    </cfRule>
    <cfRule type="cellIs" dxfId="1558" priority="1779" operator="equal">
      <formula>"Mayor"</formula>
    </cfRule>
    <cfRule type="cellIs" dxfId="1557" priority="1780" operator="equal">
      <formula>"Moderado"</formula>
    </cfRule>
    <cfRule type="cellIs" dxfId="1556" priority="1781" operator="equal">
      <formula>"Menor"</formula>
    </cfRule>
    <cfRule type="cellIs" dxfId="1555" priority="1782" operator="equal">
      <formula>"Leve"</formula>
    </cfRule>
  </conditionalFormatting>
  <conditionalFormatting sqref="Q22">
    <cfRule type="cellIs" dxfId="1554" priority="1774" operator="equal">
      <formula>"Extremo"</formula>
    </cfRule>
    <cfRule type="cellIs" dxfId="1553" priority="1775" operator="equal">
      <formula>"Alto"</formula>
    </cfRule>
    <cfRule type="cellIs" dxfId="1552" priority="1776" operator="equal">
      <formula>"Moderado"</formula>
    </cfRule>
    <cfRule type="cellIs" dxfId="1551" priority="1777" operator="equal">
      <formula>"Bajo"</formula>
    </cfRule>
  </conditionalFormatting>
  <conditionalFormatting sqref="N22:N24">
    <cfRule type="containsText" dxfId="1550" priority="1773" operator="containsText" text="❌">
      <formula>NOT(ISERROR(SEARCH("❌",N22)))</formula>
    </cfRule>
  </conditionalFormatting>
  <conditionalFormatting sqref="K25">
    <cfRule type="cellIs" dxfId="1549" priority="1768" operator="equal">
      <formula>"Muy Alta"</formula>
    </cfRule>
    <cfRule type="cellIs" dxfId="1548" priority="1769" operator="equal">
      <formula>"Alta"</formula>
    </cfRule>
    <cfRule type="cellIs" dxfId="1547" priority="1770" operator="equal">
      <formula>"Media"</formula>
    </cfRule>
    <cfRule type="cellIs" dxfId="1546" priority="1771" operator="equal">
      <formula>"Baja"</formula>
    </cfRule>
    <cfRule type="cellIs" dxfId="1545" priority="1772" operator="equal">
      <formula>"Muy Baja"</formula>
    </cfRule>
  </conditionalFormatting>
  <conditionalFormatting sqref="O25">
    <cfRule type="cellIs" dxfId="1544" priority="1763" operator="equal">
      <formula>"Catastrófico"</formula>
    </cfRule>
    <cfRule type="cellIs" dxfId="1543" priority="1764" operator="equal">
      <formula>"Mayor"</formula>
    </cfRule>
    <cfRule type="cellIs" dxfId="1542" priority="1765" operator="equal">
      <formula>"Moderado"</formula>
    </cfRule>
    <cfRule type="cellIs" dxfId="1541" priority="1766" operator="equal">
      <formula>"Menor"</formula>
    </cfRule>
    <cfRule type="cellIs" dxfId="1540" priority="1767" operator="equal">
      <formula>"Leve"</formula>
    </cfRule>
  </conditionalFormatting>
  <conditionalFormatting sqref="Q25">
    <cfRule type="cellIs" dxfId="1539" priority="1759" operator="equal">
      <formula>"Extremo"</formula>
    </cfRule>
    <cfRule type="cellIs" dxfId="1538" priority="1760" operator="equal">
      <formula>"Alto"</formula>
    </cfRule>
    <cfRule type="cellIs" dxfId="1537" priority="1761" operator="equal">
      <formula>"Moderado"</formula>
    </cfRule>
    <cfRule type="cellIs" dxfId="1536" priority="1762" operator="equal">
      <formula>"Bajo"</formula>
    </cfRule>
  </conditionalFormatting>
  <conditionalFormatting sqref="N25:N27">
    <cfRule type="containsText" dxfId="1535" priority="1758" operator="containsText" text="❌">
      <formula>NOT(ISERROR(SEARCH("❌",N25)))</formula>
    </cfRule>
  </conditionalFormatting>
  <conditionalFormatting sqref="K28">
    <cfRule type="cellIs" dxfId="1534" priority="1753" operator="equal">
      <formula>"Muy Alta"</formula>
    </cfRule>
    <cfRule type="cellIs" dxfId="1533" priority="1754" operator="equal">
      <formula>"Alta"</formula>
    </cfRule>
    <cfRule type="cellIs" dxfId="1532" priority="1755" operator="equal">
      <formula>"Media"</formula>
    </cfRule>
    <cfRule type="cellIs" dxfId="1531" priority="1756" operator="equal">
      <formula>"Baja"</formula>
    </cfRule>
    <cfRule type="cellIs" dxfId="1530" priority="1757" operator="equal">
      <formula>"Muy Baja"</formula>
    </cfRule>
  </conditionalFormatting>
  <conditionalFormatting sqref="O28">
    <cfRule type="cellIs" dxfId="1529" priority="1748" operator="equal">
      <formula>"Catastrófico"</formula>
    </cfRule>
    <cfRule type="cellIs" dxfId="1528" priority="1749" operator="equal">
      <formula>"Mayor"</formula>
    </cfRule>
    <cfRule type="cellIs" dxfId="1527" priority="1750" operator="equal">
      <formula>"Moderado"</formula>
    </cfRule>
    <cfRule type="cellIs" dxfId="1526" priority="1751" operator="equal">
      <formula>"Menor"</formula>
    </cfRule>
    <cfRule type="cellIs" dxfId="1525" priority="1752" operator="equal">
      <formula>"Leve"</formula>
    </cfRule>
  </conditionalFormatting>
  <conditionalFormatting sqref="Q28">
    <cfRule type="cellIs" dxfId="1524" priority="1744" operator="equal">
      <formula>"Extremo"</formula>
    </cfRule>
    <cfRule type="cellIs" dxfId="1523" priority="1745" operator="equal">
      <formula>"Alto"</formula>
    </cfRule>
    <cfRule type="cellIs" dxfId="1522" priority="1746" operator="equal">
      <formula>"Moderado"</formula>
    </cfRule>
    <cfRule type="cellIs" dxfId="1521" priority="1747" operator="equal">
      <formula>"Bajo"</formula>
    </cfRule>
  </conditionalFormatting>
  <conditionalFormatting sqref="N28:N30">
    <cfRule type="containsText" dxfId="1520" priority="1743" operator="containsText" text="❌">
      <formula>NOT(ISERROR(SEARCH("❌",N28)))</formula>
    </cfRule>
  </conditionalFormatting>
  <conditionalFormatting sqref="K31">
    <cfRule type="cellIs" dxfId="1519" priority="1738" operator="equal">
      <formula>"Muy Alta"</formula>
    </cfRule>
    <cfRule type="cellIs" dxfId="1518" priority="1739" operator="equal">
      <formula>"Alta"</formula>
    </cfRule>
    <cfRule type="cellIs" dxfId="1517" priority="1740" operator="equal">
      <formula>"Media"</formula>
    </cfRule>
    <cfRule type="cellIs" dxfId="1516" priority="1741" operator="equal">
      <formula>"Baja"</formula>
    </cfRule>
    <cfRule type="cellIs" dxfId="1515" priority="1742" operator="equal">
      <formula>"Muy Baja"</formula>
    </cfRule>
  </conditionalFormatting>
  <conditionalFormatting sqref="O31">
    <cfRule type="cellIs" dxfId="1514" priority="1733" operator="equal">
      <formula>"Catastrófico"</formula>
    </cfRule>
    <cfRule type="cellIs" dxfId="1513" priority="1734" operator="equal">
      <formula>"Mayor"</formula>
    </cfRule>
    <cfRule type="cellIs" dxfId="1512" priority="1735" operator="equal">
      <formula>"Moderado"</formula>
    </cfRule>
    <cfRule type="cellIs" dxfId="1511" priority="1736" operator="equal">
      <formula>"Menor"</formula>
    </cfRule>
    <cfRule type="cellIs" dxfId="1510" priority="1737" operator="equal">
      <formula>"Leve"</formula>
    </cfRule>
  </conditionalFormatting>
  <conditionalFormatting sqref="Q31">
    <cfRule type="cellIs" dxfId="1509" priority="1729" operator="equal">
      <formula>"Extremo"</formula>
    </cfRule>
    <cfRule type="cellIs" dxfId="1508" priority="1730" operator="equal">
      <formula>"Alto"</formula>
    </cfRule>
    <cfRule type="cellIs" dxfId="1507" priority="1731" operator="equal">
      <formula>"Moderado"</formula>
    </cfRule>
    <cfRule type="cellIs" dxfId="1506" priority="1732" operator="equal">
      <formula>"Bajo"</formula>
    </cfRule>
  </conditionalFormatting>
  <conditionalFormatting sqref="N31:N33">
    <cfRule type="containsText" dxfId="1505" priority="1728" operator="containsText" text="❌">
      <formula>NOT(ISERROR(SEARCH("❌",N31)))</formula>
    </cfRule>
  </conditionalFormatting>
  <conditionalFormatting sqref="K34">
    <cfRule type="cellIs" dxfId="1504" priority="1723" operator="equal">
      <formula>"Muy Alta"</formula>
    </cfRule>
    <cfRule type="cellIs" dxfId="1503" priority="1724" operator="equal">
      <formula>"Alta"</formula>
    </cfRule>
    <cfRule type="cellIs" dxfId="1502" priority="1725" operator="equal">
      <formula>"Media"</formula>
    </cfRule>
    <cfRule type="cellIs" dxfId="1501" priority="1726" operator="equal">
      <formula>"Baja"</formula>
    </cfRule>
    <cfRule type="cellIs" dxfId="1500" priority="1727" operator="equal">
      <formula>"Muy Baja"</formula>
    </cfRule>
  </conditionalFormatting>
  <conditionalFormatting sqref="O34">
    <cfRule type="cellIs" dxfId="1499" priority="1718" operator="equal">
      <formula>"Catastrófico"</formula>
    </cfRule>
    <cfRule type="cellIs" dxfId="1498" priority="1719" operator="equal">
      <formula>"Mayor"</formula>
    </cfRule>
    <cfRule type="cellIs" dxfId="1497" priority="1720" operator="equal">
      <formula>"Moderado"</formula>
    </cfRule>
    <cfRule type="cellIs" dxfId="1496" priority="1721" operator="equal">
      <formula>"Menor"</formula>
    </cfRule>
    <cfRule type="cellIs" dxfId="1495" priority="1722" operator="equal">
      <formula>"Leve"</formula>
    </cfRule>
  </conditionalFormatting>
  <conditionalFormatting sqref="Q34">
    <cfRule type="cellIs" dxfId="1494" priority="1714" operator="equal">
      <formula>"Extremo"</formula>
    </cfRule>
    <cfRule type="cellIs" dxfId="1493" priority="1715" operator="equal">
      <formula>"Alto"</formula>
    </cfRule>
    <cfRule type="cellIs" dxfId="1492" priority="1716" operator="equal">
      <formula>"Moderado"</formula>
    </cfRule>
    <cfRule type="cellIs" dxfId="1491" priority="1717" operator="equal">
      <formula>"Bajo"</formula>
    </cfRule>
  </conditionalFormatting>
  <conditionalFormatting sqref="N34:N36">
    <cfRule type="containsText" dxfId="1490" priority="1713" operator="containsText" text="❌">
      <formula>NOT(ISERROR(SEARCH("❌",N34)))</formula>
    </cfRule>
  </conditionalFormatting>
  <conditionalFormatting sqref="K37">
    <cfRule type="cellIs" dxfId="1489" priority="1708" operator="equal">
      <formula>"Muy Alta"</formula>
    </cfRule>
    <cfRule type="cellIs" dxfId="1488" priority="1709" operator="equal">
      <formula>"Alta"</formula>
    </cfRule>
    <cfRule type="cellIs" dxfId="1487" priority="1710" operator="equal">
      <formula>"Media"</formula>
    </cfRule>
    <cfRule type="cellIs" dxfId="1486" priority="1711" operator="equal">
      <formula>"Baja"</formula>
    </cfRule>
    <cfRule type="cellIs" dxfId="1485" priority="1712" operator="equal">
      <formula>"Muy Baja"</formula>
    </cfRule>
  </conditionalFormatting>
  <conditionalFormatting sqref="O37">
    <cfRule type="cellIs" dxfId="1484" priority="1703" operator="equal">
      <formula>"Catastrófico"</formula>
    </cfRule>
    <cfRule type="cellIs" dxfId="1483" priority="1704" operator="equal">
      <formula>"Mayor"</formula>
    </cfRule>
    <cfRule type="cellIs" dxfId="1482" priority="1705" operator="equal">
      <formula>"Moderado"</formula>
    </cfRule>
    <cfRule type="cellIs" dxfId="1481" priority="1706" operator="equal">
      <formula>"Menor"</formula>
    </cfRule>
    <cfRule type="cellIs" dxfId="1480" priority="1707" operator="equal">
      <formula>"Leve"</formula>
    </cfRule>
  </conditionalFormatting>
  <conditionalFormatting sqref="Q37">
    <cfRule type="cellIs" dxfId="1479" priority="1699" operator="equal">
      <formula>"Extremo"</formula>
    </cfRule>
    <cfRule type="cellIs" dxfId="1478" priority="1700" operator="equal">
      <formula>"Alto"</formula>
    </cfRule>
    <cfRule type="cellIs" dxfId="1477" priority="1701" operator="equal">
      <formula>"Moderado"</formula>
    </cfRule>
    <cfRule type="cellIs" dxfId="1476" priority="1702" operator="equal">
      <formula>"Bajo"</formula>
    </cfRule>
  </conditionalFormatting>
  <conditionalFormatting sqref="N37:N39">
    <cfRule type="containsText" dxfId="1475" priority="1698" operator="containsText" text="❌">
      <formula>NOT(ISERROR(SEARCH("❌",N37)))</formula>
    </cfRule>
  </conditionalFormatting>
  <conditionalFormatting sqref="K40">
    <cfRule type="cellIs" dxfId="1474" priority="1693" operator="equal">
      <formula>"Muy Alta"</formula>
    </cfRule>
    <cfRule type="cellIs" dxfId="1473" priority="1694" operator="equal">
      <formula>"Alta"</formula>
    </cfRule>
    <cfRule type="cellIs" dxfId="1472" priority="1695" operator="equal">
      <formula>"Media"</formula>
    </cfRule>
    <cfRule type="cellIs" dxfId="1471" priority="1696" operator="equal">
      <formula>"Baja"</formula>
    </cfRule>
    <cfRule type="cellIs" dxfId="1470" priority="1697" operator="equal">
      <formula>"Muy Baja"</formula>
    </cfRule>
  </conditionalFormatting>
  <conditionalFormatting sqref="O40">
    <cfRule type="cellIs" dxfId="1469" priority="1688" operator="equal">
      <formula>"Catastrófico"</formula>
    </cfRule>
    <cfRule type="cellIs" dxfId="1468" priority="1689" operator="equal">
      <formula>"Mayor"</formula>
    </cfRule>
    <cfRule type="cellIs" dxfId="1467" priority="1690" operator="equal">
      <formula>"Moderado"</formula>
    </cfRule>
    <cfRule type="cellIs" dxfId="1466" priority="1691" operator="equal">
      <formula>"Menor"</formula>
    </cfRule>
    <cfRule type="cellIs" dxfId="1465" priority="1692" operator="equal">
      <formula>"Leve"</formula>
    </cfRule>
  </conditionalFormatting>
  <conditionalFormatting sqref="Q40">
    <cfRule type="cellIs" dxfId="1464" priority="1684" operator="equal">
      <formula>"Extremo"</formula>
    </cfRule>
    <cfRule type="cellIs" dxfId="1463" priority="1685" operator="equal">
      <formula>"Alto"</formula>
    </cfRule>
    <cfRule type="cellIs" dxfId="1462" priority="1686" operator="equal">
      <formula>"Moderado"</formula>
    </cfRule>
    <cfRule type="cellIs" dxfId="1461" priority="1687" operator="equal">
      <formula>"Bajo"</formula>
    </cfRule>
  </conditionalFormatting>
  <conditionalFormatting sqref="N40:N42">
    <cfRule type="containsText" dxfId="1460" priority="1683" operator="containsText" text="❌">
      <formula>NOT(ISERROR(SEARCH("❌",N40)))</formula>
    </cfRule>
  </conditionalFormatting>
  <conditionalFormatting sqref="K43">
    <cfRule type="cellIs" dxfId="1459" priority="1663" operator="equal">
      <formula>"Muy Alta"</formula>
    </cfRule>
    <cfRule type="cellIs" dxfId="1458" priority="1664" operator="equal">
      <formula>"Alta"</formula>
    </cfRule>
    <cfRule type="cellIs" dxfId="1457" priority="1665" operator="equal">
      <formula>"Media"</formula>
    </cfRule>
    <cfRule type="cellIs" dxfId="1456" priority="1666" operator="equal">
      <formula>"Baja"</formula>
    </cfRule>
    <cfRule type="cellIs" dxfId="1455" priority="1667" operator="equal">
      <formula>"Muy Baja"</formula>
    </cfRule>
  </conditionalFormatting>
  <conditionalFormatting sqref="O43">
    <cfRule type="cellIs" dxfId="1454" priority="1658" operator="equal">
      <formula>"Catastrófico"</formula>
    </cfRule>
    <cfRule type="cellIs" dxfId="1453" priority="1659" operator="equal">
      <formula>"Mayor"</formula>
    </cfRule>
    <cfRule type="cellIs" dxfId="1452" priority="1660" operator="equal">
      <formula>"Moderado"</formula>
    </cfRule>
    <cfRule type="cellIs" dxfId="1451" priority="1661" operator="equal">
      <formula>"Menor"</formula>
    </cfRule>
    <cfRule type="cellIs" dxfId="1450" priority="1662" operator="equal">
      <formula>"Leve"</formula>
    </cfRule>
  </conditionalFormatting>
  <conditionalFormatting sqref="Q43">
    <cfRule type="cellIs" dxfId="1449" priority="1654" operator="equal">
      <formula>"Extremo"</formula>
    </cfRule>
    <cfRule type="cellIs" dxfId="1448" priority="1655" operator="equal">
      <formula>"Alto"</formula>
    </cfRule>
    <cfRule type="cellIs" dxfId="1447" priority="1656" operator="equal">
      <formula>"Moderado"</formula>
    </cfRule>
    <cfRule type="cellIs" dxfId="1446" priority="1657" operator="equal">
      <formula>"Bajo"</formula>
    </cfRule>
  </conditionalFormatting>
  <conditionalFormatting sqref="N43:N45">
    <cfRule type="containsText" dxfId="1445" priority="1653" operator="containsText" text="❌">
      <formula>NOT(ISERROR(SEARCH("❌",N43)))</formula>
    </cfRule>
  </conditionalFormatting>
  <conditionalFormatting sqref="K46">
    <cfRule type="cellIs" dxfId="1444" priority="1648" operator="equal">
      <formula>"Muy Alta"</formula>
    </cfRule>
    <cfRule type="cellIs" dxfId="1443" priority="1649" operator="equal">
      <formula>"Alta"</formula>
    </cfRule>
    <cfRule type="cellIs" dxfId="1442" priority="1650" operator="equal">
      <formula>"Media"</formula>
    </cfRule>
    <cfRule type="cellIs" dxfId="1441" priority="1651" operator="equal">
      <formula>"Baja"</formula>
    </cfRule>
    <cfRule type="cellIs" dxfId="1440" priority="1652" operator="equal">
      <formula>"Muy Baja"</formula>
    </cfRule>
  </conditionalFormatting>
  <conditionalFormatting sqref="O46">
    <cfRule type="cellIs" dxfId="1439" priority="1643" operator="equal">
      <formula>"Catastrófico"</formula>
    </cfRule>
    <cfRule type="cellIs" dxfId="1438" priority="1644" operator="equal">
      <formula>"Mayor"</formula>
    </cfRule>
    <cfRule type="cellIs" dxfId="1437" priority="1645" operator="equal">
      <formula>"Moderado"</formula>
    </cfRule>
    <cfRule type="cellIs" dxfId="1436" priority="1646" operator="equal">
      <formula>"Menor"</formula>
    </cfRule>
    <cfRule type="cellIs" dxfId="1435" priority="1647" operator="equal">
      <formula>"Leve"</formula>
    </cfRule>
  </conditionalFormatting>
  <conditionalFormatting sqref="Q46">
    <cfRule type="cellIs" dxfId="1434" priority="1639" operator="equal">
      <formula>"Extremo"</formula>
    </cfRule>
    <cfRule type="cellIs" dxfId="1433" priority="1640" operator="equal">
      <formula>"Alto"</formula>
    </cfRule>
    <cfRule type="cellIs" dxfId="1432" priority="1641" operator="equal">
      <formula>"Moderado"</formula>
    </cfRule>
    <cfRule type="cellIs" dxfId="1431" priority="1642" operator="equal">
      <formula>"Bajo"</formula>
    </cfRule>
  </conditionalFormatting>
  <conditionalFormatting sqref="N46:N48">
    <cfRule type="containsText" dxfId="1430" priority="1638" operator="containsText" text="❌">
      <formula>NOT(ISERROR(SEARCH("❌",N46)))</formula>
    </cfRule>
  </conditionalFormatting>
  <conditionalFormatting sqref="K49">
    <cfRule type="cellIs" dxfId="1429" priority="1633" operator="equal">
      <formula>"Muy Alta"</formula>
    </cfRule>
    <cfRule type="cellIs" dxfId="1428" priority="1634" operator="equal">
      <formula>"Alta"</formula>
    </cfRule>
    <cfRule type="cellIs" dxfId="1427" priority="1635" operator="equal">
      <formula>"Media"</formula>
    </cfRule>
    <cfRule type="cellIs" dxfId="1426" priority="1636" operator="equal">
      <formula>"Baja"</formula>
    </cfRule>
    <cfRule type="cellIs" dxfId="1425" priority="1637" operator="equal">
      <formula>"Muy Baja"</formula>
    </cfRule>
  </conditionalFormatting>
  <conditionalFormatting sqref="O49">
    <cfRule type="cellIs" dxfId="1424" priority="1628" operator="equal">
      <formula>"Catastrófico"</formula>
    </cfRule>
    <cfRule type="cellIs" dxfId="1423" priority="1629" operator="equal">
      <formula>"Mayor"</formula>
    </cfRule>
    <cfRule type="cellIs" dxfId="1422" priority="1630" operator="equal">
      <formula>"Moderado"</formula>
    </cfRule>
    <cfRule type="cellIs" dxfId="1421" priority="1631" operator="equal">
      <formula>"Menor"</formula>
    </cfRule>
    <cfRule type="cellIs" dxfId="1420" priority="1632" operator="equal">
      <formula>"Leve"</formula>
    </cfRule>
  </conditionalFormatting>
  <conditionalFormatting sqref="Q49">
    <cfRule type="cellIs" dxfId="1419" priority="1624" operator="equal">
      <formula>"Extremo"</formula>
    </cfRule>
    <cfRule type="cellIs" dxfId="1418" priority="1625" operator="equal">
      <formula>"Alto"</formula>
    </cfRule>
    <cfRule type="cellIs" dxfId="1417" priority="1626" operator="equal">
      <formula>"Moderado"</formula>
    </cfRule>
    <cfRule type="cellIs" dxfId="1416" priority="1627" operator="equal">
      <formula>"Bajo"</formula>
    </cfRule>
  </conditionalFormatting>
  <conditionalFormatting sqref="N49:N51">
    <cfRule type="containsText" dxfId="1415" priority="1623" operator="containsText" text="❌">
      <formula>NOT(ISERROR(SEARCH("❌",N49)))</formula>
    </cfRule>
  </conditionalFormatting>
  <conditionalFormatting sqref="K52">
    <cfRule type="cellIs" dxfId="1414" priority="1618" operator="equal">
      <formula>"Muy Alta"</formula>
    </cfRule>
    <cfRule type="cellIs" dxfId="1413" priority="1619" operator="equal">
      <formula>"Alta"</formula>
    </cfRule>
    <cfRule type="cellIs" dxfId="1412" priority="1620" operator="equal">
      <formula>"Media"</formula>
    </cfRule>
    <cfRule type="cellIs" dxfId="1411" priority="1621" operator="equal">
      <formula>"Baja"</formula>
    </cfRule>
    <cfRule type="cellIs" dxfId="1410" priority="1622" operator="equal">
      <formula>"Muy Baja"</formula>
    </cfRule>
  </conditionalFormatting>
  <conditionalFormatting sqref="O52">
    <cfRule type="cellIs" dxfId="1409" priority="1613" operator="equal">
      <formula>"Catastrófico"</formula>
    </cfRule>
    <cfRule type="cellIs" dxfId="1408" priority="1614" operator="equal">
      <formula>"Mayor"</formula>
    </cfRule>
    <cfRule type="cellIs" dxfId="1407" priority="1615" operator="equal">
      <formula>"Moderado"</formula>
    </cfRule>
    <cfRule type="cellIs" dxfId="1406" priority="1616" operator="equal">
      <formula>"Menor"</formula>
    </cfRule>
    <cfRule type="cellIs" dxfId="1405" priority="1617" operator="equal">
      <formula>"Leve"</formula>
    </cfRule>
  </conditionalFormatting>
  <conditionalFormatting sqref="Q52">
    <cfRule type="cellIs" dxfId="1404" priority="1609" operator="equal">
      <formula>"Extremo"</formula>
    </cfRule>
    <cfRule type="cellIs" dxfId="1403" priority="1610" operator="equal">
      <formula>"Alto"</formula>
    </cfRule>
    <cfRule type="cellIs" dxfId="1402" priority="1611" operator="equal">
      <formula>"Moderado"</formula>
    </cfRule>
    <cfRule type="cellIs" dxfId="1401" priority="1612" operator="equal">
      <formula>"Bajo"</formula>
    </cfRule>
  </conditionalFormatting>
  <conditionalFormatting sqref="N52:N54">
    <cfRule type="containsText" dxfId="1400" priority="1608" operator="containsText" text="❌">
      <formula>NOT(ISERROR(SEARCH("❌",N52)))</formula>
    </cfRule>
  </conditionalFormatting>
  <conditionalFormatting sqref="K55">
    <cfRule type="cellIs" dxfId="1399" priority="1603" operator="equal">
      <formula>"Muy Alta"</formula>
    </cfRule>
    <cfRule type="cellIs" dxfId="1398" priority="1604" operator="equal">
      <formula>"Alta"</formula>
    </cfRule>
    <cfRule type="cellIs" dxfId="1397" priority="1605" operator="equal">
      <formula>"Media"</formula>
    </cfRule>
    <cfRule type="cellIs" dxfId="1396" priority="1606" operator="equal">
      <formula>"Baja"</formula>
    </cfRule>
    <cfRule type="cellIs" dxfId="1395" priority="1607" operator="equal">
      <formula>"Muy Baja"</formula>
    </cfRule>
  </conditionalFormatting>
  <conditionalFormatting sqref="O55">
    <cfRule type="cellIs" dxfId="1394" priority="1598" operator="equal">
      <formula>"Catastrófico"</formula>
    </cfRule>
    <cfRule type="cellIs" dxfId="1393" priority="1599" operator="equal">
      <formula>"Mayor"</formula>
    </cfRule>
    <cfRule type="cellIs" dxfId="1392" priority="1600" operator="equal">
      <formula>"Moderado"</formula>
    </cfRule>
    <cfRule type="cellIs" dxfId="1391" priority="1601" operator="equal">
      <formula>"Menor"</formula>
    </cfRule>
    <cfRule type="cellIs" dxfId="1390" priority="1602" operator="equal">
      <formula>"Leve"</formula>
    </cfRule>
  </conditionalFormatting>
  <conditionalFormatting sqref="Q55">
    <cfRule type="cellIs" dxfId="1389" priority="1594" operator="equal">
      <formula>"Extremo"</formula>
    </cfRule>
    <cfRule type="cellIs" dxfId="1388" priority="1595" operator="equal">
      <formula>"Alto"</formula>
    </cfRule>
    <cfRule type="cellIs" dxfId="1387" priority="1596" operator="equal">
      <formula>"Moderado"</formula>
    </cfRule>
    <cfRule type="cellIs" dxfId="1386" priority="1597" operator="equal">
      <formula>"Bajo"</formula>
    </cfRule>
  </conditionalFormatting>
  <conditionalFormatting sqref="N55:N57">
    <cfRule type="containsText" dxfId="1385" priority="1593" operator="containsText" text="❌">
      <formula>NOT(ISERROR(SEARCH("❌",N55)))</formula>
    </cfRule>
  </conditionalFormatting>
  <conditionalFormatting sqref="K58">
    <cfRule type="cellIs" dxfId="1384" priority="1588" operator="equal">
      <formula>"Muy Alta"</formula>
    </cfRule>
    <cfRule type="cellIs" dxfId="1383" priority="1589" operator="equal">
      <formula>"Alta"</formula>
    </cfRule>
    <cfRule type="cellIs" dxfId="1382" priority="1590" operator="equal">
      <formula>"Media"</formula>
    </cfRule>
    <cfRule type="cellIs" dxfId="1381" priority="1591" operator="equal">
      <formula>"Baja"</formula>
    </cfRule>
    <cfRule type="cellIs" dxfId="1380" priority="1592" operator="equal">
      <formula>"Muy Baja"</formula>
    </cfRule>
  </conditionalFormatting>
  <conditionalFormatting sqref="O58">
    <cfRule type="cellIs" dxfId="1379" priority="1583" operator="equal">
      <formula>"Catastrófico"</formula>
    </cfRule>
    <cfRule type="cellIs" dxfId="1378" priority="1584" operator="equal">
      <formula>"Mayor"</formula>
    </cfRule>
    <cfRule type="cellIs" dxfId="1377" priority="1585" operator="equal">
      <formula>"Moderado"</formula>
    </cfRule>
    <cfRule type="cellIs" dxfId="1376" priority="1586" operator="equal">
      <formula>"Menor"</formula>
    </cfRule>
    <cfRule type="cellIs" dxfId="1375" priority="1587" operator="equal">
      <formula>"Leve"</formula>
    </cfRule>
  </conditionalFormatting>
  <conditionalFormatting sqref="Q58">
    <cfRule type="cellIs" dxfId="1374" priority="1579" operator="equal">
      <formula>"Extremo"</formula>
    </cfRule>
    <cfRule type="cellIs" dxfId="1373" priority="1580" operator="equal">
      <formula>"Alto"</formula>
    </cfRule>
    <cfRule type="cellIs" dxfId="1372" priority="1581" operator="equal">
      <formula>"Moderado"</formula>
    </cfRule>
    <cfRule type="cellIs" dxfId="1371" priority="1582" operator="equal">
      <formula>"Bajo"</formula>
    </cfRule>
  </conditionalFormatting>
  <conditionalFormatting sqref="N58:N60">
    <cfRule type="containsText" dxfId="1370" priority="1578" operator="containsText" text="❌">
      <formula>NOT(ISERROR(SEARCH("❌",N58)))</formula>
    </cfRule>
  </conditionalFormatting>
  <conditionalFormatting sqref="K61">
    <cfRule type="cellIs" dxfId="1369" priority="1573" operator="equal">
      <formula>"Muy Alta"</formula>
    </cfRule>
    <cfRule type="cellIs" dxfId="1368" priority="1574" operator="equal">
      <formula>"Alta"</formula>
    </cfRule>
    <cfRule type="cellIs" dxfId="1367" priority="1575" operator="equal">
      <formula>"Media"</formula>
    </cfRule>
    <cfRule type="cellIs" dxfId="1366" priority="1576" operator="equal">
      <formula>"Baja"</formula>
    </cfRule>
    <cfRule type="cellIs" dxfId="1365" priority="1577" operator="equal">
      <formula>"Muy Baja"</formula>
    </cfRule>
  </conditionalFormatting>
  <conditionalFormatting sqref="O61">
    <cfRule type="cellIs" dxfId="1364" priority="1568" operator="equal">
      <formula>"Catastrófico"</formula>
    </cfRule>
    <cfRule type="cellIs" dxfId="1363" priority="1569" operator="equal">
      <formula>"Mayor"</formula>
    </cfRule>
    <cfRule type="cellIs" dxfId="1362" priority="1570" operator="equal">
      <formula>"Moderado"</formula>
    </cfRule>
    <cfRule type="cellIs" dxfId="1361" priority="1571" operator="equal">
      <formula>"Menor"</formula>
    </cfRule>
    <cfRule type="cellIs" dxfId="1360" priority="1572" operator="equal">
      <formula>"Leve"</formula>
    </cfRule>
  </conditionalFormatting>
  <conditionalFormatting sqref="Q61">
    <cfRule type="cellIs" dxfId="1359" priority="1564" operator="equal">
      <formula>"Extremo"</formula>
    </cfRule>
    <cfRule type="cellIs" dxfId="1358" priority="1565" operator="equal">
      <formula>"Alto"</formula>
    </cfRule>
    <cfRule type="cellIs" dxfId="1357" priority="1566" operator="equal">
      <formula>"Moderado"</formula>
    </cfRule>
    <cfRule type="cellIs" dxfId="1356" priority="1567" operator="equal">
      <formula>"Bajo"</formula>
    </cfRule>
  </conditionalFormatting>
  <conditionalFormatting sqref="N61:N63">
    <cfRule type="containsText" dxfId="1355" priority="1563" operator="containsText" text="❌">
      <formula>NOT(ISERROR(SEARCH("❌",N61)))</formula>
    </cfRule>
  </conditionalFormatting>
  <conditionalFormatting sqref="K64">
    <cfRule type="cellIs" dxfId="1354" priority="1558" operator="equal">
      <formula>"Muy Alta"</formula>
    </cfRule>
    <cfRule type="cellIs" dxfId="1353" priority="1559" operator="equal">
      <formula>"Alta"</formula>
    </cfRule>
    <cfRule type="cellIs" dxfId="1352" priority="1560" operator="equal">
      <formula>"Media"</formula>
    </cfRule>
    <cfRule type="cellIs" dxfId="1351" priority="1561" operator="equal">
      <formula>"Baja"</formula>
    </cfRule>
    <cfRule type="cellIs" dxfId="1350" priority="1562" operator="equal">
      <formula>"Muy Baja"</formula>
    </cfRule>
  </conditionalFormatting>
  <conditionalFormatting sqref="O64">
    <cfRule type="cellIs" dxfId="1349" priority="1553" operator="equal">
      <formula>"Catastrófico"</formula>
    </cfRule>
    <cfRule type="cellIs" dxfId="1348" priority="1554" operator="equal">
      <formula>"Mayor"</formula>
    </cfRule>
    <cfRule type="cellIs" dxfId="1347" priority="1555" operator="equal">
      <formula>"Moderado"</formula>
    </cfRule>
    <cfRule type="cellIs" dxfId="1346" priority="1556" operator="equal">
      <formula>"Menor"</formula>
    </cfRule>
    <cfRule type="cellIs" dxfId="1345" priority="1557" operator="equal">
      <formula>"Leve"</formula>
    </cfRule>
  </conditionalFormatting>
  <conditionalFormatting sqref="Q64">
    <cfRule type="cellIs" dxfId="1344" priority="1549" operator="equal">
      <formula>"Extremo"</formula>
    </cfRule>
    <cfRule type="cellIs" dxfId="1343" priority="1550" operator="equal">
      <formula>"Alto"</formula>
    </cfRule>
    <cfRule type="cellIs" dxfId="1342" priority="1551" operator="equal">
      <formula>"Moderado"</formula>
    </cfRule>
    <cfRule type="cellIs" dxfId="1341" priority="1552" operator="equal">
      <formula>"Bajo"</formula>
    </cfRule>
  </conditionalFormatting>
  <conditionalFormatting sqref="N64:N66">
    <cfRule type="containsText" dxfId="1340" priority="1548" operator="containsText" text="❌">
      <formula>NOT(ISERROR(SEARCH("❌",N64)))</formula>
    </cfRule>
  </conditionalFormatting>
  <conditionalFormatting sqref="K67">
    <cfRule type="cellIs" dxfId="1339" priority="1543" operator="equal">
      <formula>"Muy Alta"</formula>
    </cfRule>
    <cfRule type="cellIs" dxfId="1338" priority="1544" operator="equal">
      <formula>"Alta"</formula>
    </cfRule>
    <cfRule type="cellIs" dxfId="1337" priority="1545" operator="equal">
      <formula>"Media"</formula>
    </cfRule>
    <cfRule type="cellIs" dxfId="1336" priority="1546" operator="equal">
      <formula>"Baja"</formula>
    </cfRule>
    <cfRule type="cellIs" dxfId="1335" priority="1547" operator="equal">
      <formula>"Muy Baja"</formula>
    </cfRule>
  </conditionalFormatting>
  <conditionalFormatting sqref="O67">
    <cfRule type="cellIs" dxfId="1334" priority="1538" operator="equal">
      <formula>"Catastrófico"</formula>
    </cfRule>
    <cfRule type="cellIs" dxfId="1333" priority="1539" operator="equal">
      <formula>"Mayor"</formula>
    </cfRule>
    <cfRule type="cellIs" dxfId="1332" priority="1540" operator="equal">
      <formula>"Moderado"</formula>
    </cfRule>
    <cfRule type="cellIs" dxfId="1331" priority="1541" operator="equal">
      <formula>"Menor"</formula>
    </cfRule>
    <cfRule type="cellIs" dxfId="1330" priority="1542" operator="equal">
      <formula>"Leve"</formula>
    </cfRule>
  </conditionalFormatting>
  <conditionalFormatting sqref="Q67">
    <cfRule type="cellIs" dxfId="1329" priority="1534" operator="equal">
      <formula>"Extremo"</formula>
    </cfRule>
    <cfRule type="cellIs" dxfId="1328" priority="1535" operator="equal">
      <formula>"Alto"</formula>
    </cfRule>
    <cfRule type="cellIs" dxfId="1327" priority="1536" operator="equal">
      <formula>"Moderado"</formula>
    </cfRule>
    <cfRule type="cellIs" dxfId="1326" priority="1537" operator="equal">
      <formula>"Bajo"</formula>
    </cfRule>
  </conditionalFormatting>
  <conditionalFormatting sqref="N67:N69">
    <cfRule type="containsText" dxfId="1325" priority="1533" operator="containsText" text="❌">
      <formula>NOT(ISERROR(SEARCH("❌",N67)))</formula>
    </cfRule>
  </conditionalFormatting>
  <conditionalFormatting sqref="K73">
    <cfRule type="cellIs" dxfId="1324" priority="1528" operator="equal">
      <formula>"Muy Alta"</formula>
    </cfRule>
    <cfRule type="cellIs" dxfId="1323" priority="1529" operator="equal">
      <formula>"Alta"</formula>
    </cfRule>
    <cfRule type="cellIs" dxfId="1322" priority="1530" operator="equal">
      <formula>"Media"</formula>
    </cfRule>
    <cfRule type="cellIs" dxfId="1321" priority="1531" operator="equal">
      <formula>"Baja"</formula>
    </cfRule>
    <cfRule type="cellIs" dxfId="1320" priority="1532" operator="equal">
      <formula>"Muy Baja"</formula>
    </cfRule>
  </conditionalFormatting>
  <conditionalFormatting sqref="O73">
    <cfRule type="cellIs" dxfId="1319" priority="1523" operator="equal">
      <formula>"Catastrófico"</formula>
    </cfRule>
    <cfRule type="cellIs" dxfId="1318" priority="1524" operator="equal">
      <formula>"Mayor"</formula>
    </cfRule>
    <cfRule type="cellIs" dxfId="1317" priority="1525" operator="equal">
      <formula>"Moderado"</formula>
    </cfRule>
    <cfRule type="cellIs" dxfId="1316" priority="1526" operator="equal">
      <formula>"Menor"</formula>
    </cfRule>
    <cfRule type="cellIs" dxfId="1315" priority="1527" operator="equal">
      <formula>"Leve"</formula>
    </cfRule>
  </conditionalFormatting>
  <conditionalFormatting sqref="Q73">
    <cfRule type="cellIs" dxfId="1314" priority="1519" operator="equal">
      <formula>"Extremo"</formula>
    </cfRule>
    <cfRule type="cellIs" dxfId="1313" priority="1520" operator="equal">
      <formula>"Alto"</formula>
    </cfRule>
    <cfRule type="cellIs" dxfId="1312" priority="1521" operator="equal">
      <formula>"Moderado"</formula>
    </cfRule>
    <cfRule type="cellIs" dxfId="1311" priority="1522" operator="equal">
      <formula>"Bajo"</formula>
    </cfRule>
  </conditionalFormatting>
  <conditionalFormatting sqref="N73:N75">
    <cfRule type="containsText" dxfId="1310" priority="1518" operator="containsText" text="❌">
      <formula>NOT(ISERROR(SEARCH("❌",N73)))</formula>
    </cfRule>
  </conditionalFormatting>
  <conditionalFormatting sqref="K76">
    <cfRule type="cellIs" dxfId="1309" priority="1513" operator="equal">
      <formula>"Muy Alta"</formula>
    </cfRule>
    <cfRule type="cellIs" dxfId="1308" priority="1514" operator="equal">
      <formula>"Alta"</formula>
    </cfRule>
    <cfRule type="cellIs" dxfId="1307" priority="1515" operator="equal">
      <formula>"Media"</formula>
    </cfRule>
    <cfRule type="cellIs" dxfId="1306" priority="1516" operator="equal">
      <formula>"Baja"</formula>
    </cfRule>
    <cfRule type="cellIs" dxfId="1305" priority="1517" operator="equal">
      <formula>"Muy Baja"</formula>
    </cfRule>
  </conditionalFormatting>
  <conditionalFormatting sqref="O76">
    <cfRule type="cellIs" dxfId="1304" priority="1508" operator="equal">
      <formula>"Catastrófico"</formula>
    </cfRule>
    <cfRule type="cellIs" dxfId="1303" priority="1509" operator="equal">
      <formula>"Mayor"</formula>
    </cfRule>
    <cfRule type="cellIs" dxfId="1302" priority="1510" operator="equal">
      <formula>"Moderado"</formula>
    </cfRule>
    <cfRule type="cellIs" dxfId="1301" priority="1511" operator="equal">
      <formula>"Menor"</formula>
    </cfRule>
    <cfRule type="cellIs" dxfId="1300" priority="1512" operator="equal">
      <formula>"Leve"</formula>
    </cfRule>
  </conditionalFormatting>
  <conditionalFormatting sqref="Q76">
    <cfRule type="cellIs" dxfId="1299" priority="1504" operator="equal">
      <formula>"Extremo"</formula>
    </cfRule>
    <cfRule type="cellIs" dxfId="1298" priority="1505" operator="equal">
      <formula>"Alto"</formula>
    </cfRule>
    <cfRule type="cellIs" dxfId="1297" priority="1506" operator="equal">
      <formula>"Moderado"</formula>
    </cfRule>
    <cfRule type="cellIs" dxfId="1296" priority="1507" operator="equal">
      <formula>"Bajo"</formula>
    </cfRule>
  </conditionalFormatting>
  <conditionalFormatting sqref="N76:N78">
    <cfRule type="containsText" dxfId="1295" priority="1503" operator="containsText" text="❌">
      <formula>NOT(ISERROR(SEARCH("❌",N76)))</formula>
    </cfRule>
  </conditionalFormatting>
  <conditionalFormatting sqref="K79">
    <cfRule type="cellIs" dxfId="1294" priority="1498" operator="equal">
      <formula>"Muy Alta"</formula>
    </cfRule>
    <cfRule type="cellIs" dxfId="1293" priority="1499" operator="equal">
      <formula>"Alta"</formula>
    </cfRule>
    <cfRule type="cellIs" dxfId="1292" priority="1500" operator="equal">
      <formula>"Media"</formula>
    </cfRule>
    <cfRule type="cellIs" dxfId="1291" priority="1501" operator="equal">
      <formula>"Baja"</formula>
    </cfRule>
    <cfRule type="cellIs" dxfId="1290" priority="1502" operator="equal">
      <formula>"Muy Baja"</formula>
    </cfRule>
  </conditionalFormatting>
  <conditionalFormatting sqref="O79">
    <cfRule type="cellIs" dxfId="1289" priority="1493" operator="equal">
      <formula>"Catastrófico"</formula>
    </cfRule>
    <cfRule type="cellIs" dxfId="1288" priority="1494" operator="equal">
      <formula>"Mayor"</formula>
    </cfRule>
    <cfRule type="cellIs" dxfId="1287" priority="1495" operator="equal">
      <formula>"Moderado"</formula>
    </cfRule>
    <cfRule type="cellIs" dxfId="1286" priority="1496" operator="equal">
      <formula>"Menor"</formula>
    </cfRule>
    <cfRule type="cellIs" dxfId="1285" priority="1497" operator="equal">
      <formula>"Leve"</formula>
    </cfRule>
  </conditionalFormatting>
  <conditionalFormatting sqref="Q79">
    <cfRule type="cellIs" dxfId="1284" priority="1489" operator="equal">
      <formula>"Extremo"</formula>
    </cfRule>
    <cfRule type="cellIs" dxfId="1283" priority="1490" operator="equal">
      <formula>"Alto"</formula>
    </cfRule>
    <cfRule type="cellIs" dxfId="1282" priority="1491" operator="equal">
      <formula>"Moderado"</formula>
    </cfRule>
    <cfRule type="cellIs" dxfId="1281" priority="1492" operator="equal">
      <formula>"Bajo"</formula>
    </cfRule>
  </conditionalFormatting>
  <conditionalFormatting sqref="N79:N81">
    <cfRule type="containsText" dxfId="1280" priority="1488" operator="containsText" text="❌">
      <formula>NOT(ISERROR(SEARCH("❌",N79)))</formula>
    </cfRule>
  </conditionalFormatting>
  <conditionalFormatting sqref="O82">
    <cfRule type="cellIs" dxfId="1279" priority="1478" operator="equal">
      <formula>"Catastrófico"</formula>
    </cfRule>
    <cfRule type="cellIs" dxfId="1278" priority="1479" operator="equal">
      <formula>"Mayor"</formula>
    </cfRule>
    <cfRule type="cellIs" dxfId="1277" priority="1480" operator="equal">
      <formula>"Moderado"</formula>
    </cfRule>
    <cfRule type="cellIs" dxfId="1276" priority="1481" operator="equal">
      <formula>"Menor"</formula>
    </cfRule>
    <cfRule type="cellIs" dxfId="1275" priority="1482" operator="equal">
      <formula>"Leve"</formula>
    </cfRule>
  </conditionalFormatting>
  <conditionalFormatting sqref="Q82">
    <cfRule type="cellIs" dxfId="1274" priority="1474" operator="equal">
      <formula>"Extremo"</formula>
    </cfRule>
    <cfRule type="cellIs" dxfId="1273" priority="1475" operator="equal">
      <formula>"Alto"</formula>
    </cfRule>
    <cfRule type="cellIs" dxfId="1272" priority="1476" operator="equal">
      <formula>"Moderado"</formula>
    </cfRule>
    <cfRule type="cellIs" dxfId="1271" priority="1477" operator="equal">
      <formula>"Bajo"</formula>
    </cfRule>
  </conditionalFormatting>
  <conditionalFormatting sqref="N82:N84">
    <cfRule type="containsText" dxfId="1270" priority="1473" operator="containsText" text="❌">
      <formula>NOT(ISERROR(SEARCH("❌",N82)))</formula>
    </cfRule>
  </conditionalFormatting>
  <conditionalFormatting sqref="K88">
    <cfRule type="cellIs" dxfId="1269" priority="1468" operator="equal">
      <formula>"Muy Alta"</formula>
    </cfRule>
    <cfRule type="cellIs" dxfId="1268" priority="1469" operator="equal">
      <formula>"Alta"</formula>
    </cfRule>
    <cfRule type="cellIs" dxfId="1267" priority="1470" operator="equal">
      <formula>"Media"</formula>
    </cfRule>
    <cfRule type="cellIs" dxfId="1266" priority="1471" operator="equal">
      <formula>"Baja"</formula>
    </cfRule>
    <cfRule type="cellIs" dxfId="1265" priority="1472" operator="equal">
      <formula>"Muy Baja"</formula>
    </cfRule>
  </conditionalFormatting>
  <conditionalFormatting sqref="O88">
    <cfRule type="cellIs" dxfId="1264" priority="1463" operator="equal">
      <formula>"Catastrófico"</formula>
    </cfRule>
    <cfRule type="cellIs" dxfId="1263" priority="1464" operator="equal">
      <formula>"Mayor"</formula>
    </cfRule>
    <cfRule type="cellIs" dxfId="1262" priority="1465" operator="equal">
      <formula>"Moderado"</formula>
    </cfRule>
    <cfRule type="cellIs" dxfId="1261" priority="1466" operator="equal">
      <formula>"Menor"</formula>
    </cfRule>
    <cfRule type="cellIs" dxfId="1260" priority="1467" operator="equal">
      <formula>"Leve"</formula>
    </cfRule>
  </conditionalFormatting>
  <conditionalFormatting sqref="Q88">
    <cfRule type="cellIs" dxfId="1259" priority="1459" operator="equal">
      <formula>"Extremo"</formula>
    </cfRule>
    <cfRule type="cellIs" dxfId="1258" priority="1460" operator="equal">
      <formula>"Alto"</formula>
    </cfRule>
    <cfRule type="cellIs" dxfId="1257" priority="1461" operator="equal">
      <formula>"Moderado"</formula>
    </cfRule>
    <cfRule type="cellIs" dxfId="1256" priority="1462" operator="equal">
      <formula>"Bajo"</formula>
    </cfRule>
  </conditionalFormatting>
  <conditionalFormatting sqref="N88:N90">
    <cfRule type="containsText" dxfId="1255" priority="1458" operator="containsText" text="❌">
      <formula>NOT(ISERROR(SEARCH("❌",N88)))</formula>
    </cfRule>
  </conditionalFormatting>
  <conditionalFormatting sqref="K91">
    <cfRule type="cellIs" dxfId="1254" priority="1453" operator="equal">
      <formula>"Muy Alta"</formula>
    </cfRule>
    <cfRule type="cellIs" dxfId="1253" priority="1454" operator="equal">
      <formula>"Alta"</formula>
    </cfRule>
    <cfRule type="cellIs" dxfId="1252" priority="1455" operator="equal">
      <formula>"Media"</formula>
    </cfRule>
    <cfRule type="cellIs" dxfId="1251" priority="1456" operator="equal">
      <formula>"Baja"</formula>
    </cfRule>
    <cfRule type="cellIs" dxfId="1250" priority="1457" operator="equal">
      <formula>"Muy Baja"</formula>
    </cfRule>
  </conditionalFormatting>
  <conditionalFormatting sqref="O91">
    <cfRule type="cellIs" dxfId="1249" priority="1448" operator="equal">
      <formula>"Catastrófico"</formula>
    </cfRule>
    <cfRule type="cellIs" dxfId="1248" priority="1449" operator="equal">
      <formula>"Mayor"</formula>
    </cfRule>
    <cfRule type="cellIs" dxfId="1247" priority="1450" operator="equal">
      <formula>"Moderado"</formula>
    </cfRule>
    <cfRule type="cellIs" dxfId="1246" priority="1451" operator="equal">
      <formula>"Menor"</formula>
    </cfRule>
    <cfRule type="cellIs" dxfId="1245" priority="1452" operator="equal">
      <formula>"Leve"</formula>
    </cfRule>
  </conditionalFormatting>
  <conditionalFormatting sqref="Q91">
    <cfRule type="cellIs" dxfId="1244" priority="1444" operator="equal">
      <formula>"Extremo"</formula>
    </cfRule>
    <cfRule type="cellIs" dxfId="1243" priority="1445" operator="equal">
      <formula>"Alto"</formula>
    </cfRule>
    <cfRule type="cellIs" dxfId="1242" priority="1446" operator="equal">
      <formula>"Moderado"</formula>
    </cfRule>
    <cfRule type="cellIs" dxfId="1241" priority="1447" operator="equal">
      <formula>"Bajo"</formula>
    </cfRule>
  </conditionalFormatting>
  <conditionalFormatting sqref="N91:N93">
    <cfRule type="containsText" dxfId="1240" priority="1443" operator="containsText" text="❌">
      <formula>NOT(ISERROR(SEARCH("❌",N91)))</formula>
    </cfRule>
  </conditionalFormatting>
  <conditionalFormatting sqref="K94">
    <cfRule type="cellIs" dxfId="1239" priority="1438" operator="equal">
      <formula>"Muy Alta"</formula>
    </cfRule>
    <cfRule type="cellIs" dxfId="1238" priority="1439" operator="equal">
      <formula>"Alta"</formula>
    </cfRule>
    <cfRule type="cellIs" dxfId="1237" priority="1440" operator="equal">
      <formula>"Media"</formula>
    </cfRule>
    <cfRule type="cellIs" dxfId="1236" priority="1441" operator="equal">
      <formula>"Baja"</formula>
    </cfRule>
    <cfRule type="cellIs" dxfId="1235" priority="1442" operator="equal">
      <formula>"Muy Baja"</formula>
    </cfRule>
  </conditionalFormatting>
  <conditionalFormatting sqref="O94">
    <cfRule type="cellIs" dxfId="1234" priority="1433" operator="equal">
      <formula>"Catastrófico"</formula>
    </cfRule>
    <cfRule type="cellIs" dxfId="1233" priority="1434" operator="equal">
      <formula>"Mayor"</formula>
    </cfRule>
    <cfRule type="cellIs" dxfId="1232" priority="1435" operator="equal">
      <formula>"Moderado"</formula>
    </cfRule>
    <cfRule type="cellIs" dxfId="1231" priority="1436" operator="equal">
      <formula>"Menor"</formula>
    </cfRule>
    <cfRule type="cellIs" dxfId="1230" priority="1437" operator="equal">
      <formula>"Leve"</formula>
    </cfRule>
  </conditionalFormatting>
  <conditionalFormatting sqref="Q94">
    <cfRule type="cellIs" dxfId="1229" priority="1429" operator="equal">
      <formula>"Extremo"</formula>
    </cfRule>
    <cfRule type="cellIs" dxfId="1228" priority="1430" operator="equal">
      <formula>"Alto"</formula>
    </cfRule>
    <cfRule type="cellIs" dxfId="1227" priority="1431" operator="equal">
      <formula>"Moderado"</formula>
    </cfRule>
    <cfRule type="cellIs" dxfId="1226" priority="1432" operator="equal">
      <formula>"Bajo"</formula>
    </cfRule>
  </conditionalFormatting>
  <conditionalFormatting sqref="N94:N96">
    <cfRule type="containsText" dxfId="1225" priority="1428" operator="containsText" text="❌">
      <formula>NOT(ISERROR(SEARCH("❌",N94)))</formula>
    </cfRule>
  </conditionalFormatting>
  <conditionalFormatting sqref="O97:O98">
    <cfRule type="cellIs" dxfId="1224" priority="1418" operator="equal">
      <formula>"Catastrófico"</formula>
    </cfRule>
    <cfRule type="cellIs" dxfId="1223" priority="1419" operator="equal">
      <formula>"Mayor"</formula>
    </cfRule>
    <cfRule type="cellIs" dxfId="1222" priority="1420" operator="equal">
      <formula>"Moderado"</formula>
    </cfRule>
    <cfRule type="cellIs" dxfId="1221" priority="1421" operator="equal">
      <formula>"Menor"</formula>
    </cfRule>
    <cfRule type="cellIs" dxfId="1220" priority="1422" operator="equal">
      <formula>"Leve"</formula>
    </cfRule>
  </conditionalFormatting>
  <conditionalFormatting sqref="Q97:Q98">
    <cfRule type="cellIs" dxfId="1219" priority="1414" operator="equal">
      <formula>"Extremo"</formula>
    </cfRule>
    <cfRule type="cellIs" dxfId="1218" priority="1415" operator="equal">
      <formula>"Alto"</formula>
    </cfRule>
    <cfRule type="cellIs" dxfId="1217" priority="1416" operator="equal">
      <formula>"Moderado"</formula>
    </cfRule>
    <cfRule type="cellIs" dxfId="1216" priority="1417" operator="equal">
      <formula>"Bajo"</formula>
    </cfRule>
  </conditionalFormatting>
  <conditionalFormatting sqref="N97:N99">
    <cfRule type="containsText" dxfId="1215" priority="1413" operator="containsText" text="❌">
      <formula>NOT(ISERROR(SEARCH("❌",N97)))</formula>
    </cfRule>
  </conditionalFormatting>
  <conditionalFormatting sqref="K103">
    <cfRule type="cellIs" dxfId="1214" priority="1393" operator="equal">
      <formula>"Muy Alta"</formula>
    </cfRule>
    <cfRule type="cellIs" dxfId="1213" priority="1394" operator="equal">
      <formula>"Alta"</formula>
    </cfRule>
    <cfRule type="cellIs" dxfId="1212" priority="1395" operator="equal">
      <formula>"Media"</formula>
    </cfRule>
    <cfRule type="cellIs" dxfId="1211" priority="1396" operator="equal">
      <formula>"Baja"</formula>
    </cfRule>
    <cfRule type="cellIs" dxfId="1210" priority="1397" operator="equal">
      <formula>"Muy Baja"</formula>
    </cfRule>
  </conditionalFormatting>
  <conditionalFormatting sqref="O103">
    <cfRule type="cellIs" dxfId="1209" priority="1388" operator="equal">
      <formula>"Catastrófico"</formula>
    </cfRule>
    <cfRule type="cellIs" dxfId="1208" priority="1389" operator="equal">
      <formula>"Mayor"</formula>
    </cfRule>
    <cfRule type="cellIs" dxfId="1207" priority="1390" operator="equal">
      <formula>"Moderado"</formula>
    </cfRule>
    <cfRule type="cellIs" dxfId="1206" priority="1391" operator="equal">
      <formula>"Menor"</formula>
    </cfRule>
    <cfRule type="cellIs" dxfId="1205" priority="1392" operator="equal">
      <formula>"Leve"</formula>
    </cfRule>
  </conditionalFormatting>
  <conditionalFormatting sqref="Q103">
    <cfRule type="cellIs" dxfId="1204" priority="1384" operator="equal">
      <formula>"Extremo"</formula>
    </cfRule>
    <cfRule type="cellIs" dxfId="1203" priority="1385" operator="equal">
      <formula>"Alto"</formula>
    </cfRule>
    <cfRule type="cellIs" dxfId="1202" priority="1386" operator="equal">
      <formula>"Moderado"</formula>
    </cfRule>
    <cfRule type="cellIs" dxfId="1201" priority="1387" operator="equal">
      <formula>"Bajo"</formula>
    </cfRule>
  </conditionalFormatting>
  <conditionalFormatting sqref="N103:N105">
    <cfRule type="containsText" dxfId="1200" priority="1383" operator="containsText" text="❌">
      <formula>NOT(ISERROR(SEARCH("❌",N103)))</formula>
    </cfRule>
  </conditionalFormatting>
  <conditionalFormatting sqref="K106">
    <cfRule type="cellIs" dxfId="1199" priority="1378" operator="equal">
      <formula>"Muy Alta"</formula>
    </cfRule>
    <cfRule type="cellIs" dxfId="1198" priority="1379" operator="equal">
      <formula>"Alta"</formula>
    </cfRule>
    <cfRule type="cellIs" dxfId="1197" priority="1380" operator="equal">
      <formula>"Media"</formula>
    </cfRule>
    <cfRule type="cellIs" dxfId="1196" priority="1381" operator="equal">
      <formula>"Baja"</formula>
    </cfRule>
    <cfRule type="cellIs" dxfId="1195" priority="1382" operator="equal">
      <formula>"Muy Baja"</formula>
    </cfRule>
  </conditionalFormatting>
  <conditionalFormatting sqref="O106">
    <cfRule type="cellIs" dxfId="1194" priority="1373" operator="equal">
      <formula>"Catastrófico"</formula>
    </cfRule>
    <cfRule type="cellIs" dxfId="1193" priority="1374" operator="equal">
      <formula>"Mayor"</formula>
    </cfRule>
    <cfRule type="cellIs" dxfId="1192" priority="1375" operator="equal">
      <formula>"Moderado"</formula>
    </cfRule>
    <cfRule type="cellIs" dxfId="1191" priority="1376" operator="equal">
      <formula>"Menor"</formula>
    </cfRule>
    <cfRule type="cellIs" dxfId="1190" priority="1377" operator="equal">
      <formula>"Leve"</formula>
    </cfRule>
  </conditionalFormatting>
  <conditionalFormatting sqref="Q106">
    <cfRule type="cellIs" dxfId="1189" priority="1369" operator="equal">
      <formula>"Extremo"</formula>
    </cfRule>
    <cfRule type="cellIs" dxfId="1188" priority="1370" operator="equal">
      <formula>"Alto"</formula>
    </cfRule>
    <cfRule type="cellIs" dxfId="1187" priority="1371" operator="equal">
      <formula>"Moderado"</formula>
    </cfRule>
    <cfRule type="cellIs" dxfId="1186" priority="1372" operator="equal">
      <formula>"Bajo"</formula>
    </cfRule>
  </conditionalFormatting>
  <conditionalFormatting sqref="N106:N108">
    <cfRule type="containsText" dxfId="1185" priority="1368" operator="containsText" text="❌">
      <formula>NOT(ISERROR(SEARCH("❌",N106)))</formula>
    </cfRule>
  </conditionalFormatting>
  <conditionalFormatting sqref="K124">
    <cfRule type="cellIs" dxfId="1184" priority="1363" operator="equal">
      <formula>"Muy Alta"</formula>
    </cfRule>
    <cfRule type="cellIs" dxfId="1183" priority="1364" operator="equal">
      <formula>"Alta"</formula>
    </cfRule>
    <cfRule type="cellIs" dxfId="1182" priority="1365" operator="equal">
      <formula>"Media"</formula>
    </cfRule>
    <cfRule type="cellIs" dxfId="1181" priority="1366" operator="equal">
      <formula>"Baja"</formula>
    </cfRule>
    <cfRule type="cellIs" dxfId="1180" priority="1367" operator="equal">
      <formula>"Muy Baja"</formula>
    </cfRule>
  </conditionalFormatting>
  <conditionalFormatting sqref="O124">
    <cfRule type="cellIs" dxfId="1179" priority="1358" operator="equal">
      <formula>"Catastrófico"</formula>
    </cfRule>
    <cfRule type="cellIs" dxfId="1178" priority="1359" operator="equal">
      <formula>"Mayor"</formula>
    </cfRule>
    <cfRule type="cellIs" dxfId="1177" priority="1360" operator="equal">
      <formula>"Moderado"</formula>
    </cfRule>
    <cfRule type="cellIs" dxfId="1176" priority="1361" operator="equal">
      <formula>"Menor"</formula>
    </cfRule>
    <cfRule type="cellIs" dxfId="1175" priority="1362" operator="equal">
      <formula>"Leve"</formula>
    </cfRule>
  </conditionalFormatting>
  <conditionalFormatting sqref="Q124">
    <cfRule type="cellIs" dxfId="1174" priority="1354" operator="equal">
      <formula>"Extremo"</formula>
    </cfRule>
    <cfRule type="cellIs" dxfId="1173" priority="1355" operator="equal">
      <formula>"Alto"</formula>
    </cfRule>
    <cfRule type="cellIs" dxfId="1172" priority="1356" operator="equal">
      <formula>"Moderado"</formula>
    </cfRule>
    <cfRule type="cellIs" dxfId="1171" priority="1357" operator="equal">
      <formula>"Bajo"</formula>
    </cfRule>
  </conditionalFormatting>
  <conditionalFormatting sqref="N124:N126">
    <cfRule type="containsText" dxfId="1170" priority="1353" operator="containsText" text="❌">
      <formula>NOT(ISERROR(SEARCH("❌",N124)))</formula>
    </cfRule>
  </conditionalFormatting>
  <conditionalFormatting sqref="AB109">
    <cfRule type="cellIs" dxfId="1169" priority="1348" operator="equal">
      <formula>"Muy Alta"</formula>
    </cfRule>
    <cfRule type="cellIs" dxfId="1168" priority="1349" operator="equal">
      <formula>"Alta"</formula>
    </cfRule>
    <cfRule type="cellIs" dxfId="1167" priority="1350" operator="equal">
      <formula>"Media"</formula>
    </cfRule>
    <cfRule type="cellIs" dxfId="1166" priority="1351" operator="equal">
      <formula>"Baja"</formula>
    </cfRule>
    <cfRule type="cellIs" dxfId="1165" priority="1352" operator="equal">
      <formula>"Muy Baja"</formula>
    </cfRule>
  </conditionalFormatting>
  <conditionalFormatting sqref="AD109">
    <cfRule type="cellIs" dxfId="1164" priority="1343" operator="equal">
      <formula>"Catastrófico"</formula>
    </cfRule>
    <cfRule type="cellIs" dxfId="1163" priority="1344" operator="equal">
      <formula>"Mayor"</formula>
    </cfRule>
    <cfRule type="cellIs" dxfId="1162" priority="1345" operator="equal">
      <formula>"Moderado"</formula>
    </cfRule>
    <cfRule type="cellIs" dxfId="1161" priority="1346" operator="equal">
      <formula>"Menor"</formula>
    </cfRule>
    <cfRule type="cellIs" dxfId="1160" priority="1347" operator="equal">
      <formula>"Leve"</formula>
    </cfRule>
  </conditionalFormatting>
  <conditionalFormatting sqref="AF109">
    <cfRule type="cellIs" dxfId="1159" priority="1339" operator="equal">
      <formula>"Extremo"</formula>
    </cfRule>
    <cfRule type="cellIs" dxfId="1158" priority="1340" operator="equal">
      <formula>"Alto"</formula>
    </cfRule>
    <cfRule type="cellIs" dxfId="1157" priority="1341" operator="equal">
      <formula>"Moderado"</formula>
    </cfRule>
    <cfRule type="cellIs" dxfId="1156" priority="1342" operator="equal">
      <formula>"Bajo"</formula>
    </cfRule>
  </conditionalFormatting>
  <conditionalFormatting sqref="AB110">
    <cfRule type="cellIs" dxfId="1155" priority="1334" operator="equal">
      <formula>"Muy Alta"</formula>
    </cfRule>
    <cfRule type="cellIs" dxfId="1154" priority="1335" operator="equal">
      <formula>"Alta"</formula>
    </cfRule>
    <cfRule type="cellIs" dxfId="1153" priority="1336" operator="equal">
      <formula>"Media"</formula>
    </cfRule>
    <cfRule type="cellIs" dxfId="1152" priority="1337" operator="equal">
      <formula>"Baja"</formula>
    </cfRule>
    <cfRule type="cellIs" dxfId="1151" priority="1338" operator="equal">
      <formula>"Muy Baja"</formula>
    </cfRule>
  </conditionalFormatting>
  <conditionalFormatting sqref="AD110">
    <cfRule type="cellIs" dxfId="1150" priority="1329" operator="equal">
      <formula>"Catastrófico"</formula>
    </cfRule>
    <cfRule type="cellIs" dxfId="1149" priority="1330" operator="equal">
      <formula>"Mayor"</formula>
    </cfRule>
    <cfRule type="cellIs" dxfId="1148" priority="1331" operator="equal">
      <formula>"Moderado"</formula>
    </cfRule>
    <cfRule type="cellIs" dxfId="1147" priority="1332" operator="equal">
      <formula>"Menor"</formula>
    </cfRule>
    <cfRule type="cellIs" dxfId="1146" priority="1333" operator="equal">
      <formula>"Leve"</formula>
    </cfRule>
  </conditionalFormatting>
  <conditionalFormatting sqref="AF110">
    <cfRule type="cellIs" dxfId="1145" priority="1325" operator="equal">
      <formula>"Extremo"</formula>
    </cfRule>
    <cfRule type="cellIs" dxfId="1144" priority="1326" operator="equal">
      <formula>"Alto"</formula>
    </cfRule>
    <cfRule type="cellIs" dxfId="1143" priority="1327" operator="equal">
      <formula>"Moderado"</formula>
    </cfRule>
    <cfRule type="cellIs" dxfId="1142" priority="1328" operator="equal">
      <formula>"Bajo"</formula>
    </cfRule>
  </conditionalFormatting>
  <conditionalFormatting sqref="AB111">
    <cfRule type="cellIs" dxfId="1141" priority="1320" operator="equal">
      <formula>"Muy Alta"</formula>
    </cfRule>
    <cfRule type="cellIs" dxfId="1140" priority="1321" operator="equal">
      <formula>"Alta"</formula>
    </cfRule>
    <cfRule type="cellIs" dxfId="1139" priority="1322" operator="equal">
      <formula>"Media"</formula>
    </cfRule>
    <cfRule type="cellIs" dxfId="1138" priority="1323" operator="equal">
      <formula>"Baja"</formula>
    </cfRule>
    <cfRule type="cellIs" dxfId="1137" priority="1324" operator="equal">
      <formula>"Muy Baja"</formula>
    </cfRule>
  </conditionalFormatting>
  <conditionalFormatting sqref="AD111">
    <cfRule type="cellIs" dxfId="1136" priority="1315" operator="equal">
      <formula>"Catastrófico"</formula>
    </cfRule>
    <cfRule type="cellIs" dxfId="1135" priority="1316" operator="equal">
      <formula>"Mayor"</formula>
    </cfRule>
    <cfRule type="cellIs" dxfId="1134" priority="1317" operator="equal">
      <formula>"Moderado"</formula>
    </cfRule>
    <cfRule type="cellIs" dxfId="1133" priority="1318" operator="equal">
      <formula>"Menor"</formula>
    </cfRule>
    <cfRule type="cellIs" dxfId="1132" priority="1319" operator="equal">
      <formula>"Leve"</formula>
    </cfRule>
  </conditionalFormatting>
  <conditionalFormatting sqref="AF111">
    <cfRule type="cellIs" dxfId="1131" priority="1311" operator="equal">
      <formula>"Extremo"</formula>
    </cfRule>
    <cfRule type="cellIs" dxfId="1130" priority="1312" operator="equal">
      <formula>"Alto"</formula>
    </cfRule>
    <cfRule type="cellIs" dxfId="1129" priority="1313" operator="equal">
      <formula>"Moderado"</formula>
    </cfRule>
    <cfRule type="cellIs" dxfId="1128" priority="1314" operator="equal">
      <formula>"Bajo"</formula>
    </cfRule>
  </conditionalFormatting>
  <conditionalFormatting sqref="K109">
    <cfRule type="cellIs" dxfId="1127" priority="1306" operator="equal">
      <formula>"Muy Alta"</formula>
    </cfRule>
    <cfRule type="cellIs" dxfId="1126" priority="1307" operator="equal">
      <formula>"Alta"</formula>
    </cfRule>
    <cfRule type="cellIs" dxfId="1125" priority="1308" operator="equal">
      <formula>"Media"</formula>
    </cfRule>
    <cfRule type="cellIs" dxfId="1124" priority="1309" operator="equal">
      <formula>"Baja"</formula>
    </cfRule>
    <cfRule type="cellIs" dxfId="1123" priority="1310" operator="equal">
      <formula>"Muy Baja"</formula>
    </cfRule>
  </conditionalFormatting>
  <conditionalFormatting sqref="O109">
    <cfRule type="cellIs" dxfId="1122" priority="1301" operator="equal">
      <formula>"Catastrófico"</formula>
    </cfRule>
    <cfRule type="cellIs" dxfId="1121" priority="1302" operator="equal">
      <formula>"Mayor"</formula>
    </cfRule>
    <cfRule type="cellIs" dxfId="1120" priority="1303" operator="equal">
      <formula>"Moderado"</formula>
    </cfRule>
    <cfRule type="cellIs" dxfId="1119" priority="1304" operator="equal">
      <formula>"Menor"</formula>
    </cfRule>
    <cfRule type="cellIs" dxfId="1118" priority="1305" operator="equal">
      <formula>"Leve"</formula>
    </cfRule>
  </conditionalFormatting>
  <conditionalFormatting sqref="Q109">
    <cfRule type="cellIs" dxfId="1117" priority="1297" operator="equal">
      <formula>"Extremo"</formula>
    </cfRule>
    <cfRule type="cellIs" dxfId="1116" priority="1298" operator="equal">
      <formula>"Alto"</formula>
    </cfRule>
    <cfRule type="cellIs" dxfId="1115" priority="1299" operator="equal">
      <formula>"Moderado"</formula>
    </cfRule>
    <cfRule type="cellIs" dxfId="1114" priority="1300" operator="equal">
      <formula>"Bajo"</formula>
    </cfRule>
  </conditionalFormatting>
  <conditionalFormatting sqref="N109:N111">
    <cfRule type="containsText" dxfId="1113" priority="1296" operator="containsText" text="❌">
      <formula>NOT(ISERROR(SEARCH("❌",N109)))</formula>
    </cfRule>
  </conditionalFormatting>
  <conditionalFormatting sqref="AB112">
    <cfRule type="cellIs" dxfId="1112" priority="1291" operator="equal">
      <formula>"Muy Alta"</formula>
    </cfRule>
    <cfRule type="cellIs" dxfId="1111" priority="1292" operator="equal">
      <formula>"Alta"</formula>
    </cfRule>
    <cfRule type="cellIs" dxfId="1110" priority="1293" operator="equal">
      <formula>"Media"</formula>
    </cfRule>
    <cfRule type="cellIs" dxfId="1109" priority="1294" operator="equal">
      <formula>"Baja"</formula>
    </cfRule>
    <cfRule type="cellIs" dxfId="1108" priority="1295" operator="equal">
      <formula>"Muy Baja"</formula>
    </cfRule>
  </conditionalFormatting>
  <conditionalFormatting sqref="AD112">
    <cfRule type="cellIs" dxfId="1107" priority="1286" operator="equal">
      <formula>"Catastrófico"</formula>
    </cfRule>
    <cfRule type="cellIs" dxfId="1106" priority="1287" operator="equal">
      <formula>"Mayor"</formula>
    </cfRule>
    <cfRule type="cellIs" dxfId="1105" priority="1288" operator="equal">
      <formula>"Moderado"</formula>
    </cfRule>
    <cfRule type="cellIs" dxfId="1104" priority="1289" operator="equal">
      <formula>"Menor"</formula>
    </cfRule>
    <cfRule type="cellIs" dxfId="1103" priority="1290" operator="equal">
      <formula>"Leve"</formula>
    </cfRule>
  </conditionalFormatting>
  <conditionalFormatting sqref="AF112">
    <cfRule type="cellIs" dxfId="1102" priority="1282" operator="equal">
      <formula>"Extremo"</formula>
    </cfRule>
    <cfRule type="cellIs" dxfId="1101" priority="1283" operator="equal">
      <formula>"Alto"</formula>
    </cfRule>
    <cfRule type="cellIs" dxfId="1100" priority="1284" operator="equal">
      <formula>"Moderado"</formula>
    </cfRule>
    <cfRule type="cellIs" dxfId="1099" priority="1285" operator="equal">
      <formula>"Bajo"</formula>
    </cfRule>
  </conditionalFormatting>
  <conditionalFormatting sqref="AB113">
    <cfRule type="cellIs" dxfId="1098" priority="1277" operator="equal">
      <formula>"Muy Alta"</formula>
    </cfRule>
    <cfRule type="cellIs" dxfId="1097" priority="1278" operator="equal">
      <formula>"Alta"</formula>
    </cfRule>
    <cfRule type="cellIs" dxfId="1096" priority="1279" operator="equal">
      <formula>"Media"</formula>
    </cfRule>
    <cfRule type="cellIs" dxfId="1095" priority="1280" operator="equal">
      <formula>"Baja"</formula>
    </cfRule>
    <cfRule type="cellIs" dxfId="1094" priority="1281" operator="equal">
      <formula>"Muy Baja"</formula>
    </cfRule>
  </conditionalFormatting>
  <conditionalFormatting sqref="AD113">
    <cfRule type="cellIs" dxfId="1093" priority="1272" operator="equal">
      <formula>"Catastrófico"</formula>
    </cfRule>
    <cfRule type="cellIs" dxfId="1092" priority="1273" operator="equal">
      <formula>"Mayor"</formula>
    </cfRule>
    <cfRule type="cellIs" dxfId="1091" priority="1274" operator="equal">
      <formula>"Moderado"</formula>
    </cfRule>
    <cfRule type="cellIs" dxfId="1090" priority="1275" operator="equal">
      <formula>"Menor"</formula>
    </cfRule>
    <cfRule type="cellIs" dxfId="1089" priority="1276" operator="equal">
      <formula>"Leve"</formula>
    </cfRule>
  </conditionalFormatting>
  <conditionalFormatting sqref="AF113">
    <cfRule type="cellIs" dxfId="1088" priority="1268" operator="equal">
      <formula>"Extremo"</formula>
    </cfRule>
    <cfRule type="cellIs" dxfId="1087" priority="1269" operator="equal">
      <formula>"Alto"</formula>
    </cfRule>
    <cfRule type="cellIs" dxfId="1086" priority="1270" operator="equal">
      <formula>"Moderado"</formula>
    </cfRule>
    <cfRule type="cellIs" dxfId="1085" priority="1271" operator="equal">
      <formula>"Bajo"</formula>
    </cfRule>
  </conditionalFormatting>
  <conditionalFormatting sqref="AB114">
    <cfRule type="cellIs" dxfId="1084" priority="1263" operator="equal">
      <formula>"Muy Alta"</formula>
    </cfRule>
    <cfRule type="cellIs" dxfId="1083" priority="1264" operator="equal">
      <formula>"Alta"</formula>
    </cfRule>
    <cfRule type="cellIs" dxfId="1082" priority="1265" operator="equal">
      <formula>"Media"</formula>
    </cfRule>
    <cfRule type="cellIs" dxfId="1081" priority="1266" operator="equal">
      <formula>"Baja"</formula>
    </cfRule>
    <cfRule type="cellIs" dxfId="1080" priority="1267" operator="equal">
      <formula>"Muy Baja"</formula>
    </cfRule>
  </conditionalFormatting>
  <conditionalFormatting sqref="AD114">
    <cfRule type="cellIs" dxfId="1079" priority="1258" operator="equal">
      <formula>"Catastrófico"</formula>
    </cfRule>
    <cfRule type="cellIs" dxfId="1078" priority="1259" operator="equal">
      <formula>"Mayor"</formula>
    </cfRule>
    <cfRule type="cellIs" dxfId="1077" priority="1260" operator="equal">
      <formula>"Moderado"</formula>
    </cfRule>
    <cfRule type="cellIs" dxfId="1076" priority="1261" operator="equal">
      <formula>"Menor"</formula>
    </cfRule>
    <cfRule type="cellIs" dxfId="1075" priority="1262" operator="equal">
      <formula>"Leve"</formula>
    </cfRule>
  </conditionalFormatting>
  <conditionalFormatting sqref="AF114">
    <cfRule type="cellIs" dxfId="1074" priority="1254" operator="equal">
      <formula>"Extremo"</formula>
    </cfRule>
    <cfRule type="cellIs" dxfId="1073" priority="1255" operator="equal">
      <formula>"Alto"</formula>
    </cfRule>
    <cfRule type="cellIs" dxfId="1072" priority="1256" operator="equal">
      <formula>"Moderado"</formula>
    </cfRule>
    <cfRule type="cellIs" dxfId="1071" priority="1257" operator="equal">
      <formula>"Bajo"</formula>
    </cfRule>
  </conditionalFormatting>
  <conditionalFormatting sqref="K112">
    <cfRule type="cellIs" dxfId="1070" priority="1249" operator="equal">
      <formula>"Muy Alta"</formula>
    </cfRule>
    <cfRule type="cellIs" dxfId="1069" priority="1250" operator="equal">
      <formula>"Alta"</formula>
    </cfRule>
    <cfRule type="cellIs" dxfId="1068" priority="1251" operator="equal">
      <formula>"Media"</formula>
    </cfRule>
    <cfRule type="cellIs" dxfId="1067" priority="1252" operator="equal">
      <formula>"Baja"</formula>
    </cfRule>
    <cfRule type="cellIs" dxfId="1066" priority="1253" operator="equal">
      <formula>"Muy Baja"</formula>
    </cfRule>
  </conditionalFormatting>
  <conditionalFormatting sqref="O112">
    <cfRule type="cellIs" dxfId="1065" priority="1244" operator="equal">
      <formula>"Catastrófico"</formula>
    </cfRule>
    <cfRule type="cellIs" dxfId="1064" priority="1245" operator="equal">
      <formula>"Mayor"</formula>
    </cfRule>
    <cfRule type="cellIs" dxfId="1063" priority="1246" operator="equal">
      <formula>"Moderado"</formula>
    </cfRule>
    <cfRule type="cellIs" dxfId="1062" priority="1247" operator="equal">
      <formula>"Menor"</formula>
    </cfRule>
    <cfRule type="cellIs" dxfId="1061" priority="1248" operator="equal">
      <formula>"Leve"</formula>
    </cfRule>
  </conditionalFormatting>
  <conditionalFormatting sqref="Q112">
    <cfRule type="cellIs" dxfId="1060" priority="1240" operator="equal">
      <formula>"Extremo"</formula>
    </cfRule>
    <cfRule type="cellIs" dxfId="1059" priority="1241" operator="equal">
      <formula>"Alto"</formula>
    </cfRule>
    <cfRule type="cellIs" dxfId="1058" priority="1242" operator="equal">
      <formula>"Moderado"</formula>
    </cfRule>
    <cfRule type="cellIs" dxfId="1057" priority="1243" operator="equal">
      <formula>"Bajo"</formula>
    </cfRule>
  </conditionalFormatting>
  <conditionalFormatting sqref="N112:N114">
    <cfRule type="containsText" dxfId="1056" priority="1239" operator="containsText" text="❌">
      <formula>NOT(ISERROR(SEARCH("❌",N112)))</formula>
    </cfRule>
  </conditionalFormatting>
  <conditionalFormatting sqref="AB115">
    <cfRule type="cellIs" dxfId="1055" priority="1234" operator="equal">
      <formula>"Muy Alta"</formula>
    </cfRule>
    <cfRule type="cellIs" dxfId="1054" priority="1235" operator="equal">
      <formula>"Alta"</formula>
    </cfRule>
    <cfRule type="cellIs" dxfId="1053" priority="1236" operator="equal">
      <formula>"Media"</formula>
    </cfRule>
    <cfRule type="cellIs" dxfId="1052" priority="1237" operator="equal">
      <formula>"Baja"</formula>
    </cfRule>
    <cfRule type="cellIs" dxfId="1051" priority="1238" operator="equal">
      <formula>"Muy Baja"</formula>
    </cfRule>
  </conditionalFormatting>
  <conditionalFormatting sqref="AD115">
    <cfRule type="cellIs" dxfId="1050" priority="1229" operator="equal">
      <formula>"Catastrófico"</formula>
    </cfRule>
    <cfRule type="cellIs" dxfId="1049" priority="1230" operator="equal">
      <formula>"Mayor"</formula>
    </cfRule>
    <cfRule type="cellIs" dxfId="1048" priority="1231" operator="equal">
      <formula>"Moderado"</formula>
    </cfRule>
    <cfRule type="cellIs" dxfId="1047" priority="1232" operator="equal">
      <formula>"Menor"</formula>
    </cfRule>
    <cfRule type="cellIs" dxfId="1046" priority="1233" operator="equal">
      <formula>"Leve"</formula>
    </cfRule>
  </conditionalFormatting>
  <conditionalFormatting sqref="AF115">
    <cfRule type="cellIs" dxfId="1045" priority="1225" operator="equal">
      <formula>"Extremo"</formula>
    </cfRule>
    <cfRule type="cellIs" dxfId="1044" priority="1226" operator="equal">
      <formula>"Alto"</formula>
    </cfRule>
    <cfRule type="cellIs" dxfId="1043" priority="1227" operator="equal">
      <formula>"Moderado"</formula>
    </cfRule>
    <cfRule type="cellIs" dxfId="1042" priority="1228" operator="equal">
      <formula>"Bajo"</formula>
    </cfRule>
  </conditionalFormatting>
  <conditionalFormatting sqref="AB116">
    <cfRule type="cellIs" dxfId="1041" priority="1220" operator="equal">
      <formula>"Muy Alta"</formula>
    </cfRule>
    <cfRule type="cellIs" dxfId="1040" priority="1221" operator="equal">
      <formula>"Alta"</formula>
    </cfRule>
    <cfRule type="cellIs" dxfId="1039" priority="1222" operator="equal">
      <formula>"Media"</formula>
    </cfRule>
    <cfRule type="cellIs" dxfId="1038" priority="1223" operator="equal">
      <formula>"Baja"</formula>
    </cfRule>
    <cfRule type="cellIs" dxfId="1037" priority="1224" operator="equal">
      <formula>"Muy Baja"</formula>
    </cfRule>
  </conditionalFormatting>
  <conditionalFormatting sqref="AD116">
    <cfRule type="cellIs" dxfId="1036" priority="1215" operator="equal">
      <formula>"Catastrófico"</formula>
    </cfRule>
    <cfRule type="cellIs" dxfId="1035" priority="1216" operator="equal">
      <formula>"Mayor"</formula>
    </cfRule>
    <cfRule type="cellIs" dxfId="1034" priority="1217" operator="equal">
      <formula>"Moderado"</formula>
    </cfRule>
    <cfRule type="cellIs" dxfId="1033" priority="1218" operator="equal">
      <formula>"Menor"</formula>
    </cfRule>
    <cfRule type="cellIs" dxfId="1032" priority="1219" operator="equal">
      <formula>"Leve"</formula>
    </cfRule>
  </conditionalFormatting>
  <conditionalFormatting sqref="AF116">
    <cfRule type="cellIs" dxfId="1031" priority="1211" operator="equal">
      <formula>"Extremo"</formula>
    </cfRule>
    <cfRule type="cellIs" dxfId="1030" priority="1212" operator="equal">
      <formula>"Alto"</formula>
    </cfRule>
    <cfRule type="cellIs" dxfId="1029" priority="1213" operator="equal">
      <formula>"Moderado"</formula>
    </cfRule>
    <cfRule type="cellIs" dxfId="1028" priority="1214" operator="equal">
      <formula>"Bajo"</formula>
    </cfRule>
  </conditionalFormatting>
  <conditionalFormatting sqref="AB117">
    <cfRule type="cellIs" dxfId="1027" priority="1206" operator="equal">
      <formula>"Muy Alta"</formula>
    </cfRule>
    <cfRule type="cellIs" dxfId="1026" priority="1207" operator="equal">
      <formula>"Alta"</formula>
    </cfRule>
    <cfRule type="cellIs" dxfId="1025" priority="1208" operator="equal">
      <formula>"Media"</formula>
    </cfRule>
    <cfRule type="cellIs" dxfId="1024" priority="1209" operator="equal">
      <formula>"Baja"</formula>
    </cfRule>
    <cfRule type="cellIs" dxfId="1023" priority="1210" operator="equal">
      <formula>"Muy Baja"</formula>
    </cfRule>
  </conditionalFormatting>
  <conditionalFormatting sqref="AD117">
    <cfRule type="cellIs" dxfId="1022" priority="1201" operator="equal">
      <formula>"Catastrófico"</formula>
    </cfRule>
    <cfRule type="cellIs" dxfId="1021" priority="1202" operator="equal">
      <formula>"Mayor"</formula>
    </cfRule>
    <cfRule type="cellIs" dxfId="1020" priority="1203" operator="equal">
      <formula>"Moderado"</formula>
    </cfRule>
    <cfRule type="cellIs" dxfId="1019" priority="1204" operator="equal">
      <formula>"Menor"</formula>
    </cfRule>
    <cfRule type="cellIs" dxfId="1018" priority="1205" operator="equal">
      <formula>"Leve"</formula>
    </cfRule>
  </conditionalFormatting>
  <conditionalFormatting sqref="AF117">
    <cfRule type="cellIs" dxfId="1017" priority="1197" operator="equal">
      <formula>"Extremo"</formula>
    </cfRule>
    <cfRule type="cellIs" dxfId="1016" priority="1198" operator="equal">
      <formula>"Alto"</formula>
    </cfRule>
    <cfRule type="cellIs" dxfId="1015" priority="1199" operator="equal">
      <formula>"Moderado"</formula>
    </cfRule>
    <cfRule type="cellIs" dxfId="1014" priority="1200" operator="equal">
      <formula>"Bajo"</formula>
    </cfRule>
  </conditionalFormatting>
  <conditionalFormatting sqref="K115">
    <cfRule type="cellIs" dxfId="1013" priority="1192" operator="equal">
      <formula>"Muy Alta"</formula>
    </cfRule>
    <cfRule type="cellIs" dxfId="1012" priority="1193" operator="equal">
      <formula>"Alta"</formula>
    </cfRule>
    <cfRule type="cellIs" dxfId="1011" priority="1194" operator="equal">
      <formula>"Media"</formula>
    </cfRule>
    <cfRule type="cellIs" dxfId="1010" priority="1195" operator="equal">
      <formula>"Baja"</formula>
    </cfRule>
    <cfRule type="cellIs" dxfId="1009" priority="1196" operator="equal">
      <formula>"Muy Baja"</formula>
    </cfRule>
  </conditionalFormatting>
  <conditionalFormatting sqref="O115">
    <cfRule type="cellIs" dxfId="1008" priority="1187" operator="equal">
      <formula>"Catastrófico"</formula>
    </cfRule>
    <cfRule type="cellIs" dxfId="1007" priority="1188" operator="equal">
      <formula>"Mayor"</formula>
    </cfRule>
    <cfRule type="cellIs" dxfId="1006" priority="1189" operator="equal">
      <formula>"Moderado"</formula>
    </cfRule>
    <cfRule type="cellIs" dxfId="1005" priority="1190" operator="equal">
      <formula>"Menor"</formula>
    </cfRule>
    <cfRule type="cellIs" dxfId="1004" priority="1191" operator="equal">
      <formula>"Leve"</formula>
    </cfRule>
  </conditionalFormatting>
  <conditionalFormatting sqref="Q115">
    <cfRule type="cellIs" dxfId="1003" priority="1183" operator="equal">
      <formula>"Extremo"</formula>
    </cfRule>
    <cfRule type="cellIs" dxfId="1002" priority="1184" operator="equal">
      <formula>"Alto"</formula>
    </cfRule>
    <cfRule type="cellIs" dxfId="1001" priority="1185" operator="equal">
      <formula>"Moderado"</formula>
    </cfRule>
    <cfRule type="cellIs" dxfId="1000" priority="1186" operator="equal">
      <formula>"Bajo"</formula>
    </cfRule>
  </conditionalFormatting>
  <conditionalFormatting sqref="N115:N117">
    <cfRule type="containsText" dxfId="999" priority="1182" operator="containsText" text="❌">
      <formula>NOT(ISERROR(SEARCH("❌",N115)))</formula>
    </cfRule>
  </conditionalFormatting>
  <conditionalFormatting sqref="AB118">
    <cfRule type="cellIs" dxfId="998" priority="1177" operator="equal">
      <formula>"Muy Alta"</formula>
    </cfRule>
    <cfRule type="cellIs" dxfId="997" priority="1178" operator="equal">
      <formula>"Alta"</formula>
    </cfRule>
    <cfRule type="cellIs" dxfId="996" priority="1179" operator="equal">
      <formula>"Media"</formula>
    </cfRule>
    <cfRule type="cellIs" dxfId="995" priority="1180" operator="equal">
      <formula>"Baja"</formula>
    </cfRule>
    <cfRule type="cellIs" dxfId="994" priority="1181" operator="equal">
      <formula>"Muy Baja"</formula>
    </cfRule>
  </conditionalFormatting>
  <conditionalFormatting sqref="AD118">
    <cfRule type="cellIs" dxfId="993" priority="1172" operator="equal">
      <formula>"Catastrófico"</formula>
    </cfRule>
    <cfRule type="cellIs" dxfId="992" priority="1173" operator="equal">
      <formula>"Mayor"</formula>
    </cfRule>
    <cfRule type="cellIs" dxfId="991" priority="1174" operator="equal">
      <formula>"Moderado"</formula>
    </cfRule>
    <cfRule type="cellIs" dxfId="990" priority="1175" operator="equal">
      <formula>"Menor"</formula>
    </cfRule>
    <cfRule type="cellIs" dxfId="989" priority="1176" operator="equal">
      <formula>"Leve"</formula>
    </cfRule>
  </conditionalFormatting>
  <conditionalFormatting sqref="AF118">
    <cfRule type="cellIs" dxfId="988" priority="1168" operator="equal">
      <formula>"Extremo"</formula>
    </cfRule>
    <cfRule type="cellIs" dxfId="987" priority="1169" operator="equal">
      <formula>"Alto"</formula>
    </cfRule>
    <cfRule type="cellIs" dxfId="986" priority="1170" operator="equal">
      <formula>"Moderado"</formula>
    </cfRule>
    <cfRule type="cellIs" dxfId="985" priority="1171" operator="equal">
      <formula>"Bajo"</formula>
    </cfRule>
  </conditionalFormatting>
  <conditionalFormatting sqref="AB119">
    <cfRule type="cellIs" dxfId="984" priority="1163" operator="equal">
      <formula>"Muy Alta"</formula>
    </cfRule>
    <cfRule type="cellIs" dxfId="983" priority="1164" operator="equal">
      <formula>"Alta"</formula>
    </cfRule>
    <cfRule type="cellIs" dxfId="982" priority="1165" operator="equal">
      <formula>"Media"</formula>
    </cfRule>
    <cfRule type="cellIs" dxfId="981" priority="1166" operator="equal">
      <formula>"Baja"</formula>
    </cfRule>
    <cfRule type="cellIs" dxfId="980" priority="1167" operator="equal">
      <formula>"Muy Baja"</formula>
    </cfRule>
  </conditionalFormatting>
  <conditionalFormatting sqref="AD119">
    <cfRule type="cellIs" dxfId="979" priority="1158" operator="equal">
      <formula>"Catastrófico"</formula>
    </cfRule>
    <cfRule type="cellIs" dxfId="978" priority="1159" operator="equal">
      <formula>"Mayor"</formula>
    </cfRule>
    <cfRule type="cellIs" dxfId="977" priority="1160" operator="equal">
      <formula>"Moderado"</formula>
    </cfRule>
    <cfRule type="cellIs" dxfId="976" priority="1161" operator="equal">
      <formula>"Menor"</formula>
    </cfRule>
    <cfRule type="cellIs" dxfId="975" priority="1162" operator="equal">
      <formula>"Leve"</formula>
    </cfRule>
  </conditionalFormatting>
  <conditionalFormatting sqref="AF119">
    <cfRule type="cellIs" dxfId="974" priority="1154" operator="equal">
      <formula>"Extremo"</formula>
    </cfRule>
    <cfRule type="cellIs" dxfId="973" priority="1155" operator="equal">
      <formula>"Alto"</formula>
    </cfRule>
    <cfRule type="cellIs" dxfId="972" priority="1156" operator="equal">
      <formula>"Moderado"</formula>
    </cfRule>
    <cfRule type="cellIs" dxfId="971" priority="1157" operator="equal">
      <formula>"Bajo"</formula>
    </cfRule>
  </conditionalFormatting>
  <conditionalFormatting sqref="AB120">
    <cfRule type="cellIs" dxfId="970" priority="1149" operator="equal">
      <formula>"Muy Alta"</formula>
    </cfRule>
    <cfRule type="cellIs" dxfId="969" priority="1150" operator="equal">
      <formula>"Alta"</formula>
    </cfRule>
    <cfRule type="cellIs" dxfId="968" priority="1151" operator="equal">
      <formula>"Media"</formula>
    </cfRule>
    <cfRule type="cellIs" dxfId="967" priority="1152" operator="equal">
      <formula>"Baja"</formula>
    </cfRule>
    <cfRule type="cellIs" dxfId="966" priority="1153" operator="equal">
      <formula>"Muy Baja"</formula>
    </cfRule>
  </conditionalFormatting>
  <conditionalFormatting sqref="AD120">
    <cfRule type="cellIs" dxfId="965" priority="1144" operator="equal">
      <formula>"Catastrófico"</formula>
    </cfRule>
    <cfRule type="cellIs" dxfId="964" priority="1145" operator="equal">
      <formula>"Mayor"</formula>
    </cfRule>
    <cfRule type="cellIs" dxfId="963" priority="1146" operator="equal">
      <formula>"Moderado"</formula>
    </cfRule>
    <cfRule type="cellIs" dxfId="962" priority="1147" operator="equal">
      <formula>"Menor"</formula>
    </cfRule>
    <cfRule type="cellIs" dxfId="961" priority="1148" operator="equal">
      <formula>"Leve"</formula>
    </cfRule>
  </conditionalFormatting>
  <conditionalFormatting sqref="AF120">
    <cfRule type="cellIs" dxfId="960" priority="1140" operator="equal">
      <formula>"Extremo"</formula>
    </cfRule>
    <cfRule type="cellIs" dxfId="959" priority="1141" operator="equal">
      <formula>"Alto"</formula>
    </cfRule>
    <cfRule type="cellIs" dxfId="958" priority="1142" operator="equal">
      <formula>"Moderado"</formula>
    </cfRule>
    <cfRule type="cellIs" dxfId="957" priority="1143" operator="equal">
      <formula>"Bajo"</formula>
    </cfRule>
  </conditionalFormatting>
  <conditionalFormatting sqref="K118">
    <cfRule type="cellIs" dxfId="956" priority="1135" operator="equal">
      <formula>"Muy Alta"</formula>
    </cfRule>
    <cfRule type="cellIs" dxfId="955" priority="1136" operator="equal">
      <formula>"Alta"</formula>
    </cfRule>
    <cfRule type="cellIs" dxfId="954" priority="1137" operator="equal">
      <formula>"Media"</formula>
    </cfRule>
    <cfRule type="cellIs" dxfId="953" priority="1138" operator="equal">
      <formula>"Baja"</formula>
    </cfRule>
    <cfRule type="cellIs" dxfId="952" priority="1139" operator="equal">
      <formula>"Muy Baja"</formula>
    </cfRule>
  </conditionalFormatting>
  <conditionalFormatting sqref="O118">
    <cfRule type="cellIs" dxfId="951" priority="1130" operator="equal">
      <formula>"Catastrófico"</formula>
    </cfRule>
    <cfRule type="cellIs" dxfId="950" priority="1131" operator="equal">
      <formula>"Mayor"</formula>
    </cfRule>
    <cfRule type="cellIs" dxfId="949" priority="1132" operator="equal">
      <formula>"Moderado"</formula>
    </cfRule>
    <cfRule type="cellIs" dxfId="948" priority="1133" operator="equal">
      <formula>"Menor"</formula>
    </cfRule>
    <cfRule type="cellIs" dxfId="947" priority="1134" operator="equal">
      <formula>"Leve"</formula>
    </cfRule>
  </conditionalFormatting>
  <conditionalFormatting sqref="Q118">
    <cfRule type="cellIs" dxfId="946" priority="1126" operator="equal">
      <formula>"Extremo"</formula>
    </cfRule>
    <cfRule type="cellIs" dxfId="945" priority="1127" operator="equal">
      <formula>"Alto"</formula>
    </cfRule>
    <cfRule type="cellIs" dxfId="944" priority="1128" operator="equal">
      <formula>"Moderado"</formula>
    </cfRule>
    <cfRule type="cellIs" dxfId="943" priority="1129" operator="equal">
      <formula>"Bajo"</formula>
    </cfRule>
  </conditionalFormatting>
  <conditionalFormatting sqref="N118:N120">
    <cfRule type="containsText" dxfId="942" priority="1125" operator="containsText" text="❌">
      <formula>NOT(ISERROR(SEARCH("❌",N118)))</formula>
    </cfRule>
  </conditionalFormatting>
  <conditionalFormatting sqref="AB121">
    <cfRule type="cellIs" dxfId="941" priority="1120" operator="equal">
      <formula>"Muy Alta"</formula>
    </cfRule>
    <cfRule type="cellIs" dxfId="940" priority="1121" operator="equal">
      <formula>"Alta"</formula>
    </cfRule>
    <cfRule type="cellIs" dxfId="939" priority="1122" operator="equal">
      <formula>"Media"</formula>
    </cfRule>
    <cfRule type="cellIs" dxfId="938" priority="1123" operator="equal">
      <formula>"Baja"</formula>
    </cfRule>
    <cfRule type="cellIs" dxfId="937" priority="1124" operator="equal">
      <formula>"Muy Baja"</formula>
    </cfRule>
  </conditionalFormatting>
  <conditionalFormatting sqref="AD121">
    <cfRule type="cellIs" dxfId="936" priority="1115" operator="equal">
      <formula>"Catastrófico"</formula>
    </cfRule>
    <cfRule type="cellIs" dxfId="935" priority="1116" operator="equal">
      <formula>"Mayor"</formula>
    </cfRule>
    <cfRule type="cellIs" dxfId="934" priority="1117" operator="equal">
      <formula>"Moderado"</formula>
    </cfRule>
    <cfRule type="cellIs" dxfId="933" priority="1118" operator="equal">
      <formula>"Menor"</formula>
    </cfRule>
    <cfRule type="cellIs" dxfId="932" priority="1119" operator="equal">
      <formula>"Leve"</formula>
    </cfRule>
  </conditionalFormatting>
  <conditionalFormatting sqref="AF121">
    <cfRule type="cellIs" dxfId="931" priority="1111" operator="equal">
      <formula>"Extremo"</formula>
    </cfRule>
    <cfRule type="cellIs" dxfId="930" priority="1112" operator="equal">
      <formula>"Alto"</formula>
    </cfRule>
    <cfRule type="cellIs" dxfId="929" priority="1113" operator="equal">
      <formula>"Moderado"</formula>
    </cfRule>
    <cfRule type="cellIs" dxfId="928" priority="1114" operator="equal">
      <formula>"Bajo"</formula>
    </cfRule>
  </conditionalFormatting>
  <conditionalFormatting sqref="AB122">
    <cfRule type="cellIs" dxfId="927" priority="1106" operator="equal">
      <formula>"Muy Alta"</formula>
    </cfRule>
    <cfRule type="cellIs" dxfId="926" priority="1107" operator="equal">
      <formula>"Alta"</formula>
    </cfRule>
    <cfRule type="cellIs" dxfId="925" priority="1108" operator="equal">
      <formula>"Media"</formula>
    </cfRule>
    <cfRule type="cellIs" dxfId="924" priority="1109" operator="equal">
      <formula>"Baja"</formula>
    </cfRule>
    <cfRule type="cellIs" dxfId="923" priority="1110" operator="equal">
      <formula>"Muy Baja"</formula>
    </cfRule>
  </conditionalFormatting>
  <conditionalFormatting sqref="AD122">
    <cfRule type="cellIs" dxfId="922" priority="1101" operator="equal">
      <formula>"Catastrófico"</formula>
    </cfRule>
    <cfRule type="cellIs" dxfId="921" priority="1102" operator="equal">
      <formula>"Mayor"</formula>
    </cfRule>
    <cfRule type="cellIs" dxfId="920" priority="1103" operator="equal">
      <formula>"Moderado"</formula>
    </cfRule>
    <cfRule type="cellIs" dxfId="919" priority="1104" operator="equal">
      <formula>"Menor"</formula>
    </cfRule>
    <cfRule type="cellIs" dxfId="918" priority="1105" operator="equal">
      <formula>"Leve"</formula>
    </cfRule>
  </conditionalFormatting>
  <conditionalFormatting sqref="AF122">
    <cfRule type="cellIs" dxfId="917" priority="1097" operator="equal">
      <formula>"Extremo"</formula>
    </cfRule>
    <cfRule type="cellIs" dxfId="916" priority="1098" operator="equal">
      <formula>"Alto"</formula>
    </cfRule>
    <cfRule type="cellIs" dxfId="915" priority="1099" operator="equal">
      <formula>"Moderado"</formula>
    </cfRule>
    <cfRule type="cellIs" dxfId="914" priority="1100" operator="equal">
      <formula>"Bajo"</formula>
    </cfRule>
  </conditionalFormatting>
  <conditionalFormatting sqref="AB123:AB126">
    <cfRule type="cellIs" dxfId="913" priority="1092" operator="equal">
      <formula>"Muy Alta"</formula>
    </cfRule>
    <cfRule type="cellIs" dxfId="912" priority="1093" operator="equal">
      <formula>"Alta"</formula>
    </cfRule>
    <cfRule type="cellIs" dxfId="911" priority="1094" operator="equal">
      <formula>"Media"</formula>
    </cfRule>
    <cfRule type="cellIs" dxfId="910" priority="1095" operator="equal">
      <formula>"Baja"</formula>
    </cfRule>
    <cfRule type="cellIs" dxfId="909" priority="1096" operator="equal">
      <formula>"Muy Baja"</formula>
    </cfRule>
  </conditionalFormatting>
  <conditionalFormatting sqref="AD123:AD126">
    <cfRule type="cellIs" dxfId="908" priority="1087" operator="equal">
      <formula>"Catastrófico"</formula>
    </cfRule>
    <cfRule type="cellIs" dxfId="907" priority="1088" operator="equal">
      <formula>"Mayor"</formula>
    </cfRule>
    <cfRule type="cellIs" dxfId="906" priority="1089" operator="equal">
      <formula>"Moderado"</formula>
    </cfRule>
    <cfRule type="cellIs" dxfId="905" priority="1090" operator="equal">
      <formula>"Menor"</formula>
    </cfRule>
    <cfRule type="cellIs" dxfId="904" priority="1091" operator="equal">
      <formula>"Leve"</formula>
    </cfRule>
  </conditionalFormatting>
  <conditionalFormatting sqref="AF123:AF126">
    <cfRule type="cellIs" dxfId="903" priority="1083" operator="equal">
      <formula>"Extremo"</formula>
    </cfRule>
    <cfRule type="cellIs" dxfId="902" priority="1084" operator="equal">
      <formula>"Alto"</formula>
    </cfRule>
    <cfRule type="cellIs" dxfId="901" priority="1085" operator="equal">
      <formula>"Moderado"</formula>
    </cfRule>
    <cfRule type="cellIs" dxfId="900" priority="1086" operator="equal">
      <formula>"Bajo"</formula>
    </cfRule>
  </conditionalFormatting>
  <conditionalFormatting sqref="K121">
    <cfRule type="cellIs" dxfId="899" priority="1078" operator="equal">
      <formula>"Muy Alta"</formula>
    </cfRule>
    <cfRule type="cellIs" dxfId="898" priority="1079" operator="equal">
      <formula>"Alta"</formula>
    </cfRule>
    <cfRule type="cellIs" dxfId="897" priority="1080" operator="equal">
      <formula>"Media"</formula>
    </cfRule>
    <cfRule type="cellIs" dxfId="896" priority="1081" operator="equal">
      <formula>"Baja"</formula>
    </cfRule>
    <cfRule type="cellIs" dxfId="895" priority="1082" operator="equal">
      <formula>"Muy Baja"</formula>
    </cfRule>
  </conditionalFormatting>
  <conditionalFormatting sqref="O121">
    <cfRule type="cellIs" dxfId="894" priority="1073" operator="equal">
      <formula>"Catastrófico"</formula>
    </cfRule>
    <cfRule type="cellIs" dxfId="893" priority="1074" operator="equal">
      <formula>"Mayor"</formula>
    </cfRule>
    <cfRule type="cellIs" dxfId="892" priority="1075" operator="equal">
      <formula>"Moderado"</formula>
    </cfRule>
    <cfRule type="cellIs" dxfId="891" priority="1076" operator="equal">
      <formula>"Menor"</formula>
    </cfRule>
    <cfRule type="cellIs" dxfId="890" priority="1077" operator="equal">
      <formula>"Leve"</formula>
    </cfRule>
  </conditionalFormatting>
  <conditionalFormatting sqref="Q121">
    <cfRule type="cellIs" dxfId="889" priority="1069" operator="equal">
      <formula>"Extremo"</formula>
    </cfRule>
    <cfRule type="cellIs" dxfId="888" priority="1070" operator="equal">
      <formula>"Alto"</formula>
    </cfRule>
    <cfRule type="cellIs" dxfId="887" priority="1071" operator="equal">
      <formula>"Moderado"</formula>
    </cfRule>
    <cfRule type="cellIs" dxfId="886" priority="1072" operator="equal">
      <formula>"Bajo"</formula>
    </cfRule>
  </conditionalFormatting>
  <conditionalFormatting sqref="N121:N126">
    <cfRule type="containsText" dxfId="885" priority="1068" operator="containsText" text="❌">
      <formula>NOT(ISERROR(SEARCH("❌",N121)))</formula>
    </cfRule>
  </conditionalFormatting>
  <conditionalFormatting sqref="AB127">
    <cfRule type="cellIs" dxfId="884" priority="1063" operator="equal">
      <formula>"Muy Alta"</formula>
    </cfRule>
    <cfRule type="cellIs" dxfId="883" priority="1064" operator="equal">
      <formula>"Alta"</formula>
    </cfRule>
    <cfRule type="cellIs" dxfId="882" priority="1065" operator="equal">
      <formula>"Media"</formula>
    </cfRule>
    <cfRule type="cellIs" dxfId="881" priority="1066" operator="equal">
      <formula>"Baja"</formula>
    </cfRule>
    <cfRule type="cellIs" dxfId="880" priority="1067" operator="equal">
      <formula>"Muy Baja"</formula>
    </cfRule>
  </conditionalFormatting>
  <conditionalFormatting sqref="AD127">
    <cfRule type="cellIs" dxfId="879" priority="1058" operator="equal">
      <formula>"Catastrófico"</formula>
    </cfRule>
    <cfRule type="cellIs" dxfId="878" priority="1059" operator="equal">
      <formula>"Mayor"</formula>
    </cfRule>
    <cfRule type="cellIs" dxfId="877" priority="1060" operator="equal">
      <formula>"Moderado"</formula>
    </cfRule>
    <cfRule type="cellIs" dxfId="876" priority="1061" operator="equal">
      <formula>"Menor"</formula>
    </cfRule>
    <cfRule type="cellIs" dxfId="875" priority="1062" operator="equal">
      <formula>"Leve"</formula>
    </cfRule>
  </conditionalFormatting>
  <conditionalFormatting sqref="AF127">
    <cfRule type="cellIs" dxfId="874" priority="1054" operator="equal">
      <formula>"Extremo"</formula>
    </cfRule>
    <cfRule type="cellIs" dxfId="873" priority="1055" operator="equal">
      <formula>"Alto"</formula>
    </cfRule>
    <cfRule type="cellIs" dxfId="872" priority="1056" operator="equal">
      <formula>"Moderado"</formula>
    </cfRule>
    <cfRule type="cellIs" dxfId="871" priority="1057" operator="equal">
      <formula>"Bajo"</formula>
    </cfRule>
  </conditionalFormatting>
  <conditionalFormatting sqref="AB128">
    <cfRule type="cellIs" dxfId="870" priority="1049" operator="equal">
      <formula>"Muy Alta"</formula>
    </cfRule>
    <cfRule type="cellIs" dxfId="869" priority="1050" operator="equal">
      <formula>"Alta"</formula>
    </cfRule>
    <cfRule type="cellIs" dxfId="868" priority="1051" operator="equal">
      <formula>"Media"</formula>
    </cfRule>
    <cfRule type="cellIs" dxfId="867" priority="1052" operator="equal">
      <formula>"Baja"</formula>
    </cfRule>
    <cfRule type="cellIs" dxfId="866" priority="1053" operator="equal">
      <formula>"Muy Baja"</formula>
    </cfRule>
  </conditionalFormatting>
  <conditionalFormatting sqref="AD128">
    <cfRule type="cellIs" dxfId="865" priority="1044" operator="equal">
      <formula>"Catastrófico"</formula>
    </cfRule>
    <cfRule type="cellIs" dxfId="864" priority="1045" operator="equal">
      <formula>"Mayor"</formula>
    </cfRule>
    <cfRule type="cellIs" dxfId="863" priority="1046" operator="equal">
      <formula>"Moderado"</formula>
    </cfRule>
    <cfRule type="cellIs" dxfId="862" priority="1047" operator="equal">
      <formula>"Menor"</formula>
    </cfRule>
    <cfRule type="cellIs" dxfId="861" priority="1048" operator="equal">
      <formula>"Leve"</formula>
    </cfRule>
  </conditionalFormatting>
  <conditionalFormatting sqref="AF128">
    <cfRule type="cellIs" dxfId="860" priority="1040" operator="equal">
      <formula>"Extremo"</formula>
    </cfRule>
    <cfRule type="cellIs" dxfId="859" priority="1041" operator="equal">
      <formula>"Alto"</formula>
    </cfRule>
    <cfRule type="cellIs" dxfId="858" priority="1042" operator="equal">
      <formula>"Moderado"</formula>
    </cfRule>
    <cfRule type="cellIs" dxfId="857" priority="1043" operator="equal">
      <formula>"Bajo"</formula>
    </cfRule>
  </conditionalFormatting>
  <conditionalFormatting sqref="AB129">
    <cfRule type="cellIs" dxfId="856" priority="1035" operator="equal">
      <formula>"Muy Alta"</formula>
    </cfRule>
    <cfRule type="cellIs" dxfId="855" priority="1036" operator="equal">
      <formula>"Alta"</formula>
    </cfRule>
    <cfRule type="cellIs" dxfId="854" priority="1037" operator="equal">
      <formula>"Media"</formula>
    </cfRule>
    <cfRule type="cellIs" dxfId="853" priority="1038" operator="equal">
      <formula>"Baja"</formula>
    </cfRule>
    <cfRule type="cellIs" dxfId="852" priority="1039" operator="equal">
      <formula>"Muy Baja"</formula>
    </cfRule>
  </conditionalFormatting>
  <conditionalFormatting sqref="AD129">
    <cfRule type="cellIs" dxfId="851" priority="1030" operator="equal">
      <formula>"Catastrófico"</formula>
    </cfRule>
    <cfRule type="cellIs" dxfId="850" priority="1031" operator="equal">
      <formula>"Mayor"</formula>
    </cfRule>
    <cfRule type="cellIs" dxfId="849" priority="1032" operator="equal">
      <formula>"Moderado"</formula>
    </cfRule>
    <cfRule type="cellIs" dxfId="848" priority="1033" operator="equal">
      <formula>"Menor"</formula>
    </cfRule>
    <cfRule type="cellIs" dxfId="847" priority="1034" operator="equal">
      <formula>"Leve"</formula>
    </cfRule>
  </conditionalFormatting>
  <conditionalFormatting sqref="AF129">
    <cfRule type="cellIs" dxfId="846" priority="1026" operator="equal">
      <formula>"Extremo"</formula>
    </cfRule>
    <cfRule type="cellIs" dxfId="845" priority="1027" operator="equal">
      <formula>"Alto"</formula>
    </cfRule>
    <cfRule type="cellIs" dxfId="844" priority="1028" operator="equal">
      <formula>"Moderado"</formula>
    </cfRule>
    <cfRule type="cellIs" dxfId="843" priority="1029" operator="equal">
      <formula>"Bajo"</formula>
    </cfRule>
  </conditionalFormatting>
  <conditionalFormatting sqref="K127">
    <cfRule type="cellIs" dxfId="842" priority="1021" operator="equal">
      <formula>"Muy Alta"</formula>
    </cfRule>
    <cfRule type="cellIs" dxfId="841" priority="1022" operator="equal">
      <formula>"Alta"</formula>
    </cfRule>
    <cfRule type="cellIs" dxfId="840" priority="1023" operator="equal">
      <formula>"Media"</formula>
    </cfRule>
    <cfRule type="cellIs" dxfId="839" priority="1024" operator="equal">
      <formula>"Baja"</formula>
    </cfRule>
    <cfRule type="cellIs" dxfId="838" priority="1025" operator="equal">
      <formula>"Muy Baja"</formula>
    </cfRule>
  </conditionalFormatting>
  <conditionalFormatting sqref="O127">
    <cfRule type="cellIs" dxfId="837" priority="1016" operator="equal">
      <formula>"Catastrófico"</formula>
    </cfRule>
    <cfRule type="cellIs" dxfId="836" priority="1017" operator="equal">
      <formula>"Mayor"</formula>
    </cfRule>
    <cfRule type="cellIs" dxfId="835" priority="1018" operator="equal">
      <formula>"Moderado"</formula>
    </cfRule>
    <cfRule type="cellIs" dxfId="834" priority="1019" operator="equal">
      <formula>"Menor"</formula>
    </cfRule>
    <cfRule type="cellIs" dxfId="833" priority="1020" operator="equal">
      <formula>"Leve"</formula>
    </cfRule>
  </conditionalFormatting>
  <conditionalFormatting sqref="Q127">
    <cfRule type="cellIs" dxfId="832" priority="1012" operator="equal">
      <formula>"Extremo"</formula>
    </cfRule>
    <cfRule type="cellIs" dxfId="831" priority="1013" operator="equal">
      <formula>"Alto"</formula>
    </cfRule>
    <cfRule type="cellIs" dxfId="830" priority="1014" operator="equal">
      <formula>"Moderado"</formula>
    </cfRule>
    <cfRule type="cellIs" dxfId="829" priority="1015" operator="equal">
      <formula>"Bajo"</formula>
    </cfRule>
  </conditionalFormatting>
  <conditionalFormatting sqref="N127:N129">
    <cfRule type="containsText" dxfId="828" priority="1011" operator="containsText" text="❌">
      <formula>NOT(ISERROR(SEARCH("❌",N127)))</formula>
    </cfRule>
  </conditionalFormatting>
  <conditionalFormatting sqref="AB127:AB129">
    <cfRule type="cellIs" dxfId="827" priority="1006" operator="equal">
      <formula>"Muy Alta"</formula>
    </cfRule>
    <cfRule type="cellIs" dxfId="826" priority="1007" operator="equal">
      <formula>"Alta"</formula>
    </cfRule>
    <cfRule type="cellIs" dxfId="825" priority="1008" operator="equal">
      <formula>"Media"</formula>
    </cfRule>
    <cfRule type="cellIs" dxfId="824" priority="1009" operator="equal">
      <formula>"Baja"</formula>
    </cfRule>
    <cfRule type="cellIs" dxfId="823" priority="1010" operator="equal">
      <formula>"Muy Baja"</formula>
    </cfRule>
  </conditionalFormatting>
  <conditionalFormatting sqref="AD127:AD129">
    <cfRule type="cellIs" dxfId="822" priority="1001" operator="equal">
      <formula>"Catastrófico"</formula>
    </cfRule>
    <cfRule type="cellIs" dxfId="821" priority="1002" operator="equal">
      <formula>"Mayor"</formula>
    </cfRule>
    <cfRule type="cellIs" dxfId="820" priority="1003" operator="equal">
      <formula>"Moderado"</formula>
    </cfRule>
    <cfRule type="cellIs" dxfId="819" priority="1004" operator="equal">
      <formula>"Menor"</formula>
    </cfRule>
    <cfRule type="cellIs" dxfId="818" priority="1005" operator="equal">
      <formula>"Leve"</formula>
    </cfRule>
  </conditionalFormatting>
  <conditionalFormatting sqref="AF127:AF129">
    <cfRule type="cellIs" dxfId="817" priority="997" operator="equal">
      <formula>"Extremo"</formula>
    </cfRule>
    <cfRule type="cellIs" dxfId="816" priority="998" operator="equal">
      <formula>"Alto"</formula>
    </cfRule>
    <cfRule type="cellIs" dxfId="815" priority="999" operator="equal">
      <formula>"Moderado"</formula>
    </cfRule>
    <cfRule type="cellIs" dxfId="814" priority="1000" operator="equal">
      <formula>"Bajo"</formula>
    </cfRule>
  </conditionalFormatting>
  <conditionalFormatting sqref="N127:N129">
    <cfRule type="containsText" dxfId="813" priority="996" operator="containsText" text="❌">
      <formula>NOT(ISERROR(SEARCH("❌",N127)))</formula>
    </cfRule>
  </conditionalFormatting>
  <conditionalFormatting sqref="AB130">
    <cfRule type="cellIs" dxfId="812" priority="991" operator="equal">
      <formula>"Muy Alta"</formula>
    </cfRule>
    <cfRule type="cellIs" dxfId="811" priority="992" operator="equal">
      <formula>"Alta"</formula>
    </cfRule>
    <cfRule type="cellIs" dxfId="810" priority="993" operator="equal">
      <formula>"Media"</formula>
    </cfRule>
    <cfRule type="cellIs" dxfId="809" priority="994" operator="equal">
      <formula>"Baja"</formula>
    </cfRule>
    <cfRule type="cellIs" dxfId="808" priority="995" operator="equal">
      <formula>"Muy Baja"</formula>
    </cfRule>
  </conditionalFormatting>
  <conditionalFormatting sqref="AD130">
    <cfRule type="cellIs" dxfId="807" priority="986" operator="equal">
      <formula>"Catastrófico"</formula>
    </cfRule>
    <cfRule type="cellIs" dxfId="806" priority="987" operator="equal">
      <formula>"Mayor"</formula>
    </cfRule>
    <cfRule type="cellIs" dxfId="805" priority="988" operator="equal">
      <formula>"Moderado"</formula>
    </cfRule>
    <cfRule type="cellIs" dxfId="804" priority="989" operator="equal">
      <formula>"Menor"</formula>
    </cfRule>
    <cfRule type="cellIs" dxfId="803" priority="990" operator="equal">
      <formula>"Leve"</formula>
    </cfRule>
  </conditionalFormatting>
  <conditionalFormatting sqref="AF130">
    <cfRule type="cellIs" dxfId="802" priority="982" operator="equal">
      <formula>"Extremo"</formula>
    </cfRule>
    <cfRule type="cellIs" dxfId="801" priority="983" operator="equal">
      <formula>"Alto"</formula>
    </cfRule>
    <cfRule type="cellIs" dxfId="800" priority="984" operator="equal">
      <formula>"Moderado"</formula>
    </cfRule>
    <cfRule type="cellIs" dxfId="799" priority="985" operator="equal">
      <formula>"Bajo"</formula>
    </cfRule>
  </conditionalFormatting>
  <conditionalFormatting sqref="AB131">
    <cfRule type="cellIs" dxfId="798" priority="977" operator="equal">
      <formula>"Muy Alta"</formula>
    </cfRule>
    <cfRule type="cellIs" dxfId="797" priority="978" operator="equal">
      <formula>"Alta"</formula>
    </cfRule>
    <cfRule type="cellIs" dxfId="796" priority="979" operator="equal">
      <formula>"Media"</formula>
    </cfRule>
    <cfRule type="cellIs" dxfId="795" priority="980" operator="equal">
      <formula>"Baja"</formula>
    </cfRule>
    <cfRule type="cellIs" dxfId="794" priority="981" operator="equal">
      <formula>"Muy Baja"</formula>
    </cfRule>
  </conditionalFormatting>
  <conditionalFormatting sqref="AD131">
    <cfRule type="cellIs" dxfId="793" priority="972" operator="equal">
      <formula>"Catastrófico"</formula>
    </cfRule>
    <cfRule type="cellIs" dxfId="792" priority="973" operator="equal">
      <formula>"Mayor"</formula>
    </cfRule>
    <cfRule type="cellIs" dxfId="791" priority="974" operator="equal">
      <formula>"Moderado"</formula>
    </cfRule>
    <cfRule type="cellIs" dxfId="790" priority="975" operator="equal">
      <formula>"Menor"</formula>
    </cfRule>
    <cfRule type="cellIs" dxfId="789" priority="976" operator="equal">
      <formula>"Leve"</formula>
    </cfRule>
  </conditionalFormatting>
  <conditionalFormatting sqref="AF131">
    <cfRule type="cellIs" dxfId="788" priority="968" operator="equal">
      <formula>"Extremo"</formula>
    </cfRule>
    <cfRule type="cellIs" dxfId="787" priority="969" operator="equal">
      <formula>"Alto"</formula>
    </cfRule>
    <cfRule type="cellIs" dxfId="786" priority="970" operator="equal">
      <formula>"Moderado"</formula>
    </cfRule>
    <cfRule type="cellIs" dxfId="785" priority="971" operator="equal">
      <formula>"Bajo"</formula>
    </cfRule>
  </conditionalFormatting>
  <conditionalFormatting sqref="AB132">
    <cfRule type="cellIs" dxfId="784" priority="963" operator="equal">
      <formula>"Muy Alta"</formula>
    </cfRule>
    <cfRule type="cellIs" dxfId="783" priority="964" operator="equal">
      <formula>"Alta"</formula>
    </cfRule>
    <cfRule type="cellIs" dxfId="782" priority="965" operator="equal">
      <formula>"Media"</formula>
    </cfRule>
    <cfRule type="cellIs" dxfId="781" priority="966" operator="equal">
      <formula>"Baja"</formula>
    </cfRule>
    <cfRule type="cellIs" dxfId="780" priority="967" operator="equal">
      <formula>"Muy Baja"</formula>
    </cfRule>
  </conditionalFormatting>
  <conditionalFormatting sqref="AD132">
    <cfRule type="cellIs" dxfId="779" priority="958" operator="equal">
      <formula>"Catastrófico"</formula>
    </cfRule>
    <cfRule type="cellIs" dxfId="778" priority="959" operator="equal">
      <formula>"Mayor"</formula>
    </cfRule>
    <cfRule type="cellIs" dxfId="777" priority="960" operator="equal">
      <formula>"Moderado"</formula>
    </cfRule>
    <cfRule type="cellIs" dxfId="776" priority="961" operator="equal">
      <formula>"Menor"</formula>
    </cfRule>
    <cfRule type="cellIs" dxfId="775" priority="962" operator="equal">
      <formula>"Leve"</formula>
    </cfRule>
  </conditionalFormatting>
  <conditionalFormatting sqref="AF132">
    <cfRule type="cellIs" dxfId="774" priority="954" operator="equal">
      <formula>"Extremo"</formula>
    </cfRule>
    <cfRule type="cellIs" dxfId="773" priority="955" operator="equal">
      <formula>"Alto"</formula>
    </cfRule>
    <cfRule type="cellIs" dxfId="772" priority="956" operator="equal">
      <formula>"Moderado"</formula>
    </cfRule>
    <cfRule type="cellIs" dxfId="771" priority="957" operator="equal">
      <formula>"Bajo"</formula>
    </cfRule>
  </conditionalFormatting>
  <conditionalFormatting sqref="K130">
    <cfRule type="cellIs" dxfId="770" priority="949" operator="equal">
      <formula>"Muy Alta"</formula>
    </cfRule>
    <cfRule type="cellIs" dxfId="769" priority="950" operator="equal">
      <formula>"Alta"</formula>
    </cfRule>
    <cfRule type="cellIs" dxfId="768" priority="951" operator="equal">
      <formula>"Media"</formula>
    </cfRule>
    <cfRule type="cellIs" dxfId="767" priority="952" operator="equal">
      <formula>"Baja"</formula>
    </cfRule>
    <cfRule type="cellIs" dxfId="766" priority="953" operator="equal">
      <formula>"Muy Baja"</formula>
    </cfRule>
  </conditionalFormatting>
  <conditionalFormatting sqref="O130">
    <cfRule type="cellIs" dxfId="765" priority="944" operator="equal">
      <formula>"Catastrófico"</formula>
    </cfRule>
    <cfRule type="cellIs" dxfId="764" priority="945" operator="equal">
      <formula>"Mayor"</formula>
    </cfRule>
    <cfRule type="cellIs" dxfId="763" priority="946" operator="equal">
      <formula>"Moderado"</formula>
    </cfRule>
    <cfRule type="cellIs" dxfId="762" priority="947" operator="equal">
      <formula>"Menor"</formula>
    </cfRule>
    <cfRule type="cellIs" dxfId="761" priority="948" operator="equal">
      <formula>"Leve"</formula>
    </cfRule>
  </conditionalFormatting>
  <conditionalFormatting sqref="Q130">
    <cfRule type="cellIs" dxfId="760" priority="940" operator="equal">
      <formula>"Extremo"</formula>
    </cfRule>
    <cfRule type="cellIs" dxfId="759" priority="941" operator="equal">
      <formula>"Alto"</formula>
    </cfRule>
    <cfRule type="cellIs" dxfId="758" priority="942" operator="equal">
      <formula>"Moderado"</formula>
    </cfRule>
    <cfRule type="cellIs" dxfId="757" priority="943" operator="equal">
      <formula>"Bajo"</formula>
    </cfRule>
  </conditionalFormatting>
  <conditionalFormatting sqref="N130:N132">
    <cfRule type="containsText" dxfId="756" priority="939" operator="containsText" text="❌">
      <formula>NOT(ISERROR(SEARCH("❌",N130)))</formula>
    </cfRule>
  </conditionalFormatting>
  <conditionalFormatting sqref="AB130:AB132">
    <cfRule type="cellIs" dxfId="755" priority="934" operator="equal">
      <formula>"Muy Alta"</formula>
    </cfRule>
    <cfRule type="cellIs" dxfId="754" priority="935" operator="equal">
      <formula>"Alta"</formula>
    </cfRule>
    <cfRule type="cellIs" dxfId="753" priority="936" operator="equal">
      <formula>"Media"</formula>
    </cfRule>
    <cfRule type="cellIs" dxfId="752" priority="937" operator="equal">
      <formula>"Baja"</formula>
    </cfRule>
    <cfRule type="cellIs" dxfId="751" priority="938" operator="equal">
      <formula>"Muy Baja"</formula>
    </cfRule>
  </conditionalFormatting>
  <conditionalFormatting sqref="AD130:AD132">
    <cfRule type="cellIs" dxfId="750" priority="929" operator="equal">
      <formula>"Catastrófico"</formula>
    </cfRule>
    <cfRule type="cellIs" dxfId="749" priority="930" operator="equal">
      <formula>"Mayor"</formula>
    </cfRule>
    <cfRule type="cellIs" dxfId="748" priority="931" operator="equal">
      <formula>"Moderado"</formula>
    </cfRule>
    <cfRule type="cellIs" dxfId="747" priority="932" operator="equal">
      <formula>"Menor"</formula>
    </cfRule>
    <cfRule type="cellIs" dxfId="746" priority="933" operator="equal">
      <formula>"Leve"</formula>
    </cfRule>
  </conditionalFormatting>
  <conditionalFormatting sqref="AF130:AF132">
    <cfRule type="cellIs" dxfId="745" priority="925" operator="equal">
      <formula>"Extremo"</formula>
    </cfRule>
    <cfRule type="cellIs" dxfId="744" priority="926" operator="equal">
      <formula>"Alto"</formula>
    </cfRule>
    <cfRule type="cellIs" dxfId="743" priority="927" operator="equal">
      <formula>"Moderado"</formula>
    </cfRule>
    <cfRule type="cellIs" dxfId="742" priority="928" operator="equal">
      <formula>"Bajo"</formula>
    </cfRule>
  </conditionalFormatting>
  <conditionalFormatting sqref="N130:N132">
    <cfRule type="containsText" dxfId="741" priority="924" operator="containsText" text="❌">
      <formula>NOT(ISERROR(SEARCH("❌",N130)))</formula>
    </cfRule>
  </conditionalFormatting>
  <conditionalFormatting sqref="AB133">
    <cfRule type="cellIs" dxfId="740" priority="919" operator="equal">
      <formula>"Muy Alta"</formula>
    </cfRule>
    <cfRule type="cellIs" dxfId="739" priority="920" operator="equal">
      <formula>"Alta"</formula>
    </cfRule>
    <cfRule type="cellIs" dxfId="738" priority="921" operator="equal">
      <formula>"Media"</formula>
    </cfRule>
    <cfRule type="cellIs" dxfId="737" priority="922" operator="equal">
      <formula>"Baja"</formula>
    </cfRule>
    <cfRule type="cellIs" dxfId="736" priority="923" operator="equal">
      <formula>"Muy Baja"</formula>
    </cfRule>
  </conditionalFormatting>
  <conditionalFormatting sqref="AD133">
    <cfRule type="cellIs" dxfId="735" priority="914" operator="equal">
      <formula>"Catastrófico"</formula>
    </cfRule>
    <cfRule type="cellIs" dxfId="734" priority="915" operator="equal">
      <formula>"Mayor"</formula>
    </cfRule>
    <cfRule type="cellIs" dxfId="733" priority="916" operator="equal">
      <formula>"Moderado"</formula>
    </cfRule>
    <cfRule type="cellIs" dxfId="732" priority="917" operator="equal">
      <formula>"Menor"</formula>
    </cfRule>
    <cfRule type="cellIs" dxfId="731" priority="918" operator="equal">
      <formula>"Leve"</formula>
    </cfRule>
  </conditionalFormatting>
  <conditionalFormatting sqref="AF133">
    <cfRule type="cellIs" dxfId="730" priority="910" operator="equal">
      <formula>"Extremo"</formula>
    </cfRule>
    <cfRule type="cellIs" dxfId="729" priority="911" operator="equal">
      <formula>"Alto"</formula>
    </cfRule>
    <cfRule type="cellIs" dxfId="728" priority="912" operator="equal">
      <formula>"Moderado"</formula>
    </cfRule>
    <cfRule type="cellIs" dxfId="727" priority="913" operator="equal">
      <formula>"Bajo"</formula>
    </cfRule>
  </conditionalFormatting>
  <conditionalFormatting sqref="AB134">
    <cfRule type="cellIs" dxfId="726" priority="905" operator="equal">
      <formula>"Muy Alta"</formula>
    </cfRule>
    <cfRule type="cellIs" dxfId="725" priority="906" operator="equal">
      <formula>"Alta"</formula>
    </cfRule>
    <cfRule type="cellIs" dxfId="724" priority="907" operator="equal">
      <formula>"Media"</formula>
    </cfRule>
    <cfRule type="cellIs" dxfId="723" priority="908" operator="equal">
      <formula>"Baja"</formula>
    </cfRule>
    <cfRule type="cellIs" dxfId="722" priority="909" operator="equal">
      <formula>"Muy Baja"</formula>
    </cfRule>
  </conditionalFormatting>
  <conditionalFormatting sqref="AD134">
    <cfRule type="cellIs" dxfId="721" priority="900" operator="equal">
      <formula>"Catastrófico"</formula>
    </cfRule>
    <cfRule type="cellIs" dxfId="720" priority="901" operator="equal">
      <formula>"Mayor"</formula>
    </cfRule>
    <cfRule type="cellIs" dxfId="719" priority="902" operator="equal">
      <formula>"Moderado"</formula>
    </cfRule>
    <cfRule type="cellIs" dxfId="718" priority="903" operator="equal">
      <formula>"Menor"</formula>
    </cfRule>
    <cfRule type="cellIs" dxfId="717" priority="904" operator="equal">
      <formula>"Leve"</formula>
    </cfRule>
  </conditionalFormatting>
  <conditionalFormatting sqref="AF134">
    <cfRule type="cellIs" dxfId="716" priority="896" operator="equal">
      <formula>"Extremo"</formula>
    </cfRule>
    <cfRule type="cellIs" dxfId="715" priority="897" operator="equal">
      <formula>"Alto"</formula>
    </cfRule>
    <cfRule type="cellIs" dxfId="714" priority="898" operator="equal">
      <formula>"Moderado"</formula>
    </cfRule>
    <cfRule type="cellIs" dxfId="713" priority="899" operator="equal">
      <formula>"Bajo"</formula>
    </cfRule>
  </conditionalFormatting>
  <conditionalFormatting sqref="AB135">
    <cfRule type="cellIs" dxfId="712" priority="891" operator="equal">
      <formula>"Muy Alta"</formula>
    </cfRule>
    <cfRule type="cellIs" dxfId="711" priority="892" operator="equal">
      <formula>"Alta"</formula>
    </cfRule>
    <cfRule type="cellIs" dxfId="710" priority="893" operator="equal">
      <formula>"Media"</formula>
    </cfRule>
    <cfRule type="cellIs" dxfId="709" priority="894" operator="equal">
      <formula>"Baja"</formula>
    </cfRule>
    <cfRule type="cellIs" dxfId="708" priority="895" operator="equal">
      <formula>"Muy Baja"</formula>
    </cfRule>
  </conditionalFormatting>
  <conditionalFormatting sqref="AD135">
    <cfRule type="cellIs" dxfId="707" priority="886" operator="equal">
      <formula>"Catastrófico"</formula>
    </cfRule>
    <cfRule type="cellIs" dxfId="706" priority="887" operator="equal">
      <formula>"Mayor"</formula>
    </cfRule>
    <cfRule type="cellIs" dxfId="705" priority="888" operator="equal">
      <formula>"Moderado"</formula>
    </cfRule>
    <cfRule type="cellIs" dxfId="704" priority="889" operator="equal">
      <formula>"Menor"</formula>
    </cfRule>
    <cfRule type="cellIs" dxfId="703" priority="890" operator="equal">
      <formula>"Leve"</formula>
    </cfRule>
  </conditionalFormatting>
  <conditionalFormatting sqref="AF135">
    <cfRule type="cellIs" dxfId="702" priority="882" operator="equal">
      <formula>"Extremo"</formula>
    </cfRule>
    <cfRule type="cellIs" dxfId="701" priority="883" operator="equal">
      <formula>"Alto"</formula>
    </cfRule>
    <cfRule type="cellIs" dxfId="700" priority="884" operator="equal">
      <formula>"Moderado"</formula>
    </cfRule>
    <cfRule type="cellIs" dxfId="699" priority="885" operator="equal">
      <formula>"Bajo"</formula>
    </cfRule>
  </conditionalFormatting>
  <conditionalFormatting sqref="K133">
    <cfRule type="cellIs" dxfId="698" priority="877" operator="equal">
      <formula>"Muy Alta"</formula>
    </cfRule>
    <cfRule type="cellIs" dxfId="697" priority="878" operator="equal">
      <formula>"Alta"</formula>
    </cfRule>
    <cfRule type="cellIs" dxfId="696" priority="879" operator="equal">
      <formula>"Media"</formula>
    </cfRule>
    <cfRule type="cellIs" dxfId="695" priority="880" operator="equal">
      <formula>"Baja"</formula>
    </cfRule>
    <cfRule type="cellIs" dxfId="694" priority="881" operator="equal">
      <formula>"Muy Baja"</formula>
    </cfRule>
  </conditionalFormatting>
  <conditionalFormatting sqref="O133">
    <cfRule type="cellIs" dxfId="693" priority="872" operator="equal">
      <formula>"Catastrófico"</formula>
    </cfRule>
    <cfRule type="cellIs" dxfId="692" priority="873" operator="equal">
      <formula>"Mayor"</formula>
    </cfRule>
    <cfRule type="cellIs" dxfId="691" priority="874" operator="equal">
      <formula>"Moderado"</formula>
    </cfRule>
    <cfRule type="cellIs" dxfId="690" priority="875" operator="equal">
      <formula>"Menor"</formula>
    </cfRule>
    <cfRule type="cellIs" dxfId="689" priority="876" operator="equal">
      <formula>"Leve"</formula>
    </cfRule>
  </conditionalFormatting>
  <conditionalFormatting sqref="Q133">
    <cfRule type="cellIs" dxfId="688" priority="868" operator="equal">
      <formula>"Extremo"</formula>
    </cfRule>
    <cfRule type="cellIs" dxfId="687" priority="869" operator="equal">
      <formula>"Alto"</formula>
    </cfRule>
    <cfRule type="cellIs" dxfId="686" priority="870" operator="equal">
      <formula>"Moderado"</formula>
    </cfRule>
    <cfRule type="cellIs" dxfId="685" priority="871" operator="equal">
      <formula>"Bajo"</formula>
    </cfRule>
  </conditionalFormatting>
  <conditionalFormatting sqref="N133:N135">
    <cfRule type="containsText" dxfId="684" priority="867" operator="containsText" text="❌">
      <formula>NOT(ISERROR(SEARCH("❌",N133)))</formula>
    </cfRule>
  </conditionalFormatting>
  <conditionalFormatting sqref="AB133:AB135">
    <cfRule type="cellIs" dxfId="683" priority="862" operator="equal">
      <formula>"Muy Alta"</formula>
    </cfRule>
    <cfRule type="cellIs" dxfId="682" priority="863" operator="equal">
      <formula>"Alta"</formula>
    </cfRule>
    <cfRule type="cellIs" dxfId="681" priority="864" operator="equal">
      <formula>"Media"</formula>
    </cfRule>
    <cfRule type="cellIs" dxfId="680" priority="865" operator="equal">
      <formula>"Baja"</formula>
    </cfRule>
    <cfRule type="cellIs" dxfId="679" priority="866" operator="equal">
      <formula>"Muy Baja"</formula>
    </cfRule>
  </conditionalFormatting>
  <conditionalFormatting sqref="AD133:AD135">
    <cfRule type="cellIs" dxfId="678" priority="857" operator="equal">
      <formula>"Catastrófico"</formula>
    </cfRule>
    <cfRule type="cellIs" dxfId="677" priority="858" operator="equal">
      <formula>"Mayor"</formula>
    </cfRule>
    <cfRule type="cellIs" dxfId="676" priority="859" operator="equal">
      <formula>"Moderado"</formula>
    </cfRule>
    <cfRule type="cellIs" dxfId="675" priority="860" operator="equal">
      <formula>"Menor"</formula>
    </cfRule>
    <cfRule type="cellIs" dxfId="674" priority="861" operator="equal">
      <formula>"Leve"</formula>
    </cfRule>
  </conditionalFormatting>
  <conditionalFormatting sqref="AF133:AF135">
    <cfRule type="cellIs" dxfId="673" priority="853" operator="equal">
      <formula>"Extremo"</formula>
    </cfRule>
    <cfRule type="cellIs" dxfId="672" priority="854" operator="equal">
      <formula>"Alto"</formula>
    </cfRule>
    <cfRule type="cellIs" dxfId="671" priority="855" operator="equal">
      <formula>"Moderado"</formula>
    </cfRule>
    <cfRule type="cellIs" dxfId="670" priority="856" operator="equal">
      <formula>"Bajo"</formula>
    </cfRule>
  </conditionalFormatting>
  <conditionalFormatting sqref="N133:N135">
    <cfRule type="containsText" dxfId="669" priority="852" operator="containsText" text="❌">
      <formula>NOT(ISERROR(SEARCH("❌",N133)))</formula>
    </cfRule>
  </conditionalFormatting>
  <conditionalFormatting sqref="AB136">
    <cfRule type="cellIs" dxfId="668" priority="847" operator="equal">
      <formula>"Muy Alta"</formula>
    </cfRule>
    <cfRule type="cellIs" dxfId="667" priority="848" operator="equal">
      <formula>"Alta"</formula>
    </cfRule>
    <cfRule type="cellIs" dxfId="666" priority="849" operator="equal">
      <formula>"Media"</formula>
    </cfRule>
    <cfRule type="cellIs" dxfId="665" priority="850" operator="equal">
      <formula>"Baja"</formula>
    </cfRule>
    <cfRule type="cellIs" dxfId="664" priority="851" operator="equal">
      <formula>"Muy Baja"</formula>
    </cfRule>
  </conditionalFormatting>
  <conditionalFormatting sqref="AD136">
    <cfRule type="cellIs" dxfId="663" priority="842" operator="equal">
      <formula>"Catastrófico"</formula>
    </cfRule>
    <cfRule type="cellIs" dxfId="662" priority="843" operator="equal">
      <formula>"Mayor"</formula>
    </cfRule>
    <cfRule type="cellIs" dxfId="661" priority="844" operator="equal">
      <formula>"Moderado"</formula>
    </cfRule>
    <cfRule type="cellIs" dxfId="660" priority="845" operator="equal">
      <formula>"Menor"</formula>
    </cfRule>
    <cfRule type="cellIs" dxfId="659" priority="846" operator="equal">
      <formula>"Leve"</formula>
    </cfRule>
  </conditionalFormatting>
  <conditionalFormatting sqref="AF136">
    <cfRule type="cellIs" dxfId="658" priority="838" operator="equal">
      <formula>"Extremo"</formula>
    </cfRule>
    <cfRule type="cellIs" dxfId="657" priority="839" operator="equal">
      <formula>"Alto"</formula>
    </cfRule>
    <cfRule type="cellIs" dxfId="656" priority="840" operator="equal">
      <formula>"Moderado"</formula>
    </cfRule>
    <cfRule type="cellIs" dxfId="655" priority="841" operator="equal">
      <formula>"Bajo"</formula>
    </cfRule>
  </conditionalFormatting>
  <conditionalFormatting sqref="AB137">
    <cfRule type="cellIs" dxfId="654" priority="833" operator="equal">
      <formula>"Muy Alta"</formula>
    </cfRule>
    <cfRule type="cellIs" dxfId="653" priority="834" operator="equal">
      <formula>"Alta"</formula>
    </cfRule>
    <cfRule type="cellIs" dxfId="652" priority="835" operator="equal">
      <formula>"Media"</formula>
    </cfRule>
    <cfRule type="cellIs" dxfId="651" priority="836" operator="equal">
      <formula>"Baja"</formula>
    </cfRule>
    <cfRule type="cellIs" dxfId="650" priority="837" operator="equal">
      <formula>"Muy Baja"</formula>
    </cfRule>
  </conditionalFormatting>
  <conditionalFormatting sqref="AD137">
    <cfRule type="cellIs" dxfId="649" priority="828" operator="equal">
      <formula>"Catastrófico"</formula>
    </cfRule>
    <cfRule type="cellIs" dxfId="648" priority="829" operator="equal">
      <formula>"Mayor"</formula>
    </cfRule>
    <cfRule type="cellIs" dxfId="647" priority="830" operator="equal">
      <formula>"Moderado"</formula>
    </cfRule>
    <cfRule type="cellIs" dxfId="646" priority="831" operator="equal">
      <formula>"Menor"</formula>
    </cfRule>
    <cfRule type="cellIs" dxfId="645" priority="832" operator="equal">
      <formula>"Leve"</formula>
    </cfRule>
  </conditionalFormatting>
  <conditionalFormatting sqref="AF137">
    <cfRule type="cellIs" dxfId="644" priority="824" operator="equal">
      <formula>"Extremo"</formula>
    </cfRule>
    <cfRule type="cellIs" dxfId="643" priority="825" operator="equal">
      <formula>"Alto"</formula>
    </cfRule>
    <cfRule type="cellIs" dxfId="642" priority="826" operator="equal">
      <formula>"Moderado"</formula>
    </cfRule>
    <cfRule type="cellIs" dxfId="641" priority="827" operator="equal">
      <formula>"Bajo"</formula>
    </cfRule>
  </conditionalFormatting>
  <conditionalFormatting sqref="AB138">
    <cfRule type="cellIs" dxfId="640" priority="819" operator="equal">
      <formula>"Muy Alta"</formula>
    </cfRule>
    <cfRule type="cellIs" dxfId="639" priority="820" operator="equal">
      <formula>"Alta"</formula>
    </cfRule>
    <cfRule type="cellIs" dxfId="638" priority="821" operator="equal">
      <formula>"Media"</formula>
    </cfRule>
    <cfRule type="cellIs" dxfId="637" priority="822" operator="equal">
      <formula>"Baja"</formula>
    </cfRule>
    <cfRule type="cellIs" dxfId="636" priority="823" operator="equal">
      <formula>"Muy Baja"</formula>
    </cfRule>
  </conditionalFormatting>
  <conditionalFormatting sqref="AD138">
    <cfRule type="cellIs" dxfId="635" priority="814" operator="equal">
      <formula>"Catastrófico"</formula>
    </cfRule>
    <cfRule type="cellIs" dxfId="634" priority="815" operator="equal">
      <formula>"Mayor"</formula>
    </cfRule>
    <cfRule type="cellIs" dxfId="633" priority="816" operator="equal">
      <formula>"Moderado"</formula>
    </cfRule>
    <cfRule type="cellIs" dxfId="632" priority="817" operator="equal">
      <formula>"Menor"</formula>
    </cfRule>
    <cfRule type="cellIs" dxfId="631" priority="818" operator="equal">
      <formula>"Leve"</formula>
    </cfRule>
  </conditionalFormatting>
  <conditionalFormatting sqref="AF138">
    <cfRule type="cellIs" dxfId="630" priority="810" operator="equal">
      <formula>"Extremo"</formula>
    </cfRule>
    <cfRule type="cellIs" dxfId="629" priority="811" operator="equal">
      <formula>"Alto"</formula>
    </cfRule>
    <cfRule type="cellIs" dxfId="628" priority="812" operator="equal">
      <formula>"Moderado"</formula>
    </cfRule>
    <cfRule type="cellIs" dxfId="627" priority="813" operator="equal">
      <formula>"Bajo"</formula>
    </cfRule>
  </conditionalFormatting>
  <conditionalFormatting sqref="K136">
    <cfRule type="cellIs" dxfId="626" priority="805" operator="equal">
      <formula>"Muy Alta"</formula>
    </cfRule>
    <cfRule type="cellIs" dxfId="625" priority="806" operator="equal">
      <formula>"Alta"</formula>
    </cfRule>
    <cfRule type="cellIs" dxfId="624" priority="807" operator="equal">
      <formula>"Media"</formula>
    </cfRule>
    <cfRule type="cellIs" dxfId="623" priority="808" operator="equal">
      <formula>"Baja"</formula>
    </cfRule>
    <cfRule type="cellIs" dxfId="622" priority="809" operator="equal">
      <formula>"Muy Baja"</formula>
    </cfRule>
  </conditionalFormatting>
  <conditionalFormatting sqref="O136">
    <cfRule type="cellIs" dxfId="621" priority="800" operator="equal">
      <formula>"Catastrófico"</formula>
    </cfRule>
    <cfRule type="cellIs" dxfId="620" priority="801" operator="equal">
      <formula>"Mayor"</formula>
    </cfRule>
    <cfRule type="cellIs" dxfId="619" priority="802" operator="equal">
      <formula>"Moderado"</formula>
    </cfRule>
    <cfRule type="cellIs" dxfId="618" priority="803" operator="equal">
      <formula>"Menor"</formula>
    </cfRule>
    <cfRule type="cellIs" dxfId="617" priority="804" operator="equal">
      <formula>"Leve"</formula>
    </cfRule>
  </conditionalFormatting>
  <conditionalFormatting sqref="Q136">
    <cfRule type="cellIs" dxfId="616" priority="796" operator="equal">
      <formula>"Extremo"</formula>
    </cfRule>
    <cfRule type="cellIs" dxfId="615" priority="797" operator="equal">
      <formula>"Alto"</formula>
    </cfRule>
    <cfRule type="cellIs" dxfId="614" priority="798" operator="equal">
      <formula>"Moderado"</formula>
    </cfRule>
    <cfRule type="cellIs" dxfId="613" priority="799" operator="equal">
      <formula>"Bajo"</formula>
    </cfRule>
  </conditionalFormatting>
  <conditionalFormatting sqref="N136:N138">
    <cfRule type="containsText" dxfId="612" priority="795" operator="containsText" text="❌">
      <formula>NOT(ISERROR(SEARCH("❌",N136)))</formula>
    </cfRule>
  </conditionalFormatting>
  <conditionalFormatting sqref="AB136:AB138">
    <cfRule type="cellIs" dxfId="611" priority="790" operator="equal">
      <formula>"Muy Alta"</formula>
    </cfRule>
    <cfRule type="cellIs" dxfId="610" priority="791" operator="equal">
      <formula>"Alta"</formula>
    </cfRule>
    <cfRule type="cellIs" dxfId="609" priority="792" operator="equal">
      <formula>"Media"</formula>
    </cfRule>
    <cfRule type="cellIs" dxfId="608" priority="793" operator="equal">
      <formula>"Baja"</formula>
    </cfRule>
    <cfRule type="cellIs" dxfId="607" priority="794" operator="equal">
      <formula>"Muy Baja"</formula>
    </cfRule>
  </conditionalFormatting>
  <conditionalFormatting sqref="AD136:AD138">
    <cfRule type="cellIs" dxfId="606" priority="785" operator="equal">
      <formula>"Catastrófico"</formula>
    </cfRule>
    <cfRule type="cellIs" dxfId="605" priority="786" operator="equal">
      <formula>"Mayor"</formula>
    </cfRule>
    <cfRule type="cellIs" dxfId="604" priority="787" operator="equal">
      <formula>"Moderado"</formula>
    </cfRule>
    <cfRule type="cellIs" dxfId="603" priority="788" operator="equal">
      <formula>"Menor"</formula>
    </cfRule>
    <cfRule type="cellIs" dxfId="602" priority="789" operator="equal">
      <formula>"Leve"</formula>
    </cfRule>
  </conditionalFormatting>
  <conditionalFormatting sqref="AF136:AF138">
    <cfRule type="cellIs" dxfId="601" priority="781" operator="equal">
      <formula>"Extremo"</formula>
    </cfRule>
    <cfRule type="cellIs" dxfId="600" priority="782" operator="equal">
      <formula>"Alto"</formula>
    </cfRule>
    <cfRule type="cellIs" dxfId="599" priority="783" operator="equal">
      <formula>"Moderado"</formula>
    </cfRule>
    <cfRule type="cellIs" dxfId="598" priority="784" operator="equal">
      <formula>"Bajo"</formula>
    </cfRule>
  </conditionalFormatting>
  <conditionalFormatting sqref="N136:N138">
    <cfRule type="containsText" dxfId="597" priority="780" operator="containsText" text="❌">
      <formula>NOT(ISERROR(SEARCH("❌",N136)))</formula>
    </cfRule>
  </conditionalFormatting>
  <conditionalFormatting sqref="AB139">
    <cfRule type="cellIs" dxfId="596" priority="703" operator="equal">
      <formula>"Muy Alta"</formula>
    </cfRule>
    <cfRule type="cellIs" dxfId="595" priority="704" operator="equal">
      <formula>"Alta"</formula>
    </cfRule>
    <cfRule type="cellIs" dxfId="594" priority="705" operator="equal">
      <formula>"Media"</formula>
    </cfRule>
    <cfRule type="cellIs" dxfId="593" priority="706" operator="equal">
      <formula>"Baja"</formula>
    </cfRule>
    <cfRule type="cellIs" dxfId="592" priority="707" operator="equal">
      <formula>"Muy Baja"</formula>
    </cfRule>
  </conditionalFormatting>
  <conditionalFormatting sqref="AD139">
    <cfRule type="cellIs" dxfId="591" priority="698" operator="equal">
      <formula>"Catastrófico"</formula>
    </cfRule>
    <cfRule type="cellIs" dxfId="590" priority="699" operator="equal">
      <formula>"Mayor"</formula>
    </cfRule>
    <cfRule type="cellIs" dxfId="589" priority="700" operator="equal">
      <formula>"Moderado"</formula>
    </cfRule>
    <cfRule type="cellIs" dxfId="588" priority="701" operator="equal">
      <formula>"Menor"</formula>
    </cfRule>
    <cfRule type="cellIs" dxfId="587" priority="702" operator="equal">
      <formula>"Leve"</formula>
    </cfRule>
  </conditionalFormatting>
  <conditionalFormatting sqref="AF139">
    <cfRule type="cellIs" dxfId="586" priority="694" operator="equal">
      <formula>"Extremo"</formula>
    </cfRule>
    <cfRule type="cellIs" dxfId="585" priority="695" operator="equal">
      <formula>"Alto"</formula>
    </cfRule>
    <cfRule type="cellIs" dxfId="584" priority="696" operator="equal">
      <formula>"Moderado"</formula>
    </cfRule>
    <cfRule type="cellIs" dxfId="583" priority="697" operator="equal">
      <formula>"Bajo"</formula>
    </cfRule>
  </conditionalFormatting>
  <conditionalFormatting sqref="AB140">
    <cfRule type="cellIs" dxfId="582" priority="689" operator="equal">
      <formula>"Muy Alta"</formula>
    </cfRule>
    <cfRule type="cellIs" dxfId="581" priority="690" operator="equal">
      <formula>"Alta"</formula>
    </cfRule>
    <cfRule type="cellIs" dxfId="580" priority="691" operator="equal">
      <formula>"Media"</formula>
    </cfRule>
    <cfRule type="cellIs" dxfId="579" priority="692" operator="equal">
      <formula>"Baja"</formula>
    </cfRule>
    <cfRule type="cellIs" dxfId="578" priority="693" operator="equal">
      <formula>"Muy Baja"</formula>
    </cfRule>
  </conditionalFormatting>
  <conditionalFormatting sqref="AD140">
    <cfRule type="cellIs" dxfId="577" priority="684" operator="equal">
      <formula>"Catastrófico"</formula>
    </cfRule>
    <cfRule type="cellIs" dxfId="576" priority="685" operator="equal">
      <formula>"Mayor"</formula>
    </cfRule>
    <cfRule type="cellIs" dxfId="575" priority="686" operator="equal">
      <formula>"Moderado"</formula>
    </cfRule>
    <cfRule type="cellIs" dxfId="574" priority="687" operator="equal">
      <formula>"Menor"</formula>
    </cfRule>
    <cfRule type="cellIs" dxfId="573" priority="688" operator="equal">
      <formula>"Leve"</formula>
    </cfRule>
  </conditionalFormatting>
  <conditionalFormatting sqref="AF140">
    <cfRule type="cellIs" dxfId="572" priority="680" operator="equal">
      <formula>"Extremo"</formula>
    </cfRule>
    <cfRule type="cellIs" dxfId="571" priority="681" operator="equal">
      <formula>"Alto"</formula>
    </cfRule>
    <cfRule type="cellIs" dxfId="570" priority="682" operator="equal">
      <formula>"Moderado"</formula>
    </cfRule>
    <cfRule type="cellIs" dxfId="569" priority="683" operator="equal">
      <formula>"Bajo"</formula>
    </cfRule>
  </conditionalFormatting>
  <conditionalFormatting sqref="AB141">
    <cfRule type="cellIs" dxfId="568" priority="675" operator="equal">
      <formula>"Muy Alta"</formula>
    </cfRule>
    <cfRule type="cellIs" dxfId="567" priority="676" operator="equal">
      <formula>"Alta"</formula>
    </cfRule>
    <cfRule type="cellIs" dxfId="566" priority="677" operator="equal">
      <formula>"Media"</formula>
    </cfRule>
    <cfRule type="cellIs" dxfId="565" priority="678" operator="equal">
      <formula>"Baja"</formula>
    </cfRule>
    <cfRule type="cellIs" dxfId="564" priority="679" operator="equal">
      <formula>"Muy Baja"</formula>
    </cfRule>
  </conditionalFormatting>
  <conditionalFormatting sqref="AD141">
    <cfRule type="cellIs" dxfId="563" priority="670" operator="equal">
      <formula>"Catastrófico"</formula>
    </cfRule>
    <cfRule type="cellIs" dxfId="562" priority="671" operator="equal">
      <formula>"Mayor"</formula>
    </cfRule>
    <cfRule type="cellIs" dxfId="561" priority="672" operator="equal">
      <formula>"Moderado"</formula>
    </cfRule>
    <cfRule type="cellIs" dxfId="560" priority="673" operator="equal">
      <formula>"Menor"</formula>
    </cfRule>
    <cfRule type="cellIs" dxfId="559" priority="674" operator="equal">
      <formula>"Leve"</formula>
    </cfRule>
  </conditionalFormatting>
  <conditionalFormatting sqref="AF141">
    <cfRule type="cellIs" dxfId="558" priority="666" operator="equal">
      <formula>"Extremo"</formula>
    </cfRule>
    <cfRule type="cellIs" dxfId="557" priority="667" operator="equal">
      <formula>"Alto"</formula>
    </cfRule>
    <cfRule type="cellIs" dxfId="556" priority="668" operator="equal">
      <formula>"Moderado"</formula>
    </cfRule>
    <cfRule type="cellIs" dxfId="555" priority="669" operator="equal">
      <formula>"Bajo"</formula>
    </cfRule>
  </conditionalFormatting>
  <conditionalFormatting sqref="K139">
    <cfRule type="cellIs" dxfId="554" priority="661" operator="equal">
      <formula>"Muy Alta"</formula>
    </cfRule>
    <cfRule type="cellIs" dxfId="553" priority="662" operator="equal">
      <formula>"Alta"</formula>
    </cfRule>
    <cfRule type="cellIs" dxfId="552" priority="663" operator="equal">
      <formula>"Media"</formula>
    </cfRule>
    <cfRule type="cellIs" dxfId="551" priority="664" operator="equal">
      <formula>"Baja"</formula>
    </cfRule>
    <cfRule type="cellIs" dxfId="550" priority="665" operator="equal">
      <formula>"Muy Baja"</formula>
    </cfRule>
  </conditionalFormatting>
  <conditionalFormatting sqref="O139">
    <cfRule type="cellIs" dxfId="549" priority="656" operator="equal">
      <formula>"Catastrófico"</formula>
    </cfRule>
    <cfRule type="cellIs" dxfId="548" priority="657" operator="equal">
      <formula>"Mayor"</formula>
    </cfRule>
    <cfRule type="cellIs" dxfId="547" priority="658" operator="equal">
      <formula>"Moderado"</formula>
    </cfRule>
    <cfRule type="cellIs" dxfId="546" priority="659" operator="equal">
      <formula>"Menor"</formula>
    </cfRule>
    <cfRule type="cellIs" dxfId="545" priority="660" operator="equal">
      <formula>"Leve"</formula>
    </cfRule>
  </conditionalFormatting>
  <conditionalFormatting sqref="Q139">
    <cfRule type="cellIs" dxfId="544" priority="652" operator="equal">
      <formula>"Extremo"</formula>
    </cfRule>
    <cfRule type="cellIs" dxfId="543" priority="653" operator="equal">
      <formula>"Alto"</formula>
    </cfRule>
    <cfRule type="cellIs" dxfId="542" priority="654" operator="equal">
      <formula>"Moderado"</formula>
    </cfRule>
    <cfRule type="cellIs" dxfId="541" priority="655" operator="equal">
      <formula>"Bajo"</formula>
    </cfRule>
  </conditionalFormatting>
  <conditionalFormatting sqref="N139:N141">
    <cfRule type="containsText" dxfId="540" priority="651" operator="containsText" text="❌">
      <formula>NOT(ISERROR(SEARCH("❌",N139)))</formula>
    </cfRule>
  </conditionalFormatting>
  <conditionalFormatting sqref="AB139:AB141">
    <cfRule type="cellIs" dxfId="539" priority="646" operator="equal">
      <formula>"Muy Alta"</formula>
    </cfRule>
    <cfRule type="cellIs" dxfId="538" priority="647" operator="equal">
      <formula>"Alta"</formula>
    </cfRule>
    <cfRule type="cellIs" dxfId="537" priority="648" operator="equal">
      <formula>"Media"</formula>
    </cfRule>
    <cfRule type="cellIs" dxfId="536" priority="649" operator="equal">
      <formula>"Baja"</formula>
    </cfRule>
    <cfRule type="cellIs" dxfId="535" priority="650" operator="equal">
      <formula>"Muy Baja"</formula>
    </cfRule>
  </conditionalFormatting>
  <conditionalFormatting sqref="AD139:AD141">
    <cfRule type="cellIs" dxfId="534" priority="641" operator="equal">
      <formula>"Catastrófico"</formula>
    </cfRule>
    <cfRule type="cellIs" dxfId="533" priority="642" operator="equal">
      <formula>"Mayor"</formula>
    </cfRule>
    <cfRule type="cellIs" dxfId="532" priority="643" operator="equal">
      <formula>"Moderado"</formula>
    </cfRule>
    <cfRule type="cellIs" dxfId="531" priority="644" operator="equal">
      <formula>"Menor"</formula>
    </cfRule>
    <cfRule type="cellIs" dxfId="530" priority="645" operator="equal">
      <formula>"Leve"</formula>
    </cfRule>
  </conditionalFormatting>
  <conditionalFormatting sqref="AF139:AF141">
    <cfRule type="cellIs" dxfId="529" priority="637" operator="equal">
      <formula>"Extremo"</formula>
    </cfRule>
    <cfRule type="cellIs" dxfId="528" priority="638" operator="equal">
      <formula>"Alto"</formula>
    </cfRule>
    <cfRule type="cellIs" dxfId="527" priority="639" operator="equal">
      <formula>"Moderado"</formula>
    </cfRule>
    <cfRule type="cellIs" dxfId="526" priority="640" operator="equal">
      <formula>"Bajo"</formula>
    </cfRule>
  </conditionalFormatting>
  <conditionalFormatting sqref="N139:N141">
    <cfRule type="containsText" dxfId="525" priority="636" operator="containsText" text="❌">
      <formula>NOT(ISERROR(SEARCH("❌",N139)))</formula>
    </cfRule>
  </conditionalFormatting>
  <conditionalFormatting sqref="AB142">
    <cfRule type="cellIs" dxfId="524" priority="631" operator="equal">
      <formula>"Muy Alta"</formula>
    </cfRule>
    <cfRule type="cellIs" dxfId="523" priority="632" operator="equal">
      <formula>"Alta"</formula>
    </cfRule>
    <cfRule type="cellIs" dxfId="522" priority="633" operator="equal">
      <formula>"Media"</formula>
    </cfRule>
    <cfRule type="cellIs" dxfId="521" priority="634" operator="equal">
      <formula>"Baja"</formula>
    </cfRule>
    <cfRule type="cellIs" dxfId="520" priority="635" operator="equal">
      <formula>"Muy Baja"</formula>
    </cfRule>
  </conditionalFormatting>
  <conditionalFormatting sqref="AD142">
    <cfRule type="cellIs" dxfId="519" priority="626" operator="equal">
      <formula>"Catastrófico"</formula>
    </cfRule>
    <cfRule type="cellIs" dxfId="518" priority="627" operator="equal">
      <formula>"Mayor"</formula>
    </cfRule>
    <cfRule type="cellIs" dxfId="517" priority="628" operator="equal">
      <formula>"Moderado"</formula>
    </cfRule>
    <cfRule type="cellIs" dxfId="516" priority="629" operator="equal">
      <formula>"Menor"</formula>
    </cfRule>
    <cfRule type="cellIs" dxfId="515" priority="630" operator="equal">
      <formula>"Leve"</formula>
    </cfRule>
  </conditionalFormatting>
  <conditionalFormatting sqref="AF142">
    <cfRule type="cellIs" dxfId="514" priority="622" operator="equal">
      <formula>"Extremo"</formula>
    </cfRule>
    <cfRule type="cellIs" dxfId="513" priority="623" operator="equal">
      <formula>"Alto"</formula>
    </cfRule>
    <cfRule type="cellIs" dxfId="512" priority="624" operator="equal">
      <formula>"Moderado"</formula>
    </cfRule>
    <cfRule type="cellIs" dxfId="511" priority="625" operator="equal">
      <formula>"Bajo"</formula>
    </cfRule>
  </conditionalFormatting>
  <conditionalFormatting sqref="AB143">
    <cfRule type="cellIs" dxfId="510" priority="617" operator="equal">
      <formula>"Muy Alta"</formula>
    </cfRule>
    <cfRule type="cellIs" dxfId="509" priority="618" operator="equal">
      <formula>"Alta"</formula>
    </cfRule>
    <cfRule type="cellIs" dxfId="508" priority="619" operator="equal">
      <formula>"Media"</formula>
    </cfRule>
    <cfRule type="cellIs" dxfId="507" priority="620" operator="equal">
      <formula>"Baja"</formula>
    </cfRule>
    <cfRule type="cellIs" dxfId="506" priority="621" operator="equal">
      <formula>"Muy Baja"</formula>
    </cfRule>
  </conditionalFormatting>
  <conditionalFormatting sqref="AD143">
    <cfRule type="cellIs" dxfId="505" priority="612" operator="equal">
      <formula>"Catastrófico"</formula>
    </cfRule>
    <cfRule type="cellIs" dxfId="504" priority="613" operator="equal">
      <formula>"Mayor"</formula>
    </cfRule>
    <cfRule type="cellIs" dxfId="503" priority="614" operator="equal">
      <formula>"Moderado"</formula>
    </cfRule>
    <cfRule type="cellIs" dxfId="502" priority="615" operator="equal">
      <formula>"Menor"</formula>
    </cfRule>
    <cfRule type="cellIs" dxfId="501" priority="616" operator="equal">
      <formula>"Leve"</formula>
    </cfRule>
  </conditionalFormatting>
  <conditionalFormatting sqref="AF143">
    <cfRule type="cellIs" dxfId="500" priority="608" operator="equal">
      <formula>"Extremo"</formula>
    </cfRule>
    <cfRule type="cellIs" dxfId="499" priority="609" operator="equal">
      <formula>"Alto"</formula>
    </cfRule>
    <cfRule type="cellIs" dxfId="498" priority="610" operator="equal">
      <formula>"Moderado"</formula>
    </cfRule>
    <cfRule type="cellIs" dxfId="497" priority="611" operator="equal">
      <formula>"Bajo"</formula>
    </cfRule>
  </conditionalFormatting>
  <conditionalFormatting sqref="AB144">
    <cfRule type="cellIs" dxfId="496" priority="603" operator="equal">
      <formula>"Muy Alta"</formula>
    </cfRule>
    <cfRule type="cellIs" dxfId="495" priority="604" operator="equal">
      <formula>"Alta"</formula>
    </cfRule>
    <cfRule type="cellIs" dxfId="494" priority="605" operator="equal">
      <formula>"Media"</formula>
    </cfRule>
    <cfRule type="cellIs" dxfId="493" priority="606" operator="equal">
      <formula>"Baja"</formula>
    </cfRule>
    <cfRule type="cellIs" dxfId="492" priority="607" operator="equal">
      <formula>"Muy Baja"</formula>
    </cfRule>
  </conditionalFormatting>
  <conditionalFormatting sqref="AD144">
    <cfRule type="cellIs" dxfId="491" priority="598" operator="equal">
      <formula>"Catastrófico"</formula>
    </cfRule>
    <cfRule type="cellIs" dxfId="490" priority="599" operator="equal">
      <formula>"Mayor"</formula>
    </cfRule>
    <cfRule type="cellIs" dxfId="489" priority="600" operator="equal">
      <formula>"Moderado"</formula>
    </cfRule>
    <cfRule type="cellIs" dxfId="488" priority="601" operator="equal">
      <formula>"Menor"</formula>
    </cfRule>
    <cfRule type="cellIs" dxfId="487" priority="602" operator="equal">
      <formula>"Leve"</formula>
    </cfRule>
  </conditionalFormatting>
  <conditionalFormatting sqref="AF144">
    <cfRule type="cellIs" dxfId="486" priority="594" operator="equal">
      <formula>"Extremo"</formula>
    </cfRule>
    <cfRule type="cellIs" dxfId="485" priority="595" operator="equal">
      <formula>"Alto"</formula>
    </cfRule>
    <cfRule type="cellIs" dxfId="484" priority="596" operator="equal">
      <formula>"Moderado"</formula>
    </cfRule>
    <cfRule type="cellIs" dxfId="483" priority="597" operator="equal">
      <formula>"Bajo"</formula>
    </cfRule>
  </conditionalFormatting>
  <conditionalFormatting sqref="K142">
    <cfRule type="cellIs" dxfId="482" priority="589" operator="equal">
      <formula>"Muy Alta"</formula>
    </cfRule>
    <cfRule type="cellIs" dxfId="481" priority="590" operator="equal">
      <formula>"Alta"</formula>
    </cfRule>
    <cfRule type="cellIs" dxfId="480" priority="591" operator="equal">
      <formula>"Media"</formula>
    </cfRule>
    <cfRule type="cellIs" dxfId="479" priority="592" operator="equal">
      <formula>"Baja"</formula>
    </cfRule>
    <cfRule type="cellIs" dxfId="478" priority="593" operator="equal">
      <formula>"Muy Baja"</formula>
    </cfRule>
  </conditionalFormatting>
  <conditionalFormatting sqref="O142">
    <cfRule type="cellIs" dxfId="477" priority="584" operator="equal">
      <formula>"Catastrófico"</formula>
    </cfRule>
    <cfRule type="cellIs" dxfId="476" priority="585" operator="equal">
      <formula>"Mayor"</formula>
    </cfRule>
    <cfRule type="cellIs" dxfId="475" priority="586" operator="equal">
      <formula>"Moderado"</formula>
    </cfRule>
    <cfRule type="cellIs" dxfId="474" priority="587" operator="equal">
      <formula>"Menor"</formula>
    </cfRule>
    <cfRule type="cellIs" dxfId="473" priority="588" operator="equal">
      <formula>"Leve"</formula>
    </cfRule>
  </conditionalFormatting>
  <conditionalFormatting sqref="Q142">
    <cfRule type="cellIs" dxfId="472" priority="580" operator="equal">
      <formula>"Extremo"</formula>
    </cfRule>
    <cfRule type="cellIs" dxfId="471" priority="581" operator="equal">
      <formula>"Alto"</formula>
    </cfRule>
    <cfRule type="cellIs" dxfId="470" priority="582" operator="equal">
      <formula>"Moderado"</formula>
    </cfRule>
    <cfRule type="cellIs" dxfId="469" priority="583" operator="equal">
      <formula>"Bajo"</formula>
    </cfRule>
  </conditionalFormatting>
  <conditionalFormatting sqref="N142:N144">
    <cfRule type="containsText" dxfId="468" priority="579" operator="containsText" text="❌">
      <formula>NOT(ISERROR(SEARCH("❌",N142)))</formula>
    </cfRule>
  </conditionalFormatting>
  <conditionalFormatting sqref="AB142:AB144">
    <cfRule type="cellIs" dxfId="467" priority="574" operator="equal">
      <formula>"Muy Alta"</formula>
    </cfRule>
    <cfRule type="cellIs" dxfId="466" priority="575" operator="equal">
      <formula>"Alta"</formula>
    </cfRule>
    <cfRule type="cellIs" dxfId="465" priority="576" operator="equal">
      <formula>"Media"</formula>
    </cfRule>
    <cfRule type="cellIs" dxfId="464" priority="577" operator="equal">
      <formula>"Baja"</formula>
    </cfRule>
    <cfRule type="cellIs" dxfId="463" priority="578" operator="equal">
      <formula>"Muy Baja"</formula>
    </cfRule>
  </conditionalFormatting>
  <conditionalFormatting sqref="AD142:AD144">
    <cfRule type="cellIs" dxfId="462" priority="569" operator="equal">
      <formula>"Catastrófico"</formula>
    </cfRule>
    <cfRule type="cellIs" dxfId="461" priority="570" operator="equal">
      <formula>"Mayor"</formula>
    </cfRule>
    <cfRule type="cellIs" dxfId="460" priority="571" operator="equal">
      <formula>"Moderado"</formula>
    </cfRule>
    <cfRule type="cellIs" dxfId="459" priority="572" operator="equal">
      <formula>"Menor"</formula>
    </cfRule>
    <cfRule type="cellIs" dxfId="458" priority="573" operator="equal">
      <formula>"Leve"</formula>
    </cfRule>
  </conditionalFormatting>
  <conditionalFormatting sqref="AF142:AF144">
    <cfRule type="cellIs" dxfId="457" priority="565" operator="equal">
      <formula>"Extremo"</formula>
    </cfRule>
    <cfRule type="cellIs" dxfId="456" priority="566" operator="equal">
      <formula>"Alto"</formula>
    </cfRule>
    <cfRule type="cellIs" dxfId="455" priority="567" operator="equal">
      <formula>"Moderado"</formula>
    </cfRule>
    <cfRule type="cellIs" dxfId="454" priority="568" operator="equal">
      <formula>"Bajo"</formula>
    </cfRule>
  </conditionalFormatting>
  <conditionalFormatting sqref="N142:N144">
    <cfRule type="containsText" dxfId="453" priority="564" operator="containsText" text="❌">
      <formula>NOT(ISERROR(SEARCH("❌",N142)))</formula>
    </cfRule>
  </conditionalFormatting>
  <conditionalFormatting sqref="AB145">
    <cfRule type="cellIs" dxfId="452" priority="559" operator="equal">
      <formula>"Muy Alta"</formula>
    </cfRule>
    <cfRule type="cellIs" dxfId="451" priority="560" operator="equal">
      <formula>"Alta"</formula>
    </cfRule>
    <cfRule type="cellIs" dxfId="450" priority="561" operator="equal">
      <formula>"Media"</formula>
    </cfRule>
    <cfRule type="cellIs" dxfId="449" priority="562" operator="equal">
      <formula>"Baja"</formula>
    </cfRule>
    <cfRule type="cellIs" dxfId="448" priority="563" operator="equal">
      <formula>"Muy Baja"</formula>
    </cfRule>
  </conditionalFormatting>
  <conditionalFormatting sqref="AD145">
    <cfRule type="cellIs" dxfId="447" priority="554" operator="equal">
      <formula>"Catastrófico"</formula>
    </cfRule>
    <cfRule type="cellIs" dxfId="446" priority="555" operator="equal">
      <formula>"Mayor"</formula>
    </cfRule>
    <cfRule type="cellIs" dxfId="445" priority="556" operator="equal">
      <formula>"Moderado"</formula>
    </cfRule>
    <cfRule type="cellIs" dxfId="444" priority="557" operator="equal">
      <formula>"Menor"</formula>
    </cfRule>
    <cfRule type="cellIs" dxfId="443" priority="558" operator="equal">
      <formula>"Leve"</formula>
    </cfRule>
  </conditionalFormatting>
  <conditionalFormatting sqref="AF145">
    <cfRule type="cellIs" dxfId="442" priority="550" operator="equal">
      <formula>"Extremo"</formula>
    </cfRule>
    <cfRule type="cellIs" dxfId="441" priority="551" operator="equal">
      <formula>"Alto"</formula>
    </cfRule>
    <cfRule type="cellIs" dxfId="440" priority="552" operator="equal">
      <formula>"Moderado"</formula>
    </cfRule>
    <cfRule type="cellIs" dxfId="439" priority="553" operator="equal">
      <formula>"Bajo"</formula>
    </cfRule>
  </conditionalFormatting>
  <conditionalFormatting sqref="AB146">
    <cfRule type="cellIs" dxfId="438" priority="545" operator="equal">
      <formula>"Muy Alta"</formula>
    </cfRule>
    <cfRule type="cellIs" dxfId="437" priority="546" operator="equal">
      <formula>"Alta"</formula>
    </cfRule>
    <cfRule type="cellIs" dxfId="436" priority="547" operator="equal">
      <formula>"Media"</formula>
    </cfRule>
    <cfRule type="cellIs" dxfId="435" priority="548" operator="equal">
      <formula>"Baja"</formula>
    </cfRule>
    <cfRule type="cellIs" dxfId="434" priority="549" operator="equal">
      <formula>"Muy Baja"</formula>
    </cfRule>
  </conditionalFormatting>
  <conditionalFormatting sqref="AD146">
    <cfRule type="cellIs" dxfId="433" priority="540" operator="equal">
      <formula>"Catastrófico"</formula>
    </cfRule>
    <cfRule type="cellIs" dxfId="432" priority="541" operator="equal">
      <formula>"Mayor"</formula>
    </cfRule>
    <cfRule type="cellIs" dxfId="431" priority="542" operator="equal">
      <formula>"Moderado"</formula>
    </cfRule>
    <cfRule type="cellIs" dxfId="430" priority="543" operator="equal">
      <formula>"Menor"</formula>
    </cfRule>
    <cfRule type="cellIs" dxfId="429" priority="544" operator="equal">
      <formula>"Leve"</formula>
    </cfRule>
  </conditionalFormatting>
  <conditionalFormatting sqref="AF146">
    <cfRule type="cellIs" dxfId="428" priority="536" operator="equal">
      <formula>"Extremo"</formula>
    </cfRule>
    <cfRule type="cellIs" dxfId="427" priority="537" operator="equal">
      <formula>"Alto"</formula>
    </cfRule>
    <cfRule type="cellIs" dxfId="426" priority="538" operator="equal">
      <formula>"Moderado"</formula>
    </cfRule>
    <cfRule type="cellIs" dxfId="425" priority="539" operator="equal">
      <formula>"Bajo"</formula>
    </cfRule>
  </conditionalFormatting>
  <conditionalFormatting sqref="AB147">
    <cfRule type="cellIs" dxfId="424" priority="531" operator="equal">
      <formula>"Muy Alta"</formula>
    </cfRule>
    <cfRule type="cellIs" dxfId="423" priority="532" operator="equal">
      <formula>"Alta"</formula>
    </cfRule>
    <cfRule type="cellIs" dxfId="422" priority="533" operator="equal">
      <formula>"Media"</formula>
    </cfRule>
    <cfRule type="cellIs" dxfId="421" priority="534" operator="equal">
      <formula>"Baja"</formula>
    </cfRule>
    <cfRule type="cellIs" dxfId="420" priority="535" operator="equal">
      <formula>"Muy Baja"</formula>
    </cfRule>
  </conditionalFormatting>
  <conditionalFormatting sqref="AD147">
    <cfRule type="cellIs" dxfId="419" priority="526" operator="equal">
      <formula>"Catastrófico"</formula>
    </cfRule>
    <cfRule type="cellIs" dxfId="418" priority="527" operator="equal">
      <formula>"Mayor"</formula>
    </cfRule>
    <cfRule type="cellIs" dxfId="417" priority="528" operator="equal">
      <formula>"Moderado"</formula>
    </cfRule>
    <cfRule type="cellIs" dxfId="416" priority="529" operator="equal">
      <formula>"Menor"</formula>
    </cfRule>
    <cfRule type="cellIs" dxfId="415" priority="530" operator="equal">
      <formula>"Leve"</formula>
    </cfRule>
  </conditionalFormatting>
  <conditionalFormatting sqref="AF147">
    <cfRule type="cellIs" dxfId="414" priority="522" operator="equal">
      <formula>"Extremo"</formula>
    </cfRule>
    <cfRule type="cellIs" dxfId="413" priority="523" operator="equal">
      <formula>"Alto"</formula>
    </cfRule>
    <cfRule type="cellIs" dxfId="412" priority="524" operator="equal">
      <formula>"Moderado"</formula>
    </cfRule>
    <cfRule type="cellIs" dxfId="411" priority="525" operator="equal">
      <formula>"Bajo"</formula>
    </cfRule>
  </conditionalFormatting>
  <conditionalFormatting sqref="K145">
    <cfRule type="cellIs" dxfId="410" priority="517" operator="equal">
      <formula>"Muy Alta"</formula>
    </cfRule>
    <cfRule type="cellIs" dxfId="409" priority="518" operator="equal">
      <formula>"Alta"</formula>
    </cfRule>
    <cfRule type="cellIs" dxfId="408" priority="519" operator="equal">
      <formula>"Media"</formula>
    </cfRule>
    <cfRule type="cellIs" dxfId="407" priority="520" operator="equal">
      <formula>"Baja"</formula>
    </cfRule>
    <cfRule type="cellIs" dxfId="406" priority="521" operator="equal">
      <formula>"Muy Baja"</formula>
    </cfRule>
  </conditionalFormatting>
  <conditionalFormatting sqref="O145">
    <cfRule type="cellIs" dxfId="405" priority="512" operator="equal">
      <formula>"Catastrófico"</formula>
    </cfRule>
    <cfRule type="cellIs" dxfId="404" priority="513" operator="equal">
      <formula>"Mayor"</formula>
    </cfRule>
    <cfRule type="cellIs" dxfId="403" priority="514" operator="equal">
      <formula>"Moderado"</formula>
    </cfRule>
    <cfRule type="cellIs" dxfId="402" priority="515" operator="equal">
      <formula>"Menor"</formula>
    </cfRule>
    <cfRule type="cellIs" dxfId="401" priority="516" operator="equal">
      <formula>"Leve"</formula>
    </cfRule>
  </conditionalFormatting>
  <conditionalFormatting sqref="Q145">
    <cfRule type="cellIs" dxfId="400" priority="508" operator="equal">
      <formula>"Extremo"</formula>
    </cfRule>
    <cfRule type="cellIs" dxfId="399" priority="509" operator="equal">
      <formula>"Alto"</formula>
    </cfRule>
    <cfRule type="cellIs" dxfId="398" priority="510" operator="equal">
      <formula>"Moderado"</formula>
    </cfRule>
    <cfRule type="cellIs" dxfId="397" priority="511" operator="equal">
      <formula>"Bajo"</formula>
    </cfRule>
  </conditionalFormatting>
  <conditionalFormatting sqref="N145:N147">
    <cfRule type="containsText" dxfId="396" priority="507" operator="containsText" text="❌">
      <formula>NOT(ISERROR(SEARCH("❌",N145)))</formula>
    </cfRule>
  </conditionalFormatting>
  <conditionalFormatting sqref="AB145:AB147">
    <cfRule type="cellIs" dxfId="395" priority="502" operator="equal">
      <formula>"Muy Alta"</formula>
    </cfRule>
    <cfRule type="cellIs" dxfId="394" priority="503" operator="equal">
      <formula>"Alta"</formula>
    </cfRule>
    <cfRule type="cellIs" dxfId="393" priority="504" operator="equal">
      <formula>"Media"</formula>
    </cfRule>
    <cfRule type="cellIs" dxfId="392" priority="505" operator="equal">
      <formula>"Baja"</formula>
    </cfRule>
    <cfRule type="cellIs" dxfId="391" priority="506" operator="equal">
      <formula>"Muy Baja"</formula>
    </cfRule>
  </conditionalFormatting>
  <conditionalFormatting sqref="AD145:AD147">
    <cfRule type="cellIs" dxfId="390" priority="497" operator="equal">
      <formula>"Catastrófico"</formula>
    </cfRule>
    <cfRule type="cellIs" dxfId="389" priority="498" operator="equal">
      <formula>"Mayor"</formula>
    </cfRule>
    <cfRule type="cellIs" dxfId="388" priority="499" operator="equal">
      <formula>"Moderado"</formula>
    </cfRule>
    <cfRule type="cellIs" dxfId="387" priority="500" operator="equal">
      <formula>"Menor"</formula>
    </cfRule>
    <cfRule type="cellIs" dxfId="386" priority="501" operator="equal">
      <formula>"Leve"</formula>
    </cfRule>
  </conditionalFormatting>
  <conditionalFormatting sqref="AF145:AF147">
    <cfRule type="cellIs" dxfId="385" priority="493" operator="equal">
      <formula>"Extremo"</formula>
    </cfRule>
    <cfRule type="cellIs" dxfId="384" priority="494" operator="equal">
      <formula>"Alto"</formula>
    </cfRule>
    <cfRule type="cellIs" dxfId="383" priority="495" operator="equal">
      <formula>"Moderado"</formula>
    </cfRule>
    <cfRule type="cellIs" dxfId="382" priority="496" operator="equal">
      <formula>"Bajo"</formula>
    </cfRule>
  </conditionalFormatting>
  <conditionalFormatting sqref="N145:N147">
    <cfRule type="containsText" dxfId="381" priority="492" operator="containsText" text="❌">
      <formula>NOT(ISERROR(SEARCH("❌",N145)))</formula>
    </cfRule>
  </conditionalFormatting>
  <conditionalFormatting sqref="AB148">
    <cfRule type="cellIs" dxfId="380" priority="487" operator="equal">
      <formula>"Muy Alta"</formula>
    </cfRule>
    <cfRule type="cellIs" dxfId="379" priority="488" operator="equal">
      <formula>"Alta"</formula>
    </cfRule>
    <cfRule type="cellIs" dxfId="378" priority="489" operator="equal">
      <formula>"Media"</formula>
    </cfRule>
    <cfRule type="cellIs" dxfId="377" priority="490" operator="equal">
      <formula>"Baja"</formula>
    </cfRule>
    <cfRule type="cellIs" dxfId="376" priority="491" operator="equal">
      <formula>"Muy Baja"</formula>
    </cfRule>
  </conditionalFormatting>
  <conditionalFormatting sqref="AD148">
    <cfRule type="cellIs" dxfId="375" priority="482" operator="equal">
      <formula>"Catastrófico"</formula>
    </cfRule>
    <cfRule type="cellIs" dxfId="374" priority="483" operator="equal">
      <formula>"Mayor"</formula>
    </cfRule>
    <cfRule type="cellIs" dxfId="373" priority="484" operator="equal">
      <formula>"Moderado"</formula>
    </cfRule>
    <cfRule type="cellIs" dxfId="372" priority="485" operator="equal">
      <formula>"Menor"</formula>
    </cfRule>
    <cfRule type="cellIs" dxfId="371" priority="486" operator="equal">
      <formula>"Leve"</formula>
    </cfRule>
  </conditionalFormatting>
  <conditionalFormatting sqref="AF148">
    <cfRule type="cellIs" dxfId="370" priority="478" operator="equal">
      <formula>"Extremo"</formula>
    </cfRule>
    <cfRule type="cellIs" dxfId="369" priority="479" operator="equal">
      <formula>"Alto"</formula>
    </cfRule>
    <cfRule type="cellIs" dxfId="368" priority="480" operator="equal">
      <formula>"Moderado"</formula>
    </cfRule>
    <cfRule type="cellIs" dxfId="367" priority="481" operator="equal">
      <formula>"Bajo"</formula>
    </cfRule>
  </conditionalFormatting>
  <conditionalFormatting sqref="AB149">
    <cfRule type="cellIs" dxfId="366" priority="473" operator="equal">
      <formula>"Muy Alta"</formula>
    </cfRule>
    <cfRule type="cellIs" dxfId="365" priority="474" operator="equal">
      <formula>"Alta"</formula>
    </cfRule>
    <cfRule type="cellIs" dxfId="364" priority="475" operator="equal">
      <formula>"Media"</formula>
    </cfRule>
    <cfRule type="cellIs" dxfId="363" priority="476" operator="equal">
      <formula>"Baja"</formula>
    </cfRule>
    <cfRule type="cellIs" dxfId="362" priority="477" operator="equal">
      <formula>"Muy Baja"</formula>
    </cfRule>
  </conditionalFormatting>
  <conditionalFormatting sqref="AD149">
    <cfRule type="cellIs" dxfId="361" priority="468" operator="equal">
      <formula>"Catastrófico"</formula>
    </cfRule>
    <cfRule type="cellIs" dxfId="360" priority="469" operator="equal">
      <formula>"Mayor"</formula>
    </cfRule>
    <cfRule type="cellIs" dxfId="359" priority="470" operator="equal">
      <formula>"Moderado"</formula>
    </cfRule>
    <cfRule type="cellIs" dxfId="358" priority="471" operator="equal">
      <formula>"Menor"</formula>
    </cfRule>
    <cfRule type="cellIs" dxfId="357" priority="472" operator="equal">
      <formula>"Leve"</formula>
    </cfRule>
  </conditionalFormatting>
  <conditionalFormatting sqref="AF149">
    <cfRule type="cellIs" dxfId="356" priority="464" operator="equal">
      <formula>"Extremo"</formula>
    </cfRule>
    <cfRule type="cellIs" dxfId="355" priority="465" operator="equal">
      <formula>"Alto"</formula>
    </cfRule>
    <cfRule type="cellIs" dxfId="354" priority="466" operator="equal">
      <formula>"Moderado"</formula>
    </cfRule>
    <cfRule type="cellIs" dxfId="353" priority="467" operator="equal">
      <formula>"Bajo"</formula>
    </cfRule>
  </conditionalFormatting>
  <conditionalFormatting sqref="AB150">
    <cfRule type="cellIs" dxfId="352" priority="459" operator="equal">
      <formula>"Muy Alta"</formula>
    </cfRule>
    <cfRule type="cellIs" dxfId="351" priority="460" operator="equal">
      <formula>"Alta"</formula>
    </cfRule>
    <cfRule type="cellIs" dxfId="350" priority="461" operator="equal">
      <formula>"Media"</formula>
    </cfRule>
    <cfRule type="cellIs" dxfId="349" priority="462" operator="equal">
      <formula>"Baja"</formula>
    </cfRule>
    <cfRule type="cellIs" dxfId="348" priority="463" operator="equal">
      <formula>"Muy Baja"</formula>
    </cfRule>
  </conditionalFormatting>
  <conditionalFormatting sqref="AD150">
    <cfRule type="cellIs" dxfId="347" priority="454" operator="equal">
      <formula>"Catastrófico"</formula>
    </cfRule>
    <cfRule type="cellIs" dxfId="346" priority="455" operator="equal">
      <formula>"Mayor"</formula>
    </cfRule>
    <cfRule type="cellIs" dxfId="345" priority="456" operator="equal">
      <formula>"Moderado"</formula>
    </cfRule>
    <cfRule type="cellIs" dxfId="344" priority="457" operator="equal">
      <formula>"Menor"</formula>
    </cfRule>
    <cfRule type="cellIs" dxfId="343" priority="458" operator="equal">
      <formula>"Leve"</formula>
    </cfRule>
  </conditionalFormatting>
  <conditionalFormatting sqref="AF150">
    <cfRule type="cellIs" dxfId="342" priority="450" operator="equal">
      <formula>"Extremo"</formula>
    </cfRule>
    <cfRule type="cellIs" dxfId="341" priority="451" operator="equal">
      <formula>"Alto"</formula>
    </cfRule>
    <cfRule type="cellIs" dxfId="340" priority="452" operator="equal">
      <formula>"Moderado"</formula>
    </cfRule>
    <cfRule type="cellIs" dxfId="339" priority="453" operator="equal">
      <formula>"Bajo"</formula>
    </cfRule>
  </conditionalFormatting>
  <conditionalFormatting sqref="K148">
    <cfRule type="cellIs" dxfId="338" priority="445" operator="equal">
      <formula>"Muy Alta"</formula>
    </cfRule>
    <cfRule type="cellIs" dxfId="337" priority="446" operator="equal">
      <formula>"Alta"</formula>
    </cfRule>
    <cfRule type="cellIs" dxfId="336" priority="447" operator="equal">
      <formula>"Media"</formula>
    </cfRule>
    <cfRule type="cellIs" dxfId="335" priority="448" operator="equal">
      <formula>"Baja"</formula>
    </cfRule>
    <cfRule type="cellIs" dxfId="334" priority="449" operator="equal">
      <formula>"Muy Baja"</formula>
    </cfRule>
  </conditionalFormatting>
  <conditionalFormatting sqref="O148">
    <cfRule type="cellIs" dxfId="333" priority="440" operator="equal">
      <formula>"Catastrófico"</formula>
    </cfRule>
    <cfRule type="cellIs" dxfId="332" priority="441" operator="equal">
      <formula>"Mayor"</formula>
    </cfRule>
    <cfRule type="cellIs" dxfId="331" priority="442" operator="equal">
      <formula>"Moderado"</formula>
    </cfRule>
    <cfRule type="cellIs" dxfId="330" priority="443" operator="equal">
      <formula>"Menor"</formula>
    </cfRule>
    <cfRule type="cellIs" dxfId="329" priority="444" operator="equal">
      <formula>"Leve"</formula>
    </cfRule>
  </conditionalFormatting>
  <conditionalFormatting sqref="Q148">
    <cfRule type="cellIs" dxfId="328" priority="436" operator="equal">
      <formula>"Extremo"</formula>
    </cfRule>
    <cfRule type="cellIs" dxfId="327" priority="437" operator="equal">
      <formula>"Alto"</formula>
    </cfRule>
    <cfRule type="cellIs" dxfId="326" priority="438" operator="equal">
      <formula>"Moderado"</formula>
    </cfRule>
    <cfRule type="cellIs" dxfId="325" priority="439" operator="equal">
      <formula>"Bajo"</formula>
    </cfRule>
  </conditionalFormatting>
  <conditionalFormatting sqref="N148:N150">
    <cfRule type="containsText" dxfId="324" priority="435" operator="containsText" text="❌">
      <formula>NOT(ISERROR(SEARCH("❌",N148)))</formula>
    </cfRule>
  </conditionalFormatting>
  <conditionalFormatting sqref="AB148:AB150">
    <cfRule type="cellIs" dxfId="323" priority="430" operator="equal">
      <formula>"Muy Alta"</formula>
    </cfRule>
    <cfRule type="cellIs" dxfId="322" priority="431" operator="equal">
      <formula>"Alta"</formula>
    </cfRule>
    <cfRule type="cellIs" dxfId="321" priority="432" operator="equal">
      <formula>"Media"</formula>
    </cfRule>
    <cfRule type="cellIs" dxfId="320" priority="433" operator="equal">
      <formula>"Baja"</formula>
    </cfRule>
    <cfRule type="cellIs" dxfId="319" priority="434" operator="equal">
      <formula>"Muy Baja"</formula>
    </cfRule>
  </conditionalFormatting>
  <conditionalFormatting sqref="AD148:AD150">
    <cfRule type="cellIs" dxfId="318" priority="425" operator="equal">
      <formula>"Catastrófico"</formula>
    </cfRule>
    <cfRule type="cellIs" dxfId="317" priority="426" operator="equal">
      <formula>"Mayor"</formula>
    </cfRule>
    <cfRule type="cellIs" dxfId="316" priority="427" operator="equal">
      <formula>"Moderado"</formula>
    </cfRule>
    <cfRule type="cellIs" dxfId="315" priority="428" operator="equal">
      <formula>"Menor"</formula>
    </cfRule>
    <cfRule type="cellIs" dxfId="314" priority="429" operator="equal">
      <formula>"Leve"</formula>
    </cfRule>
  </conditionalFormatting>
  <conditionalFormatting sqref="AF148:AF150">
    <cfRule type="cellIs" dxfId="313" priority="421" operator="equal">
      <formula>"Extremo"</formula>
    </cfRule>
    <cfRule type="cellIs" dxfId="312" priority="422" operator="equal">
      <formula>"Alto"</formula>
    </cfRule>
    <cfRule type="cellIs" dxfId="311" priority="423" operator="equal">
      <formula>"Moderado"</formula>
    </cfRule>
    <cfRule type="cellIs" dxfId="310" priority="424" operator="equal">
      <formula>"Bajo"</formula>
    </cfRule>
  </conditionalFormatting>
  <conditionalFormatting sqref="N148:N150">
    <cfRule type="containsText" dxfId="309" priority="420" operator="containsText" text="❌">
      <formula>NOT(ISERROR(SEARCH("❌",N148)))</formula>
    </cfRule>
  </conditionalFormatting>
  <conditionalFormatting sqref="AB151">
    <cfRule type="cellIs" dxfId="308" priority="415" operator="equal">
      <formula>"Muy Alta"</formula>
    </cfRule>
    <cfRule type="cellIs" dxfId="307" priority="416" operator="equal">
      <formula>"Alta"</formula>
    </cfRule>
    <cfRule type="cellIs" dxfId="306" priority="417" operator="equal">
      <formula>"Media"</formula>
    </cfRule>
    <cfRule type="cellIs" dxfId="305" priority="418" operator="equal">
      <formula>"Baja"</formula>
    </cfRule>
    <cfRule type="cellIs" dxfId="304" priority="419" operator="equal">
      <formula>"Muy Baja"</formula>
    </cfRule>
  </conditionalFormatting>
  <conditionalFormatting sqref="AD151">
    <cfRule type="cellIs" dxfId="303" priority="410" operator="equal">
      <formula>"Catastrófico"</formula>
    </cfRule>
    <cfRule type="cellIs" dxfId="302" priority="411" operator="equal">
      <formula>"Mayor"</formula>
    </cfRule>
    <cfRule type="cellIs" dxfId="301" priority="412" operator="equal">
      <formula>"Moderado"</formula>
    </cfRule>
    <cfRule type="cellIs" dxfId="300" priority="413" operator="equal">
      <formula>"Menor"</formula>
    </cfRule>
    <cfRule type="cellIs" dxfId="299" priority="414" operator="equal">
      <formula>"Leve"</formula>
    </cfRule>
  </conditionalFormatting>
  <conditionalFormatting sqref="AF151">
    <cfRule type="cellIs" dxfId="298" priority="406" operator="equal">
      <formula>"Extremo"</formula>
    </cfRule>
    <cfRule type="cellIs" dxfId="297" priority="407" operator="equal">
      <formula>"Alto"</formula>
    </cfRule>
    <cfRule type="cellIs" dxfId="296" priority="408" operator="equal">
      <formula>"Moderado"</formula>
    </cfRule>
    <cfRule type="cellIs" dxfId="295" priority="409" operator="equal">
      <formula>"Bajo"</formula>
    </cfRule>
  </conditionalFormatting>
  <conditionalFormatting sqref="AB152">
    <cfRule type="cellIs" dxfId="294" priority="401" operator="equal">
      <formula>"Muy Alta"</formula>
    </cfRule>
    <cfRule type="cellIs" dxfId="293" priority="402" operator="equal">
      <formula>"Alta"</formula>
    </cfRule>
    <cfRule type="cellIs" dxfId="292" priority="403" operator="equal">
      <formula>"Media"</formula>
    </cfRule>
    <cfRule type="cellIs" dxfId="291" priority="404" operator="equal">
      <formula>"Baja"</formula>
    </cfRule>
    <cfRule type="cellIs" dxfId="290" priority="405" operator="equal">
      <formula>"Muy Baja"</formula>
    </cfRule>
  </conditionalFormatting>
  <conditionalFormatting sqref="AD152">
    <cfRule type="cellIs" dxfId="289" priority="396" operator="equal">
      <formula>"Catastrófico"</formula>
    </cfRule>
    <cfRule type="cellIs" dxfId="288" priority="397" operator="equal">
      <formula>"Mayor"</formula>
    </cfRule>
    <cfRule type="cellIs" dxfId="287" priority="398" operator="equal">
      <formula>"Moderado"</formula>
    </cfRule>
    <cfRule type="cellIs" dxfId="286" priority="399" operator="equal">
      <formula>"Menor"</formula>
    </cfRule>
    <cfRule type="cellIs" dxfId="285" priority="400" operator="equal">
      <formula>"Leve"</formula>
    </cfRule>
  </conditionalFormatting>
  <conditionalFormatting sqref="AF152">
    <cfRule type="cellIs" dxfId="284" priority="392" operator="equal">
      <formula>"Extremo"</formula>
    </cfRule>
    <cfRule type="cellIs" dxfId="283" priority="393" operator="equal">
      <formula>"Alto"</formula>
    </cfRule>
    <cfRule type="cellIs" dxfId="282" priority="394" operator="equal">
      <formula>"Moderado"</formula>
    </cfRule>
    <cfRule type="cellIs" dxfId="281" priority="395" operator="equal">
      <formula>"Bajo"</formula>
    </cfRule>
  </conditionalFormatting>
  <conditionalFormatting sqref="AB153">
    <cfRule type="cellIs" dxfId="280" priority="387" operator="equal">
      <formula>"Muy Alta"</formula>
    </cfRule>
    <cfRule type="cellIs" dxfId="279" priority="388" operator="equal">
      <formula>"Alta"</formula>
    </cfRule>
    <cfRule type="cellIs" dxfId="278" priority="389" operator="equal">
      <formula>"Media"</formula>
    </cfRule>
    <cfRule type="cellIs" dxfId="277" priority="390" operator="equal">
      <formula>"Baja"</formula>
    </cfRule>
    <cfRule type="cellIs" dxfId="276" priority="391" operator="equal">
      <formula>"Muy Baja"</formula>
    </cfRule>
  </conditionalFormatting>
  <conditionalFormatting sqref="AD153">
    <cfRule type="cellIs" dxfId="275" priority="382" operator="equal">
      <formula>"Catastrófico"</formula>
    </cfRule>
    <cfRule type="cellIs" dxfId="274" priority="383" operator="equal">
      <formula>"Mayor"</formula>
    </cfRule>
    <cfRule type="cellIs" dxfId="273" priority="384" operator="equal">
      <formula>"Moderado"</formula>
    </cfRule>
    <cfRule type="cellIs" dxfId="272" priority="385" operator="equal">
      <formula>"Menor"</formula>
    </cfRule>
    <cfRule type="cellIs" dxfId="271" priority="386" operator="equal">
      <formula>"Leve"</formula>
    </cfRule>
  </conditionalFormatting>
  <conditionalFormatting sqref="AF153">
    <cfRule type="cellIs" dxfId="270" priority="378" operator="equal">
      <formula>"Extremo"</formula>
    </cfRule>
    <cfRule type="cellIs" dxfId="269" priority="379" operator="equal">
      <formula>"Alto"</formula>
    </cfRule>
    <cfRule type="cellIs" dxfId="268" priority="380" operator="equal">
      <formula>"Moderado"</formula>
    </cfRule>
    <cfRule type="cellIs" dxfId="267" priority="381" operator="equal">
      <formula>"Bajo"</formula>
    </cfRule>
  </conditionalFormatting>
  <conditionalFormatting sqref="K151">
    <cfRule type="cellIs" dxfId="266" priority="373" operator="equal">
      <formula>"Muy Alta"</formula>
    </cfRule>
    <cfRule type="cellIs" dxfId="265" priority="374" operator="equal">
      <formula>"Alta"</formula>
    </cfRule>
    <cfRule type="cellIs" dxfId="264" priority="375" operator="equal">
      <formula>"Media"</formula>
    </cfRule>
    <cfRule type="cellIs" dxfId="263" priority="376" operator="equal">
      <formula>"Baja"</formula>
    </cfRule>
    <cfRule type="cellIs" dxfId="262" priority="377" operator="equal">
      <formula>"Muy Baja"</formula>
    </cfRule>
  </conditionalFormatting>
  <conditionalFormatting sqref="O151">
    <cfRule type="cellIs" dxfId="261" priority="368" operator="equal">
      <formula>"Catastrófico"</formula>
    </cfRule>
    <cfRule type="cellIs" dxfId="260" priority="369" operator="equal">
      <formula>"Mayor"</formula>
    </cfRule>
    <cfRule type="cellIs" dxfId="259" priority="370" operator="equal">
      <formula>"Moderado"</formula>
    </cfRule>
    <cfRule type="cellIs" dxfId="258" priority="371" operator="equal">
      <formula>"Menor"</formula>
    </cfRule>
    <cfRule type="cellIs" dxfId="257" priority="372" operator="equal">
      <formula>"Leve"</formula>
    </cfRule>
  </conditionalFormatting>
  <conditionalFormatting sqref="Q151">
    <cfRule type="cellIs" dxfId="256" priority="364" operator="equal">
      <formula>"Extremo"</formula>
    </cfRule>
    <cfRule type="cellIs" dxfId="255" priority="365" operator="equal">
      <formula>"Alto"</formula>
    </cfRule>
    <cfRule type="cellIs" dxfId="254" priority="366" operator="equal">
      <formula>"Moderado"</formula>
    </cfRule>
    <cfRule type="cellIs" dxfId="253" priority="367" operator="equal">
      <formula>"Bajo"</formula>
    </cfRule>
  </conditionalFormatting>
  <conditionalFormatting sqref="N151:N153">
    <cfRule type="containsText" dxfId="252" priority="363" operator="containsText" text="❌">
      <formula>NOT(ISERROR(SEARCH("❌",N151)))</formula>
    </cfRule>
  </conditionalFormatting>
  <conditionalFormatting sqref="AB151:AB153">
    <cfRule type="cellIs" dxfId="251" priority="358" operator="equal">
      <formula>"Muy Alta"</formula>
    </cfRule>
    <cfRule type="cellIs" dxfId="250" priority="359" operator="equal">
      <formula>"Alta"</formula>
    </cfRule>
    <cfRule type="cellIs" dxfId="249" priority="360" operator="equal">
      <formula>"Media"</formula>
    </cfRule>
    <cfRule type="cellIs" dxfId="248" priority="361" operator="equal">
      <formula>"Baja"</formula>
    </cfRule>
    <cfRule type="cellIs" dxfId="247" priority="362" operator="equal">
      <formula>"Muy Baja"</formula>
    </cfRule>
  </conditionalFormatting>
  <conditionalFormatting sqref="AD151:AD153">
    <cfRule type="cellIs" dxfId="246" priority="353" operator="equal">
      <formula>"Catastrófico"</formula>
    </cfRule>
    <cfRule type="cellIs" dxfId="245" priority="354" operator="equal">
      <formula>"Mayor"</formula>
    </cfRule>
    <cfRule type="cellIs" dxfId="244" priority="355" operator="equal">
      <formula>"Moderado"</formula>
    </cfRule>
    <cfRule type="cellIs" dxfId="243" priority="356" operator="equal">
      <formula>"Menor"</formula>
    </cfRule>
    <cfRule type="cellIs" dxfId="242" priority="357" operator="equal">
      <formula>"Leve"</formula>
    </cfRule>
  </conditionalFormatting>
  <conditionalFormatting sqref="AF151:AF153">
    <cfRule type="cellIs" dxfId="241" priority="349" operator="equal">
      <formula>"Extremo"</formula>
    </cfRule>
    <cfRule type="cellIs" dxfId="240" priority="350" operator="equal">
      <formula>"Alto"</formula>
    </cfRule>
    <cfRule type="cellIs" dxfId="239" priority="351" operator="equal">
      <formula>"Moderado"</formula>
    </cfRule>
    <cfRule type="cellIs" dxfId="238" priority="352" operator="equal">
      <formula>"Bajo"</formula>
    </cfRule>
  </conditionalFormatting>
  <conditionalFormatting sqref="N151:N153">
    <cfRule type="containsText" dxfId="237" priority="348" operator="containsText" text="❌">
      <formula>NOT(ISERROR(SEARCH("❌",N151)))</formula>
    </cfRule>
  </conditionalFormatting>
  <conditionalFormatting sqref="AB17">
    <cfRule type="cellIs" dxfId="236" priority="343" operator="equal">
      <formula>"Muy Alta"</formula>
    </cfRule>
    <cfRule type="cellIs" dxfId="235" priority="344" operator="equal">
      <formula>"Alta"</formula>
    </cfRule>
    <cfRule type="cellIs" dxfId="234" priority="345" operator="equal">
      <formula>"Media"</formula>
    </cfRule>
    <cfRule type="cellIs" dxfId="233" priority="346" operator="equal">
      <formula>"Baja"</formula>
    </cfRule>
    <cfRule type="cellIs" dxfId="232" priority="347" operator="equal">
      <formula>"Muy Baja"</formula>
    </cfRule>
  </conditionalFormatting>
  <conditionalFormatting sqref="AD17">
    <cfRule type="cellIs" dxfId="231" priority="338" operator="equal">
      <formula>"Catastrófico"</formula>
    </cfRule>
    <cfRule type="cellIs" dxfId="230" priority="339" operator="equal">
      <formula>"Mayor"</formula>
    </cfRule>
    <cfRule type="cellIs" dxfId="229" priority="340" operator="equal">
      <formula>"Moderado"</formula>
    </cfRule>
    <cfRule type="cellIs" dxfId="228" priority="341" operator="equal">
      <formula>"Menor"</formula>
    </cfRule>
    <cfRule type="cellIs" dxfId="227" priority="342" operator="equal">
      <formula>"Leve"</formula>
    </cfRule>
  </conditionalFormatting>
  <conditionalFormatting sqref="AF17">
    <cfRule type="cellIs" dxfId="226" priority="334" operator="equal">
      <formula>"Extremo"</formula>
    </cfRule>
    <cfRule type="cellIs" dxfId="225" priority="335" operator="equal">
      <formula>"Alto"</formula>
    </cfRule>
    <cfRule type="cellIs" dxfId="224" priority="336" operator="equal">
      <formula>"Moderado"</formula>
    </cfRule>
    <cfRule type="cellIs" dxfId="223" priority="337" operator="equal">
      <formula>"Bajo"</formula>
    </cfRule>
  </conditionalFormatting>
  <conditionalFormatting sqref="AB18">
    <cfRule type="cellIs" dxfId="222" priority="329" operator="equal">
      <formula>"Muy Alta"</formula>
    </cfRule>
    <cfRule type="cellIs" dxfId="221" priority="330" operator="equal">
      <formula>"Alta"</formula>
    </cfRule>
    <cfRule type="cellIs" dxfId="220" priority="331" operator="equal">
      <formula>"Media"</formula>
    </cfRule>
    <cfRule type="cellIs" dxfId="219" priority="332" operator="equal">
      <formula>"Baja"</formula>
    </cfRule>
    <cfRule type="cellIs" dxfId="218" priority="333" operator="equal">
      <formula>"Muy Baja"</formula>
    </cfRule>
  </conditionalFormatting>
  <conditionalFormatting sqref="AD18">
    <cfRule type="cellIs" dxfId="217" priority="324" operator="equal">
      <formula>"Catastrófico"</formula>
    </cfRule>
    <cfRule type="cellIs" dxfId="216" priority="325" operator="equal">
      <formula>"Mayor"</formula>
    </cfRule>
    <cfRule type="cellIs" dxfId="215" priority="326" operator="equal">
      <formula>"Moderado"</formula>
    </cfRule>
    <cfRule type="cellIs" dxfId="214" priority="327" operator="equal">
      <formula>"Menor"</formula>
    </cfRule>
    <cfRule type="cellIs" dxfId="213" priority="328" operator="equal">
      <formula>"Leve"</formula>
    </cfRule>
  </conditionalFormatting>
  <conditionalFormatting sqref="AF18">
    <cfRule type="cellIs" dxfId="212" priority="320" operator="equal">
      <formula>"Extremo"</formula>
    </cfRule>
    <cfRule type="cellIs" dxfId="211" priority="321" operator="equal">
      <formula>"Alto"</formula>
    </cfRule>
    <cfRule type="cellIs" dxfId="210" priority="322" operator="equal">
      <formula>"Moderado"</formula>
    </cfRule>
    <cfRule type="cellIs" dxfId="209" priority="323" operator="equal">
      <formula>"Bajo"</formula>
    </cfRule>
  </conditionalFormatting>
  <conditionalFormatting sqref="AB20">
    <cfRule type="cellIs" dxfId="208" priority="315" operator="equal">
      <formula>"Muy Alta"</formula>
    </cfRule>
    <cfRule type="cellIs" dxfId="207" priority="316" operator="equal">
      <formula>"Alta"</formula>
    </cfRule>
    <cfRule type="cellIs" dxfId="206" priority="317" operator="equal">
      <formula>"Media"</formula>
    </cfRule>
    <cfRule type="cellIs" dxfId="205" priority="318" operator="equal">
      <formula>"Baja"</formula>
    </cfRule>
    <cfRule type="cellIs" dxfId="204" priority="319" operator="equal">
      <formula>"Muy Baja"</formula>
    </cfRule>
  </conditionalFormatting>
  <conditionalFormatting sqref="AD20">
    <cfRule type="cellIs" dxfId="203" priority="310" operator="equal">
      <formula>"Catastrófico"</formula>
    </cfRule>
    <cfRule type="cellIs" dxfId="202" priority="311" operator="equal">
      <formula>"Mayor"</formula>
    </cfRule>
    <cfRule type="cellIs" dxfId="201" priority="312" operator="equal">
      <formula>"Moderado"</formula>
    </cfRule>
    <cfRule type="cellIs" dxfId="200" priority="313" operator="equal">
      <formula>"Menor"</formula>
    </cfRule>
    <cfRule type="cellIs" dxfId="199" priority="314" operator="equal">
      <formula>"Leve"</formula>
    </cfRule>
  </conditionalFormatting>
  <conditionalFormatting sqref="AF20">
    <cfRule type="cellIs" dxfId="198" priority="306" operator="equal">
      <formula>"Extremo"</formula>
    </cfRule>
    <cfRule type="cellIs" dxfId="197" priority="307" operator="equal">
      <formula>"Alto"</formula>
    </cfRule>
    <cfRule type="cellIs" dxfId="196" priority="308" operator="equal">
      <formula>"Moderado"</formula>
    </cfRule>
    <cfRule type="cellIs" dxfId="195" priority="309" operator="equal">
      <formula>"Bajo"</formula>
    </cfRule>
  </conditionalFormatting>
  <conditionalFormatting sqref="AB21">
    <cfRule type="cellIs" dxfId="194" priority="301" operator="equal">
      <formula>"Muy Alta"</formula>
    </cfRule>
    <cfRule type="cellIs" dxfId="193" priority="302" operator="equal">
      <formula>"Alta"</formula>
    </cfRule>
    <cfRule type="cellIs" dxfId="192" priority="303" operator="equal">
      <formula>"Media"</formula>
    </cfRule>
    <cfRule type="cellIs" dxfId="191" priority="304" operator="equal">
      <formula>"Baja"</formula>
    </cfRule>
    <cfRule type="cellIs" dxfId="190" priority="305" operator="equal">
      <formula>"Muy Baja"</formula>
    </cfRule>
  </conditionalFormatting>
  <conditionalFormatting sqref="AD21">
    <cfRule type="cellIs" dxfId="189" priority="296" operator="equal">
      <formula>"Catastrófico"</formula>
    </cfRule>
    <cfRule type="cellIs" dxfId="188" priority="297" operator="equal">
      <formula>"Mayor"</formula>
    </cfRule>
    <cfRule type="cellIs" dxfId="187" priority="298" operator="equal">
      <formula>"Moderado"</formula>
    </cfRule>
    <cfRule type="cellIs" dxfId="186" priority="299" operator="equal">
      <formula>"Menor"</formula>
    </cfRule>
    <cfRule type="cellIs" dxfId="185" priority="300" operator="equal">
      <formula>"Leve"</formula>
    </cfRule>
  </conditionalFormatting>
  <conditionalFormatting sqref="AF21">
    <cfRule type="cellIs" dxfId="184" priority="292" operator="equal">
      <formula>"Extremo"</formula>
    </cfRule>
    <cfRule type="cellIs" dxfId="183" priority="293" operator="equal">
      <formula>"Alto"</formula>
    </cfRule>
    <cfRule type="cellIs" dxfId="182" priority="294" operator="equal">
      <formula>"Moderado"</formula>
    </cfRule>
    <cfRule type="cellIs" dxfId="181" priority="295" operator="equal">
      <formula>"Bajo"</formula>
    </cfRule>
  </conditionalFormatting>
  <conditionalFormatting sqref="O7">
    <cfRule type="cellIs" dxfId="180" priority="287" operator="equal">
      <formula>"Catastrófico"</formula>
    </cfRule>
    <cfRule type="cellIs" dxfId="179" priority="288" operator="equal">
      <formula>"Mayor"</formula>
    </cfRule>
    <cfRule type="cellIs" dxfId="178" priority="289" operator="equal">
      <formula>"Moderado"</formula>
    </cfRule>
    <cfRule type="cellIs" dxfId="177" priority="290" operator="equal">
      <formula>"Menor"</formula>
    </cfRule>
    <cfRule type="cellIs" dxfId="176" priority="291" operator="equal">
      <formula>"Leve"</formula>
    </cfRule>
  </conditionalFormatting>
  <conditionalFormatting sqref="AB85">
    <cfRule type="cellIs" dxfId="175" priority="210" operator="equal">
      <formula>"Muy Alta"</formula>
    </cfRule>
    <cfRule type="cellIs" dxfId="174" priority="211" operator="equal">
      <formula>"Alta"</formula>
    </cfRule>
    <cfRule type="cellIs" dxfId="173" priority="212" operator="equal">
      <formula>"Media"</formula>
    </cfRule>
    <cfRule type="cellIs" dxfId="172" priority="213" operator="equal">
      <formula>"Baja"</formula>
    </cfRule>
    <cfRule type="cellIs" dxfId="171" priority="214" operator="equal">
      <formula>"Muy Baja"</formula>
    </cfRule>
  </conditionalFormatting>
  <conditionalFormatting sqref="AD85">
    <cfRule type="cellIs" dxfId="170" priority="205" operator="equal">
      <formula>"Catastrófico"</formula>
    </cfRule>
    <cfRule type="cellIs" dxfId="169" priority="206" operator="equal">
      <formula>"Mayor"</formula>
    </cfRule>
    <cfRule type="cellIs" dxfId="168" priority="207" operator="equal">
      <formula>"Moderado"</formula>
    </cfRule>
    <cfRule type="cellIs" dxfId="167" priority="208" operator="equal">
      <formula>"Menor"</formula>
    </cfRule>
    <cfRule type="cellIs" dxfId="166" priority="209" operator="equal">
      <formula>"Leve"</formula>
    </cfRule>
  </conditionalFormatting>
  <conditionalFormatting sqref="AF85">
    <cfRule type="cellIs" dxfId="165" priority="201" operator="equal">
      <formula>"Extremo"</formula>
    </cfRule>
    <cfRule type="cellIs" dxfId="164" priority="202" operator="equal">
      <formula>"Alto"</formula>
    </cfRule>
    <cfRule type="cellIs" dxfId="163" priority="203" operator="equal">
      <formula>"Moderado"</formula>
    </cfRule>
    <cfRule type="cellIs" dxfId="162" priority="204" operator="equal">
      <formula>"Bajo"</formula>
    </cfRule>
  </conditionalFormatting>
  <conditionalFormatting sqref="K85">
    <cfRule type="cellIs" dxfId="161" priority="168" operator="equal">
      <formula>"Muy Alta"</formula>
    </cfRule>
    <cfRule type="cellIs" dxfId="160" priority="169" operator="equal">
      <formula>"Alta"</formula>
    </cfRule>
    <cfRule type="cellIs" dxfId="159" priority="170" operator="equal">
      <formula>"Media"</formula>
    </cfRule>
    <cfRule type="cellIs" dxfId="158" priority="171" operator="equal">
      <formula>"Baja"</formula>
    </cfRule>
    <cfRule type="cellIs" dxfId="157" priority="172" operator="equal">
      <formula>"Muy Baja"</formula>
    </cfRule>
  </conditionalFormatting>
  <conditionalFormatting sqref="AB86">
    <cfRule type="cellIs" dxfId="156" priority="196" operator="equal">
      <formula>"Muy Alta"</formula>
    </cfRule>
    <cfRule type="cellIs" dxfId="155" priority="197" operator="equal">
      <formula>"Alta"</formula>
    </cfRule>
    <cfRule type="cellIs" dxfId="154" priority="198" operator="equal">
      <formula>"Media"</formula>
    </cfRule>
    <cfRule type="cellIs" dxfId="153" priority="199" operator="equal">
      <formula>"Baja"</formula>
    </cfRule>
    <cfRule type="cellIs" dxfId="152" priority="200" operator="equal">
      <formula>"Muy Baja"</formula>
    </cfRule>
  </conditionalFormatting>
  <conditionalFormatting sqref="AD86">
    <cfRule type="cellIs" dxfId="151" priority="191" operator="equal">
      <formula>"Catastrófico"</formula>
    </cfRule>
    <cfRule type="cellIs" dxfId="150" priority="192" operator="equal">
      <formula>"Mayor"</formula>
    </cfRule>
    <cfRule type="cellIs" dxfId="149" priority="193" operator="equal">
      <formula>"Moderado"</formula>
    </cfRule>
    <cfRule type="cellIs" dxfId="148" priority="194" operator="equal">
      <formula>"Menor"</formula>
    </cfRule>
    <cfRule type="cellIs" dxfId="147" priority="195" operator="equal">
      <formula>"Leve"</formula>
    </cfRule>
  </conditionalFormatting>
  <conditionalFormatting sqref="AF86">
    <cfRule type="cellIs" dxfId="146" priority="187" operator="equal">
      <formula>"Extremo"</formula>
    </cfRule>
    <cfRule type="cellIs" dxfId="145" priority="188" operator="equal">
      <formula>"Alto"</formula>
    </cfRule>
    <cfRule type="cellIs" dxfId="144" priority="189" operator="equal">
      <formula>"Moderado"</formula>
    </cfRule>
    <cfRule type="cellIs" dxfId="143" priority="190" operator="equal">
      <formula>"Bajo"</formula>
    </cfRule>
  </conditionalFormatting>
  <conditionalFormatting sqref="AB87">
    <cfRule type="cellIs" dxfId="142" priority="182" operator="equal">
      <formula>"Muy Alta"</formula>
    </cfRule>
    <cfRule type="cellIs" dxfId="141" priority="183" operator="equal">
      <formula>"Alta"</formula>
    </cfRule>
    <cfRule type="cellIs" dxfId="140" priority="184" operator="equal">
      <formula>"Media"</formula>
    </cfRule>
    <cfRule type="cellIs" dxfId="139" priority="185" operator="equal">
      <formula>"Baja"</formula>
    </cfRule>
    <cfRule type="cellIs" dxfId="138" priority="186" operator="equal">
      <formula>"Muy Baja"</formula>
    </cfRule>
  </conditionalFormatting>
  <conditionalFormatting sqref="AD87">
    <cfRule type="cellIs" dxfId="137" priority="177" operator="equal">
      <formula>"Catastrófico"</formula>
    </cfRule>
    <cfRule type="cellIs" dxfId="136" priority="178" operator="equal">
      <formula>"Mayor"</formula>
    </cfRule>
    <cfRule type="cellIs" dxfId="135" priority="179" operator="equal">
      <formula>"Moderado"</formula>
    </cfRule>
    <cfRule type="cellIs" dxfId="134" priority="180" operator="equal">
      <formula>"Menor"</formula>
    </cfRule>
    <cfRule type="cellIs" dxfId="133" priority="181" operator="equal">
      <formula>"Leve"</formula>
    </cfRule>
  </conditionalFormatting>
  <conditionalFormatting sqref="AF87">
    <cfRule type="cellIs" dxfId="132" priority="173" operator="equal">
      <formula>"Extremo"</formula>
    </cfRule>
    <cfRule type="cellIs" dxfId="131" priority="174" operator="equal">
      <formula>"Alto"</formula>
    </cfRule>
    <cfRule type="cellIs" dxfId="130" priority="175" operator="equal">
      <formula>"Moderado"</formula>
    </cfRule>
    <cfRule type="cellIs" dxfId="129" priority="176" operator="equal">
      <formula>"Bajo"</formula>
    </cfRule>
  </conditionalFormatting>
  <conditionalFormatting sqref="O85">
    <cfRule type="cellIs" dxfId="128" priority="163" operator="equal">
      <formula>"Catastrófico"</formula>
    </cfRule>
    <cfRule type="cellIs" dxfId="127" priority="164" operator="equal">
      <formula>"Mayor"</formula>
    </cfRule>
    <cfRule type="cellIs" dxfId="126" priority="165" operator="equal">
      <formula>"Moderado"</formula>
    </cfRule>
    <cfRule type="cellIs" dxfId="125" priority="166" operator="equal">
      <formula>"Menor"</formula>
    </cfRule>
    <cfRule type="cellIs" dxfId="124" priority="167" operator="equal">
      <formula>"Leve"</formula>
    </cfRule>
  </conditionalFormatting>
  <conditionalFormatting sqref="Q85">
    <cfRule type="cellIs" dxfId="123" priority="159" operator="equal">
      <formula>"Extremo"</formula>
    </cfRule>
    <cfRule type="cellIs" dxfId="122" priority="160" operator="equal">
      <formula>"Alto"</formula>
    </cfRule>
    <cfRule type="cellIs" dxfId="121" priority="161" operator="equal">
      <formula>"Moderado"</formula>
    </cfRule>
    <cfRule type="cellIs" dxfId="120" priority="162" operator="equal">
      <formula>"Bajo"</formula>
    </cfRule>
  </conditionalFormatting>
  <conditionalFormatting sqref="N85:N87">
    <cfRule type="containsText" dxfId="119" priority="158" operator="containsText" text="❌">
      <formula>NOT(ISERROR(SEARCH("❌",N85)))</formula>
    </cfRule>
  </conditionalFormatting>
  <conditionalFormatting sqref="AF99">
    <cfRule type="cellIs" dxfId="118" priority="102" operator="equal">
      <formula>"Extremo"</formula>
    </cfRule>
    <cfRule type="cellIs" dxfId="117" priority="103" operator="equal">
      <formula>"Alto"</formula>
    </cfRule>
    <cfRule type="cellIs" dxfId="116" priority="104" operator="equal">
      <formula>"Moderado"</formula>
    </cfRule>
    <cfRule type="cellIs" dxfId="115" priority="105" operator="equal">
      <formula>"Bajo"</formula>
    </cfRule>
  </conditionalFormatting>
  <conditionalFormatting sqref="AB99">
    <cfRule type="cellIs" dxfId="114" priority="111" operator="equal">
      <formula>"Muy Alta"</formula>
    </cfRule>
    <cfRule type="cellIs" dxfId="113" priority="112" operator="equal">
      <formula>"Alta"</formula>
    </cfRule>
    <cfRule type="cellIs" dxfId="112" priority="113" operator="equal">
      <formula>"Media"</formula>
    </cfRule>
    <cfRule type="cellIs" dxfId="111" priority="114" operator="equal">
      <formula>"Baja"</formula>
    </cfRule>
    <cfRule type="cellIs" dxfId="110" priority="115" operator="equal">
      <formula>"Muy Baja"</formula>
    </cfRule>
  </conditionalFormatting>
  <conditionalFormatting sqref="AD99">
    <cfRule type="cellIs" dxfId="109" priority="106" operator="equal">
      <formula>"Catastrófico"</formula>
    </cfRule>
    <cfRule type="cellIs" dxfId="108" priority="107" operator="equal">
      <formula>"Mayor"</formula>
    </cfRule>
    <cfRule type="cellIs" dxfId="107" priority="108" operator="equal">
      <formula>"Moderado"</formula>
    </cfRule>
    <cfRule type="cellIs" dxfId="106" priority="109" operator="equal">
      <formula>"Menor"</formula>
    </cfRule>
    <cfRule type="cellIs" dxfId="105" priority="110" operator="equal">
      <formula>"Leve"</formula>
    </cfRule>
  </conditionalFormatting>
  <conditionalFormatting sqref="AB100:AB102">
    <cfRule type="cellIs" dxfId="104" priority="97" operator="equal">
      <formula>"Muy Alta"</formula>
    </cfRule>
    <cfRule type="cellIs" dxfId="103" priority="98" operator="equal">
      <formula>"Alta"</formula>
    </cfRule>
    <cfRule type="cellIs" dxfId="102" priority="99" operator="equal">
      <formula>"Media"</formula>
    </cfRule>
    <cfRule type="cellIs" dxfId="101" priority="100" operator="equal">
      <formula>"Baja"</formula>
    </cfRule>
    <cfRule type="cellIs" dxfId="100" priority="101" operator="equal">
      <formula>"Muy Baja"</formula>
    </cfRule>
  </conditionalFormatting>
  <conditionalFormatting sqref="AD100:AD102">
    <cfRule type="cellIs" dxfId="99" priority="92" operator="equal">
      <formula>"Catastrófico"</formula>
    </cfRule>
    <cfRule type="cellIs" dxfId="98" priority="93" operator="equal">
      <formula>"Mayor"</formula>
    </cfRule>
    <cfRule type="cellIs" dxfId="97" priority="94" operator="equal">
      <formula>"Moderado"</formula>
    </cfRule>
    <cfRule type="cellIs" dxfId="96" priority="95" operator="equal">
      <formula>"Menor"</formula>
    </cfRule>
    <cfRule type="cellIs" dxfId="95" priority="96" operator="equal">
      <formula>"Leve"</formula>
    </cfRule>
  </conditionalFormatting>
  <conditionalFormatting sqref="AF100:AF102">
    <cfRule type="cellIs" dxfId="94" priority="88" operator="equal">
      <formula>"Extremo"</formula>
    </cfRule>
    <cfRule type="cellIs" dxfId="93" priority="89" operator="equal">
      <formula>"Alto"</formula>
    </cfRule>
    <cfRule type="cellIs" dxfId="92" priority="90" operator="equal">
      <formula>"Moderado"</formula>
    </cfRule>
    <cfRule type="cellIs" dxfId="91" priority="91" operator="equal">
      <formula>"Bajo"</formula>
    </cfRule>
  </conditionalFormatting>
  <conditionalFormatting sqref="K100">
    <cfRule type="cellIs" dxfId="90" priority="83" operator="equal">
      <formula>"Muy Alta"</formula>
    </cfRule>
    <cfRule type="cellIs" dxfId="89" priority="84" operator="equal">
      <formula>"Alta"</formula>
    </cfRule>
    <cfRule type="cellIs" dxfId="88" priority="85" operator="equal">
      <formula>"Media"</formula>
    </cfRule>
    <cfRule type="cellIs" dxfId="87" priority="86" operator="equal">
      <formula>"Baja"</formula>
    </cfRule>
    <cfRule type="cellIs" dxfId="86" priority="87" operator="equal">
      <formula>"Muy Baja"</formula>
    </cfRule>
  </conditionalFormatting>
  <conditionalFormatting sqref="O100">
    <cfRule type="cellIs" dxfId="85" priority="78" operator="equal">
      <formula>"Catastrófico"</formula>
    </cfRule>
    <cfRule type="cellIs" dxfId="84" priority="79" operator="equal">
      <formula>"Mayor"</formula>
    </cfRule>
    <cfRule type="cellIs" dxfId="83" priority="80" operator="equal">
      <formula>"Moderado"</formula>
    </cfRule>
    <cfRule type="cellIs" dxfId="82" priority="81" operator="equal">
      <formula>"Menor"</formula>
    </cfRule>
    <cfRule type="cellIs" dxfId="81" priority="82" operator="equal">
      <formula>"Leve"</formula>
    </cfRule>
  </conditionalFormatting>
  <conditionalFormatting sqref="Q100">
    <cfRule type="cellIs" dxfId="80" priority="74" operator="equal">
      <formula>"Extremo"</formula>
    </cfRule>
    <cfRule type="cellIs" dxfId="79" priority="75" operator="equal">
      <formula>"Alto"</formula>
    </cfRule>
    <cfRule type="cellIs" dxfId="78" priority="76" operator="equal">
      <formula>"Moderado"</formula>
    </cfRule>
    <cfRule type="cellIs" dxfId="77" priority="77" operator="equal">
      <formula>"Bajo"</formula>
    </cfRule>
  </conditionalFormatting>
  <conditionalFormatting sqref="N100">
    <cfRule type="containsText" dxfId="76" priority="73" operator="containsText" text="❌">
      <formula>NOT(ISERROR(SEARCH("❌",N100)))</formula>
    </cfRule>
  </conditionalFormatting>
  <conditionalFormatting sqref="AB100:AB102">
    <cfRule type="cellIs" dxfId="75" priority="68" operator="equal">
      <formula>"Muy Alta"</formula>
    </cfRule>
    <cfRule type="cellIs" dxfId="74" priority="69" operator="equal">
      <formula>"Alta"</formula>
    </cfRule>
    <cfRule type="cellIs" dxfId="73" priority="70" operator="equal">
      <formula>"Media"</formula>
    </cfRule>
    <cfRule type="cellIs" dxfId="72" priority="71" operator="equal">
      <formula>"Baja"</formula>
    </cfRule>
    <cfRule type="cellIs" dxfId="71" priority="72" operator="equal">
      <formula>"Muy Baja"</formula>
    </cfRule>
  </conditionalFormatting>
  <conditionalFormatting sqref="AD100:AD102">
    <cfRule type="cellIs" dxfId="70" priority="63" operator="equal">
      <formula>"Catastrófico"</formula>
    </cfRule>
    <cfRule type="cellIs" dxfId="69" priority="64" operator="equal">
      <formula>"Mayor"</formula>
    </cfRule>
    <cfRule type="cellIs" dxfId="68" priority="65" operator="equal">
      <formula>"Moderado"</formula>
    </cfRule>
    <cfRule type="cellIs" dxfId="67" priority="66" operator="equal">
      <formula>"Menor"</formula>
    </cfRule>
    <cfRule type="cellIs" dxfId="66" priority="67" operator="equal">
      <formula>"Leve"</formula>
    </cfRule>
  </conditionalFormatting>
  <conditionalFormatting sqref="AF100:AF102">
    <cfRule type="cellIs" dxfId="65" priority="59" operator="equal">
      <formula>"Extremo"</formula>
    </cfRule>
    <cfRule type="cellIs" dxfId="64" priority="60" operator="equal">
      <formula>"Alto"</formula>
    </cfRule>
    <cfRule type="cellIs" dxfId="63" priority="61" operator="equal">
      <formula>"Moderado"</formula>
    </cfRule>
    <cfRule type="cellIs" dxfId="62" priority="62" operator="equal">
      <formula>"Bajo"</formula>
    </cfRule>
  </conditionalFormatting>
  <conditionalFormatting sqref="N100">
    <cfRule type="containsText" dxfId="61" priority="58" operator="containsText" text="❌">
      <formula>NOT(ISERROR(SEARCH("❌",N100)))</formula>
    </cfRule>
  </conditionalFormatting>
  <conditionalFormatting sqref="AB70">
    <cfRule type="cellIs" dxfId="60" priority="53" operator="equal">
      <formula>"Muy Alta"</formula>
    </cfRule>
    <cfRule type="cellIs" dxfId="59" priority="54" operator="equal">
      <formula>"Alta"</formula>
    </cfRule>
    <cfRule type="cellIs" dxfId="58" priority="55" operator="equal">
      <formula>"Media"</formula>
    </cfRule>
    <cfRule type="cellIs" dxfId="57" priority="56" operator="equal">
      <formula>"Baja"</formula>
    </cfRule>
    <cfRule type="cellIs" dxfId="56" priority="57" operator="equal">
      <formula>"Muy Baja"</formula>
    </cfRule>
  </conditionalFormatting>
  <conditionalFormatting sqref="AD70">
    <cfRule type="cellIs" dxfId="55" priority="48" operator="equal">
      <formula>"Catastrófico"</formula>
    </cfRule>
    <cfRule type="cellIs" dxfId="54" priority="49" operator="equal">
      <formula>"Mayor"</formula>
    </cfRule>
    <cfRule type="cellIs" dxfId="53" priority="50" operator="equal">
      <formula>"Moderado"</formula>
    </cfRule>
    <cfRule type="cellIs" dxfId="52" priority="51" operator="equal">
      <formula>"Menor"</formula>
    </cfRule>
    <cfRule type="cellIs" dxfId="51" priority="52" operator="equal">
      <formula>"Leve"</formula>
    </cfRule>
  </conditionalFormatting>
  <conditionalFormatting sqref="AF70">
    <cfRule type="cellIs" dxfId="50" priority="44" operator="equal">
      <formula>"Extremo"</formula>
    </cfRule>
    <cfRule type="cellIs" dxfId="49" priority="45" operator="equal">
      <formula>"Alto"</formula>
    </cfRule>
    <cfRule type="cellIs" dxfId="48" priority="46" operator="equal">
      <formula>"Moderado"</formula>
    </cfRule>
    <cfRule type="cellIs" dxfId="47" priority="47" operator="equal">
      <formula>"Bajo"</formula>
    </cfRule>
  </conditionalFormatting>
  <conditionalFormatting sqref="AB71">
    <cfRule type="cellIs" dxfId="46" priority="39" operator="equal">
      <formula>"Muy Alta"</formula>
    </cfRule>
    <cfRule type="cellIs" dxfId="45" priority="40" operator="equal">
      <formula>"Alta"</formula>
    </cfRule>
    <cfRule type="cellIs" dxfId="44" priority="41" operator="equal">
      <formula>"Media"</formula>
    </cfRule>
    <cfRule type="cellIs" dxfId="43" priority="42" operator="equal">
      <formula>"Baja"</formula>
    </cfRule>
    <cfRule type="cellIs" dxfId="42" priority="43" operator="equal">
      <formula>"Muy Baja"</formula>
    </cfRule>
  </conditionalFormatting>
  <conditionalFormatting sqref="AD71">
    <cfRule type="cellIs" dxfId="41" priority="34" operator="equal">
      <formula>"Catastrófico"</formula>
    </cfRule>
    <cfRule type="cellIs" dxfId="40" priority="35" operator="equal">
      <formula>"Mayor"</formula>
    </cfRule>
    <cfRule type="cellIs" dxfId="39" priority="36" operator="equal">
      <formula>"Moderado"</formula>
    </cfRule>
    <cfRule type="cellIs" dxfId="38" priority="37" operator="equal">
      <formula>"Menor"</formula>
    </cfRule>
    <cfRule type="cellIs" dxfId="37" priority="38" operator="equal">
      <formula>"Leve"</formula>
    </cfRule>
  </conditionalFormatting>
  <conditionalFormatting sqref="AF71">
    <cfRule type="cellIs" dxfId="36" priority="30" operator="equal">
      <formula>"Extremo"</formula>
    </cfRule>
    <cfRule type="cellIs" dxfId="35" priority="31" operator="equal">
      <formula>"Alto"</formula>
    </cfRule>
    <cfRule type="cellIs" dxfId="34" priority="32" operator="equal">
      <formula>"Moderado"</formula>
    </cfRule>
    <cfRule type="cellIs" dxfId="33" priority="33" operator="equal">
      <formula>"Bajo"</formula>
    </cfRule>
  </conditionalFormatting>
  <conditionalFormatting sqref="AB72">
    <cfRule type="cellIs" dxfId="32" priority="25" operator="equal">
      <formula>"Muy Alta"</formula>
    </cfRule>
    <cfRule type="cellIs" dxfId="31" priority="26" operator="equal">
      <formula>"Alta"</formula>
    </cfRule>
    <cfRule type="cellIs" dxfId="30" priority="27" operator="equal">
      <formula>"Media"</formula>
    </cfRule>
    <cfRule type="cellIs" dxfId="29" priority="28" operator="equal">
      <formula>"Baja"</formula>
    </cfRule>
    <cfRule type="cellIs" dxfId="28" priority="29" operator="equal">
      <formula>"Muy Baja"</formula>
    </cfRule>
  </conditionalFormatting>
  <conditionalFormatting sqref="AD72">
    <cfRule type="cellIs" dxfId="27" priority="20" operator="equal">
      <formula>"Catastrófico"</formula>
    </cfRule>
    <cfRule type="cellIs" dxfId="26" priority="21" operator="equal">
      <formula>"Mayor"</formula>
    </cfRule>
    <cfRule type="cellIs" dxfId="25" priority="22" operator="equal">
      <formula>"Moderado"</formula>
    </cfRule>
    <cfRule type="cellIs" dxfId="24" priority="23" operator="equal">
      <formula>"Menor"</formula>
    </cfRule>
    <cfRule type="cellIs" dxfId="23" priority="24" operator="equal">
      <formula>"Leve"</formula>
    </cfRule>
  </conditionalFormatting>
  <conditionalFormatting sqref="AF72">
    <cfRule type="cellIs" dxfId="22" priority="16" operator="equal">
      <formula>"Extremo"</formula>
    </cfRule>
    <cfRule type="cellIs" dxfId="21" priority="17" operator="equal">
      <formula>"Alto"</formula>
    </cfRule>
    <cfRule type="cellIs" dxfId="20" priority="18" operator="equal">
      <formula>"Moderado"</formula>
    </cfRule>
    <cfRule type="cellIs" dxfId="19" priority="19" operator="equal">
      <formula>"Bajo"</formula>
    </cfRule>
  </conditionalFormatting>
  <conditionalFormatting sqref="K70">
    <cfRule type="cellIs" dxfId="18" priority="11" operator="equal">
      <formula>"Muy Alta"</formula>
    </cfRule>
    <cfRule type="cellIs" dxfId="17" priority="12" operator="equal">
      <formula>"Alta"</formula>
    </cfRule>
    <cfRule type="cellIs" dxfId="16" priority="13" operator="equal">
      <formula>"Media"</formula>
    </cfRule>
    <cfRule type="cellIs" dxfId="15" priority="14" operator="equal">
      <formula>"Baja"</formula>
    </cfRule>
    <cfRule type="cellIs" dxfId="14" priority="15" operator="equal">
      <formula>"Muy Baja"</formula>
    </cfRule>
  </conditionalFormatting>
  <conditionalFormatting sqref="O70">
    <cfRule type="cellIs" dxfId="13" priority="6" operator="equal">
      <formula>"Catastrófico"</formula>
    </cfRule>
    <cfRule type="cellIs" dxfId="12" priority="7" operator="equal">
      <formula>"Mayor"</formula>
    </cfRule>
    <cfRule type="cellIs" dxfId="11" priority="8" operator="equal">
      <formula>"Moderado"</formula>
    </cfRule>
    <cfRule type="cellIs" dxfId="10" priority="9" operator="equal">
      <formula>"Menor"</formula>
    </cfRule>
    <cfRule type="cellIs" dxfId="9" priority="10" operator="equal">
      <formula>"Leve"</formula>
    </cfRule>
  </conditionalFormatting>
  <conditionalFormatting sqref="Q70">
    <cfRule type="cellIs" dxfId="8" priority="2" operator="equal">
      <formula>"Extremo"</formula>
    </cfRule>
    <cfRule type="cellIs" dxfId="7" priority="3" operator="equal">
      <formula>"Alto"</formula>
    </cfRule>
    <cfRule type="cellIs" dxfId="6" priority="4" operator="equal">
      <formula>"Moderado"</formula>
    </cfRule>
    <cfRule type="cellIs" dxfId="5" priority="5" operator="equal">
      <formula>"Bajo"</formula>
    </cfRule>
  </conditionalFormatting>
  <conditionalFormatting sqref="N70:N72">
    <cfRule type="containsText" dxfId="4" priority="1" operator="containsText" text="❌">
      <formula>NOT(ISERROR(SEARCH("❌",N70)))</formula>
    </cfRule>
  </conditionalFormatting>
  <hyperlinks>
    <hyperlink ref="AN61" r:id="rId1" xr:uid="{C0360653-F271-4E92-90A6-D37FA81C8937}"/>
    <hyperlink ref="AN97" r:id="rId2" xr:uid="{C93A1D7C-D0C2-408E-B70C-0641B4952C88}"/>
    <hyperlink ref="AQ97" r:id="rId3" xr:uid="{66B450D3-F7EA-4B5C-AF96-1BA6750C481B}"/>
    <hyperlink ref="AN100" r:id="rId4" display="\\192.168.10.203\Institucional\OGS\0 OFICINA DE GESTION SOCIAL 2022\ATENCION AL CIUDADANO\Seguimiento a la calidad de las respuestas" xr:uid="{0DE2A420-8171-4D96-BD6D-726B0A2E446A}"/>
    <hyperlink ref="AQ100" r:id="rId5" display="\\192.168.10.203\Institucional\OGS\0 OFICINA DE GESTION SOCIAL 2022\ATENCION AL CIUDADANO\CAPACITACIONES FUNCIONALES" xr:uid="{D1230C84-0326-41D4-836E-6855C44ABF31}"/>
  </hyperlinks>
  <pageMargins left="0.7" right="0.7" top="0.75" bottom="0.75" header="0.3" footer="0.3"/>
  <pageSetup orientation="portrait" r:id="rId6"/>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200-000001000000}">
          <x14:formula1>
            <xm:f>'Opciones Tratamiento'!$B$13:$B$19</xm:f>
          </x14:formula1>
          <xm:sqref>I7 I10 I13 I103 I16 I19 I22 I25 I28 I31 I34 I37 I40 I43 I46 I49 I52 I55 I106 I58 I61 I64 I67 I73 I76 I79 I82 I88 I91 I94 I97:I98 I139 I124 I109 I112 I115 I118 I121 I127 I130 I133 I136 I142 I145 I148 I151 I85 I70</xm:sqref>
        </x14:dataValidation>
        <x14:dataValidation type="list" allowBlank="1" showInputMessage="1" showErrorMessage="1" xr:uid="{00000000-0002-0000-0200-000002000000}">
          <x14:formula1>
            <xm:f>'Opciones Tratamiento'!$E$2:$E$4</xm:f>
          </x14:formula1>
          <xm:sqref>E7 E10 E13 E103 E16 E19 E22 E25 E28 E31 E34 E37 E40 E43 E46 E49 E52 E55 E106 E58 E61 E64 E67 E73 E76 E79 E82 E88 E91 E94 E97:E98 E139 E124 E109 E112 E115 E118 E121 E127 E130 E133 E136 E142 E145 E148 E151 E85 E70</xm:sqref>
        </x14:dataValidation>
        <x14:dataValidation type="list" allowBlank="1" showInputMessage="1" showErrorMessage="1" xr:uid="{00000000-0002-0000-0200-000003000000}">
          <x14:formula1>
            <xm:f>'Tabla Impacto'!$F$210:$F$221</xm:f>
          </x14:formula1>
          <xm:sqref>M7 M10 M13 M148 M16 M19 M22 M25 M28 M31 M34 M37 M40 M43 M46 M49 M52 M55 M151 M58 M61 M64 M67 M73 M142 M145 M76 M79 M82 M85 M88 M91 M94 M97:M98 M139 M103 M106 M109 M112 M115 M118 M121 M124 M127 M130 M133 M136 M70</xm:sqref>
        </x14:dataValidation>
        <x14:dataValidation type="list" allowBlank="1" showInputMessage="1" showErrorMessage="1" xr:uid="{00000000-0002-0000-0200-000004000000}">
          <x14:formula1>
            <xm:f>'Tabla Valoración controles'!$D$4:$D$6</xm:f>
          </x14:formula1>
          <xm:sqref>U103:U153 U7:U98</xm:sqref>
        </x14:dataValidation>
        <x14:dataValidation type="list" allowBlank="1" showInputMessage="1" showErrorMessage="1" xr:uid="{00000000-0002-0000-0200-000005000000}">
          <x14:formula1>
            <xm:f>'Tabla Valoración controles'!$D$7:$D$8</xm:f>
          </x14:formula1>
          <xm:sqref>V103:V153 V7:V98</xm:sqref>
        </x14:dataValidation>
        <x14:dataValidation type="list" allowBlank="1" showInputMessage="1" showErrorMessage="1" xr:uid="{00000000-0002-0000-0200-000006000000}">
          <x14:formula1>
            <xm:f>'Tabla Valoración controles'!$D$9:$D$10</xm:f>
          </x14:formula1>
          <xm:sqref>X103:X153 X7:X98</xm:sqref>
        </x14:dataValidation>
        <x14:dataValidation type="list" allowBlank="1" showInputMessage="1" showErrorMessage="1" xr:uid="{00000000-0002-0000-0200-000007000000}">
          <x14:formula1>
            <xm:f>'Tabla Valoración controles'!$D$11:$D$12</xm:f>
          </x14:formula1>
          <xm:sqref>Y103:Y153 Y7:Y98</xm:sqref>
        </x14:dataValidation>
        <x14:dataValidation type="list" allowBlank="1" showInputMessage="1" showErrorMessage="1" xr:uid="{00000000-0002-0000-0200-000008000000}">
          <x14:formula1>
            <xm:f>'Tabla Valoración controles'!$D$13:$D$14</xm:f>
          </x14:formula1>
          <xm:sqref>Z103:Z153 Z7:Z98</xm:sqref>
        </x14:dataValidation>
        <x14:dataValidation type="list" allowBlank="1" showInputMessage="1" showErrorMessage="1" xr:uid="{00000000-0002-0000-0200-000009000000}">
          <x14:formula1>
            <xm:f>'Opciones Tratamiento'!$B$2:$B$5</xm:f>
          </x14:formula1>
          <xm:sqref>AG103:AG153 AG7:AG98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O204"/>
  <sheetViews>
    <sheetView topLeftCell="E1" zoomScale="40" zoomScaleNormal="40" workbookViewId="0">
      <selection activeCell="AJ64" sqref="AJ64:AK65"/>
    </sheetView>
  </sheetViews>
  <sheetFormatPr baseColWidth="10" defaultRowHeight="15" x14ac:dyDescent="0.25"/>
  <cols>
    <col min="2" max="9" width="5.7109375" customWidth="1"/>
    <col min="10" max="59" width="8.7109375" customWidth="1"/>
    <col min="61" max="65" width="5.7109375" customWidth="1"/>
    <col min="66" max="66" width="20.7109375" customWidth="1"/>
  </cols>
  <sheetData>
    <row r="1" spans="1:119" x14ac:dyDescent="0.25">
      <c r="A1" s="55"/>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c r="CR1" s="55"/>
      <c r="CS1" s="55"/>
      <c r="CT1" s="55"/>
      <c r="CU1" s="55"/>
      <c r="CV1" s="55"/>
      <c r="CW1" s="55"/>
      <c r="CX1" s="55"/>
      <c r="CY1" s="55"/>
      <c r="CZ1" s="55"/>
      <c r="DA1" s="55"/>
      <c r="DB1" s="55"/>
      <c r="DC1" s="55"/>
      <c r="DD1" s="55"/>
      <c r="DE1" s="55"/>
      <c r="DF1" s="55"/>
      <c r="DG1" s="55"/>
      <c r="DH1" s="55"/>
      <c r="DI1" s="55"/>
      <c r="DJ1" s="55"/>
      <c r="DK1" s="55"/>
      <c r="DL1" s="55"/>
      <c r="DM1" s="55"/>
      <c r="DN1" s="55"/>
      <c r="DO1" s="55"/>
    </row>
    <row r="2" spans="1:119" ht="18" customHeight="1" x14ac:dyDescent="0.25">
      <c r="A2" s="55"/>
      <c r="B2" s="450" t="s">
        <v>135</v>
      </c>
      <c r="C2" s="450"/>
      <c r="D2" s="450"/>
      <c r="E2" s="450"/>
      <c r="F2" s="450"/>
      <c r="G2" s="450"/>
      <c r="H2" s="450"/>
      <c r="I2" s="450"/>
      <c r="J2" s="300" t="s">
        <v>2</v>
      </c>
      <c r="K2" s="300"/>
      <c r="L2" s="300"/>
      <c r="M2" s="300"/>
      <c r="N2" s="300"/>
      <c r="O2" s="300"/>
      <c r="P2" s="300"/>
      <c r="Q2" s="300"/>
      <c r="R2" s="300"/>
      <c r="S2" s="300"/>
      <c r="T2" s="300"/>
      <c r="U2" s="300"/>
      <c r="V2" s="300"/>
      <c r="W2" s="300"/>
      <c r="X2" s="300"/>
      <c r="Y2" s="300"/>
      <c r="Z2" s="300"/>
      <c r="AA2" s="300"/>
      <c r="AB2" s="300"/>
      <c r="AC2" s="300"/>
      <c r="AD2" s="300"/>
      <c r="AE2" s="300"/>
      <c r="AF2" s="300"/>
      <c r="AG2" s="300"/>
      <c r="AH2" s="300"/>
      <c r="AI2" s="300"/>
      <c r="AJ2" s="300"/>
      <c r="AK2" s="300"/>
      <c r="AL2" s="300"/>
      <c r="AM2" s="300"/>
      <c r="AN2" s="300"/>
      <c r="AO2" s="300"/>
      <c r="AP2" s="300"/>
      <c r="AQ2" s="300"/>
      <c r="AR2" s="300"/>
      <c r="AS2" s="300"/>
      <c r="AT2" s="300"/>
      <c r="AU2" s="300"/>
      <c r="AV2" s="300"/>
      <c r="AW2" s="300"/>
      <c r="AX2" s="300"/>
      <c r="AY2" s="300"/>
      <c r="AZ2" s="300"/>
      <c r="BA2" s="300"/>
      <c r="BB2" s="300"/>
      <c r="BC2" s="300"/>
      <c r="BD2" s="300"/>
      <c r="BE2" s="300"/>
      <c r="BF2" s="300"/>
      <c r="BG2" s="300"/>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row>
    <row r="3" spans="1:119" ht="18.75" customHeight="1" x14ac:dyDescent="0.25">
      <c r="A3" s="55"/>
      <c r="B3" s="450"/>
      <c r="C3" s="450"/>
      <c r="D3" s="450"/>
      <c r="E3" s="450"/>
      <c r="F3" s="450"/>
      <c r="G3" s="450"/>
      <c r="H3" s="450"/>
      <c r="I3" s="450"/>
      <c r="J3" s="300"/>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00"/>
      <c r="AJ3" s="300"/>
      <c r="AK3" s="300"/>
      <c r="AL3" s="300"/>
      <c r="AM3" s="300"/>
      <c r="AN3" s="300"/>
      <c r="AO3" s="300"/>
      <c r="AP3" s="300"/>
      <c r="AQ3" s="300"/>
      <c r="AR3" s="300"/>
      <c r="AS3" s="300"/>
      <c r="AT3" s="300"/>
      <c r="AU3" s="300"/>
      <c r="AV3" s="300"/>
      <c r="AW3" s="300"/>
      <c r="AX3" s="300"/>
      <c r="AY3" s="300"/>
      <c r="AZ3" s="300"/>
      <c r="BA3" s="300"/>
      <c r="BB3" s="300"/>
      <c r="BC3" s="300"/>
      <c r="BD3" s="300"/>
      <c r="BE3" s="300"/>
      <c r="BF3" s="300"/>
      <c r="BG3" s="300"/>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row>
    <row r="4" spans="1:119" ht="15" customHeight="1" x14ac:dyDescent="0.25">
      <c r="A4" s="55"/>
      <c r="B4" s="450"/>
      <c r="C4" s="450"/>
      <c r="D4" s="450"/>
      <c r="E4" s="450"/>
      <c r="F4" s="450"/>
      <c r="G4" s="450"/>
      <c r="H4" s="450"/>
      <c r="I4" s="450"/>
      <c r="J4" s="300"/>
      <c r="K4" s="300"/>
      <c r="L4" s="300"/>
      <c r="M4" s="300"/>
      <c r="N4" s="300"/>
      <c r="O4" s="300"/>
      <c r="P4" s="300"/>
      <c r="Q4" s="300"/>
      <c r="R4" s="300"/>
      <c r="S4" s="300"/>
      <c r="T4" s="300"/>
      <c r="U4" s="300"/>
      <c r="V4" s="300"/>
      <c r="W4" s="300"/>
      <c r="X4" s="300"/>
      <c r="Y4" s="300"/>
      <c r="Z4" s="300"/>
      <c r="AA4" s="300"/>
      <c r="AB4" s="300"/>
      <c r="AC4" s="300"/>
      <c r="AD4" s="300"/>
      <c r="AE4" s="300"/>
      <c r="AF4" s="300"/>
      <c r="AG4" s="300"/>
      <c r="AH4" s="300"/>
      <c r="AI4" s="300"/>
      <c r="AJ4" s="300"/>
      <c r="AK4" s="300"/>
      <c r="AL4" s="300"/>
      <c r="AM4" s="300"/>
      <c r="AN4" s="300"/>
      <c r="AO4" s="300"/>
      <c r="AP4" s="300"/>
      <c r="AQ4" s="300"/>
      <c r="AR4" s="300"/>
      <c r="AS4" s="300"/>
      <c r="AT4" s="300"/>
      <c r="AU4" s="300"/>
      <c r="AV4" s="300"/>
      <c r="AW4" s="300"/>
      <c r="AX4" s="300"/>
      <c r="AY4" s="300"/>
      <c r="AZ4" s="300"/>
      <c r="BA4" s="300"/>
      <c r="BB4" s="300"/>
      <c r="BC4" s="300"/>
      <c r="BD4" s="300"/>
      <c r="BE4" s="300"/>
      <c r="BF4" s="300"/>
      <c r="BG4" s="300"/>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row>
    <row r="5" spans="1:119" ht="15.75" thickBot="1" x14ac:dyDescent="0.3">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row>
    <row r="6" spans="1:119" ht="15" customHeight="1" x14ac:dyDescent="0.25">
      <c r="A6" s="55"/>
      <c r="B6" s="301" t="s">
        <v>4</v>
      </c>
      <c r="C6" s="301"/>
      <c r="D6" s="302"/>
      <c r="E6" s="451" t="s">
        <v>107</v>
      </c>
      <c r="F6" s="452"/>
      <c r="G6" s="452"/>
      <c r="H6" s="452"/>
      <c r="I6" s="453"/>
      <c r="J6" s="460" t="str">
        <f>IF(AND('Mapa final'!$K$7="Muy Alta",'Mapa final'!$O$7="Leve"),CONCATENATE("R",'Mapa final'!$A$7),"")</f>
        <v/>
      </c>
      <c r="K6" s="461"/>
      <c r="L6" s="461" t="str">
        <f>IF(AND('Mapa final'!$K$10="Muy Alta",'Mapa final'!$O$10="Leve"),CONCATENATE("R",'Mapa final'!$A$10),"")</f>
        <v/>
      </c>
      <c r="M6" s="461"/>
      <c r="N6" s="461" t="str">
        <f>IF(AND('Mapa final'!$K$13="Muy Alta",'Mapa final'!$O$13="Leve"),CONCATENATE("R",'Mapa final'!$A$13),"")</f>
        <v/>
      </c>
      <c r="O6" s="461"/>
      <c r="P6" s="461" t="e">
        <f>IF(AND('Mapa final'!#REF!="Muy Alta",'Mapa final'!#REF!="Leve"),CONCATENATE("R",'Mapa final'!#REF!),"")</f>
        <v>#REF!</v>
      </c>
      <c r="Q6" s="461"/>
      <c r="R6" s="461" t="str">
        <f>IF(AND('Mapa final'!$K$16="Muy Alta",'Mapa final'!$O$16="Leve"),CONCATENATE("R",'Mapa final'!$A$16),"")</f>
        <v/>
      </c>
      <c r="S6" s="461"/>
      <c r="T6" s="479" t="str">
        <f>IF(AND('Mapa final'!$K$7="Muy Alta",'Mapa final'!$O$7="Menor"),CONCATENATE("R",'Mapa final'!$A$7),"")</f>
        <v/>
      </c>
      <c r="U6" s="480"/>
      <c r="V6" s="480" t="str">
        <f>IF(AND('Mapa final'!$K$10="Muy Alta",'Mapa final'!$O$10="Menor"),CONCATENATE("R",'Mapa final'!$A$10),"")</f>
        <v/>
      </c>
      <c r="W6" s="480"/>
      <c r="X6" s="480" t="str">
        <f>IF(AND('Mapa final'!$K$13="Muy Alta",'Mapa final'!$O$13="Menor"),CONCATENATE("R",'Mapa final'!$A$13),"")</f>
        <v/>
      </c>
      <c r="Y6" s="480"/>
      <c r="Z6" s="480" t="e">
        <f>IF(AND('Mapa final'!#REF!="Muy Alta",'Mapa final'!#REF!="Menor"),CONCATENATE("R",'Mapa final'!#REF!),"")</f>
        <v>#REF!</v>
      </c>
      <c r="AA6" s="480"/>
      <c r="AB6" s="480" t="str">
        <f>IF(AND('Mapa final'!$K$16="Muy Alta",'Mapa final'!$O$16="Menor"),CONCATENATE("R",'Mapa final'!$A$16),"")</f>
        <v/>
      </c>
      <c r="AC6" s="481"/>
      <c r="AD6" s="479" t="str">
        <f>IF(AND('Mapa final'!$K$7="Muy Alta",'Mapa final'!$O$7="Moderado"),CONCATENATE("R",'Mapa final'!$A$7),"")</f>
        <v/>
      </c>
      <c r="AE6" s="480"/>
      <c r="AF6" s="480" t="str">
        <f>IF(AND('Mapa final'!$K$10="Muy Alta",'Mapa final'!$O$10="Moderado"),CONCATENATE("R",'Mapa final'!$A$10),"")</f>
        <v/>
      </c>
      <c r="AG6" s="480"/>
      <c r="AH6" s="480" t="str">
        <f>IF(AND('Mapa final'!$K$13="Muy Alta",'Mapa final'!$O$13="Moderado"),CONCATENATE("R",'Mapa final'!$A$13),"")</f>
        <v/>
      </c>
      <c r="AI6" s="480"/>
      <c r="AJ6" s="480" t="e">
        <f>IF(AND('Mapa final'!#REF!="Muy Alta",'Mapa final'!#REF!="Moderado"),CONCATENATE("R",'Mapa final'!#REF!),"")</f>
        <v>#REF!</v>
      </c>
      <c r="AK6" s="480"/>
      <c r="AL6" s="480" t="str">
        <f>IF(AND('Mapa final'!$K$16="Muy Alta",'Mapa final'!$O$16="Moderado"),CONCATENATE("R",'Mapa final'!$A$16),"")</f>
        <v/>
      </c>
      <c r="AM6" s="481"/>
      <c r="AN6" s="479" t="str">
        <f>IF(AND('Mapa final'!$K$7="Muy Alta",'Mapa final'!$O$7="Mayor"),CONCATENATE("R",'Mapa final'!$A$7),"")</f>
        <v/>
      </c>
      <c r="AO6" s="480"/>
      <c r="AP6" s="480" t="str">
        <f>IF(AND('Mapa final'!$K$10="Muy Alta",'Mapa final'!$O$10="Mayor"),CONCATENATE("R",'Mapa final'!$A$10),"")</f>
        <v/>
      </c>
      <c r="AQ6" s="480"/>
      <c r="AR6" s="480" t="str">
        <f>IF(AND('Mapa final'!$K$13="Muy Alta",'Mapa final'!$O$13="Mayor"),CONCATENATE("R",'Mapa final'!$A$13),"")</f>
        <v/>
      </c>
      <c r="AS6" s="480"/>
      <c r="AT6" s="480" t="e">
        <f>IF(AND('Mapa final'!#REF!="Muy Alta",'Mapa final'!#REF!="Mayor"),CONCATENATE("R",'Mapa final'!#REF!),"")</f>
        <v>#REF!</v>
      </c>
      <c r="AU6" s="480"/>
      <c r="AV6" s="480" t="str">
        <f>IF(AND('Mapa final'!$K$16="Muy Alta",'Mapa final'!$O$16="Mayor"),CONCATENATE("R",'Mapa final'!$A$16),"")</f>
        <v/>
      </c>
      <c r="AW6" s="481"/>
      <c r="AX6" s="471" t="str">
        <f>IF(AND('Mapa final'!$K$7="Muy Alta",'Mapa final'!$O$7="Catastrófico"),CONCATENATE("R",'Mapa final'!$A$7),"")</f>
        <v/>
      </c>
      <c r="AY6" s="472"/>
      <c r="AZ6" s="472" t="str">
        <f>IF(AND('Mapa final'!$K$10="Muy Alta",'Mapa final'!$O$10="Catastrófico"),CONCATENATE("R",'Mapa final'!$A$10),"")</f>
        <v/>
      </c>
      <c r="BA6" s="472"/>
      <c r="BB6" s="472" t="str">
        <f>IF(AND('Mapa final'!$K$13="Muy Alta",'Mapa final'!$O$13="Catastrófico"),CONCATENATE("R",'Mapa final'!$A$13),"")</f>
        <v/>
      </c>
      <c r="BC6" s="472"/>
      <c r="BD6" s="472" t="e">
        <f>IF(AND('Mapa final'!#REF!="Muy Alta",'Mapa final'!#REF!="Catastrófico"),CONCATENATE("R",'Mapa final'!#REF!),"")</f>
        <v>#REF!</v>
      </c>
      <c r="BE6" s="472"/>
      <c r="BF6" s="472" t="str">
        <f>IF(AND('Mapa final'!$K$16="Muy Alta",'Mapa final'!$O$16="Catastrófico"),CONCATENATE("R",'Mapa final'!$A$16),"")</f>
        <v/>
      </c>
      <c r="BG6" s="473"/>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row>
    <row r="7" spans="1:119" ht="15" customHeight="1" x14ac:dyDescent="0.25">
      <c r="A7" s="55"/>
      <c r="B7" s="301"/>
      <c r="C7" s="301"/>
      <c r="D7" s="302"/>
      <c r="E7" s="454"/>
      <c r="F7" s="455"/>
      <c r="G7" s="455"/>
      <c r="H7" s="455"/>
      <c r="I7" s="456"/>
      <c r="J7" s="462"/>
      <c r="K7" s="436"/>
      <c r="L7" s="436"/>
      <c r="M7" s="436"/>
      <c r="N7" s="436"/>
      <c r="O7" s="436"/>
      <c r="P7" s="436"/>
      <c r="Q7" s="436"/>
      <c r="R7" s="436"/>
      <c r="S7" s="436"/>
      <c r="T7" s="476"/>
      <c r="U7" s="436"/>
      <c r="V7" s="436"/>
      <c r="W7" s="436"/>
      <c r="X7" s="436"/>
      <c r="Y7" s="436"/>
      <c r="Z7" s="436"/>
      <c r="AA7" s="436"/>
      <c r="AB7" s="436"/>
      <c r="AC7" s="475"/>
      <c r="AD7" s="476"/>
      <c r="AE7" s="436"/>
      <c r="AF7" s="436"/>
      <c r="AG7" s="436"/>
      <c r="AH7" s="436"/>
      <c r="AI7" s="436"/>
      <c r="AJ7" s="436"/>
      <c r="AK7" s="436"/>
      <c r="AL7" s="436"/>
      <c r="AM7" s="475"/>
      <c r="AN7" s="476"/>
      <c r="AO7" s="436"/>
      <c r="AP7" s="436"/>
      <c r="AQ7" s="436"/>
      <c r="AR7" s="436"/>
      <c r="AS7" s="436"/>
      <c r="AT7" s="436"/>
      <c r="AU7" s="436"/>
      <c r="AV7" s="436"/>
      <c r="AW7" s="475"/>
      <c r="AX7" s="467"/>
      <c r="AY7" s="465"/>
      <c r="AZ7" s="465"/>
      <c r="BA7" s="465"/>
      <c r="BB7" s="465"/>
      <c r="BC7" s="465"/>
      <c r="BD7" s="465"/>
      <c r="BE7" s="465"/>
      <c r="BF7" s="465"/>
      <c r="BG7" s="466"/>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row>
    <row r="8" spans="1:119" ht="15" customHeight="1" x14ac:dyDescent="0.25">
      <c r="A8" s="55"/>
      <c r="B8" s="301"/>
      <c r="C8" s="301"/>
      <c r="D8" s="302"/>
      <c r="E8" s="454"/>
      <c r="F8" s="455"/>
      <c r="G8" s="455"/>
      <c r="H8" s="455"/>
      <c r="I8" s="456"/>
      <c r="J8" s="462" t="str">
        <f>IF(AND('Mapa final'!$K$19="Muy Alta",'Mapa final'!$O$19="Leve"),CONCATENATE("R",'Mapa final'!$A$19),"")</f>
        <v/>
      </c>
      <c r="K8" s="436"/>
      <c r="L8" s="436" t="str">
        <f>IF(AND('Mapa final'!$K$22="Muy Alta",'Mapa final'!$O$22="Leve"),CONCATENATE("R",'Mapa final'!$A$22),"")</f>
        <v/>
      </c>
      <c r="M8" s="436"/>
      <c r="N8" s="436" t="str">
        <f>IF(AND('Mapa final'!$K$25="Muy Alta",'Mapa final'!$O$25="Leve"),CONCATENATE("R",'Mapa final'!$A$25),"")</f>
        <v/>
      </c>
      <c r="O8" s="436"/>
      <c r="P8" s="436" t="str">
        <f>IF(AND('Mapa final'!$K$28="Muy Alta",'Mapa final'!$O$28="Leve"),CONCATENATE("R",'Mapa final'!$A$28),"")</f>
        <v/>
      </c>
      <c r="Q8" s="436"/>
      <c r="R8" s="436" t="str">
        <f>IF(AND('Mapa final'!$K$31="Muy Alta",'Mapa final'!$O$31="Leve"),CONCATENATE("R",'Mapa final'!$A$31),"")</f>
        <v/>
      </c>
      <c r="S8" s="436"/>
      <c r="T8" s="476" t="str">
        <f>IF(AND('Mapa final'!$K$19="Muy Alta",'Mapa final'!$O$19="Menor"),CONCATENATE("R",'Mapa final'!$A$19),"")</f>
        <v/>
      </c>
      <c r="U8" s="436"/>
      <c r="V8" s="436" t="str">
        <f>IF(AND('Mapa final'!$K$22="Muy Alta",'Mapa final'!$O$22="Menor"),CONCATENATE("R",'Mapa final'!$A$22),"")</f>
        <v/>
      </c>
      <c r="W8" s="436"/>
      <c r="X8" s="436" t="str">
        <f>IF(AND('Mapa final'!$K$25="Muy Alta",'Mapa final'!$O$25="Menor"),CONCATENATE("R",'Mapa final'!$A$25),"")</f>
        <v/>
      </c>
      <c r="Y8" s="436"/>
      <c r="Z8" s="436" t="str">
        <f>IF(AND('Mapa final'!$K$28="Muy Alta",'Mapa final'!$O$28="Menor"),CONCATENATE("R",'Mapa final'!$A$28),"")</f>
        <v/>
      </c>
      <c r="AA8" s="436"/>
      <c r="AB8" s="436" t="str">
        <f>IF(AND('Mapa final'!$K$31="Muy Alta",'Mapa final'!$O$31="Menor"),CONCATENATE("R",'Mapa final'!$A$31),"")</f>
        <v/>
      </c>
      <c r="AC8" s="475"/>
      <c r="AD8" s="476" t="str">
        <f>IF(AND('Mapa final'!$K$19="Muy Alta",'Mapa final'!$O$19="Moderado"),CONCATENATE("R",'Mapa final'!$A$19),"")</f>
        <v/>
      </c>
      <c r="AE8" s="436"/>
      <c r="AF8" s="436" t="str">
        <f>IF(AND('Mapa final'!$K$22="Muy Alta",'Mapa final'!$O$22="Moderado"),CONCATENATE("R",'Mapa final'!$A$22),"")</f>
        <v/>
      </c>
      <c r="AG8" s="436"/>
      <c r="AH8" s="436" t="str">
        <f>IF(AND('Mapa final'!$K$25="Muy Alta",'Mapa final'!$O$25="Moderado"),CONCATENATE("R",'Mapa final'!$A$25),"")</f>
        <v/>
      </c>
      <c r="AI8" s="436"/>
      <c r="AJ8" s="436" t="str">
        <f>IF(AND('Mapa final'!$K$28="Muy Alta",'Mapa final'!$O$28="Moderado"),CONCATENATE("R",'Mapa final'!$A$28),"")</f>
        <v/>
      </c>
      <c r="AK8" s="436"/>
      <c r="AL8" s="436" t="str">
        <f>IF(AND('Mapa final'!$K$31="Muy Alta",'Mapa final'!$O$31="Moderado"),CONCATENATE("R",'Mapa final'!$A$31),"")</f>
        <v/>
      </c>
      <c r="AM8" s="475"/>
      <c r="AN8" s="476" t="str">
        <f>IF(AND('Mapa final'!$K$19="Muy Alta",'Mapa final'!$O$19="Mayor"),CONCATENATE("R",'Mapa final'!$A$19),"")</f>
        <v/>
      </c>
      <c r="AO8" s="436"/>
      <c r="AP8" s="436" t="str">
        <f>IF(AND('Mapa final'!$K$22="Muy Alta",'Mapa final'!$O$22="Mayor"),CONCATENATE("R",'Mapa final'!$A$22),"")</f>
        <v/>
      </c>
      <c r="AQ8" s="436"/>
      <c r="AR8" s="436" t="str">
        <f>IF(AND('Mapa final'!$K$25="Muy Alta",'Mapa final'!$O$25="Mayor"),CONCATENATE("R",'Mapa final'!$A$25),"")</f>
        <v/>
      </c>
      <c r="AS8" s="436"/>
      <c r="AT8" s="436" t="str">
        <f>IF(AND('Mapa final'!$K$28="Muy Alta",'Mapa final'!$O$28="Mayor"),CONCATENATE("R",'Mapa final'!$A$28),"")</f>
        <v/>
      </c>
      <c r="AU8" s="436"/>
      <c r="AV8" s="436" t="str">
        <f>IF(AND('Mapa final'!$K$31="Muy Alta",'Mapa final'!$O$31="Mayor"),CONCATENATE("R",'Mapa final'!$A$31),"")</f>
        <v/>
      </c>
      <c r="AW8" s="475"/>
      <c r="AX8" s="467" t="str">
        <f>IF(AND('Mapa final'!$K$19="Muy Alta",'Mapa final'!$O$19="Catastrófico"),CONCATENATE("R",'Mapa final'!$A$19),"")</f>
        <v/>
      </c>
      <c r="AY8" s="465"/>
      <c r="AZ8" s="465" t="str">
        <f>IF(AND('Mapa final'!$K$22="Muy Alta",'Mapa final'!$O$22="Catastrófico"),CONCATENATE("R",'Mapa final'!$A$22),"")</f>
        <v/>
      </c>
      <c r="BA8" s="465"/>
      <c r="BB8" s="465" t="str">
        <f>IF(AND('Mapa final'!$K$25="Muy Alta",'Mapa final'!$O$25="Catastrófico"),CONCATENATE("R",'Mapa final'!$A$25),"")</f>
        <v/>
      </c>
      <c r="BC8" s="465"/>
      <c r="BD8" s="465" t="str">
        <f>IF(AND('Mapa final'!$K$28="Muy Alta",'Mapa final'!$O$28="Catastrófico"),CONCATENATE("R",'Mapa final'!$A$28),"")</f>
        <v/>
      </c>
      <c r="BE8" s="465"/>
      <c r="BF8" s="465" t="str">
        <f>IF(AND('Mapa final'!$K$31="Muy Alta",'Mapa final'!$O$31="Catastrófico"),CONCATENATE("R",'Mapa final'!$A$31),"")</f>
        <v/>
      </c>
      <c r="BG8" s="466"/>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row>
    <row r="9" spans="1:119" ht="15" customHeight="1" x14ac:dyDescent="0.25">
      <c r="A9" s="55"/>
      <c r="B9" s="301"/>
      <c r="C9" s="301"/>
      <c r="D9" s="302"/>
      <c r="E9" s="454"/>
      <c r="F9" s="455"/>
      <c r="G9" s="455"/>
      <c r="H9" s="455"/>
      <c r="I9" s="456"/>
      <c r="J9" s="462"/>
      <c r="K9" s="436"/>
      <c r="L9" s="436"/>
      <c r="M9" s="436"/>
      <c r="N9" s="436"/>
      <c r="O9" s="436"/>
      <c r="P9" s="436"/>
      <c r="Q9" s="436"/>
      <c r="R9" s="436"/>
      <c r="S9" s="436"/>
      <c r="T9" s="476"/>
      <c r="U9" s="436"/>
      <c r="V9" s="436"/>
      <c r="W9" s="436"/>
      <c r="X9" s="436"/>
      <c r="Y9" s="436"/>
      <c r="Z9" s="436"/>
      <c r="AA9" s="436"/>
      <c r="AB9" s="436"/>
      <c r="AC9" s="475"/>
      <c r="AD9" s="476"/>
      <c r="AE9" s="436"/>
      <c r="AF9" s="436"/>
      <c r="AG9" s="436"/>
      <c r="AH9" s="436"/>
      <c r="AI9" s="436"/>
      <c r="AJ9" s="436"/>
      <c r="AK9" s="436"/>
      <c r="AL9" s="436"/>
      <c r="AM9" s="475"/>
      <c r="AN9" s="476"/>
      <c r="AO9" s="436"/>
      <c r="AP9" s="436"/>
      <c r="AQ9" s="436"/>
      <c r="AR9" s="436"/>
      <c r="AS9" s="436"/>
      <c r="AT9" s="436"/>
      <c r="AU9" s="436"/>
      <c r="AV9" s="436"/>
      <c r="AW9" s="475"/>
      <c r="AX9" s="467"/>
      <c r="AY9" s="465"/>
      <c r="AZ9" s="465"/>
      <c r="BA9" s="465"/>
      <c r="BB9" s="465"/>
      <c r="BC9" s="465"/>
      <c r="BD9" s="465"/>
      <c r="BE9" s="465"/>
      <c r="BF9" s="465"/>
      <c r="BG9" s="466"/>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row>
    <row r="10" spans="1:119" ht="15" customHeight="1" x14ac:dyDescent="0.25">
      <c r="A10" s="55"/>
      <c r="B10" s="301"/>
      <c r="C10" s="301"/>
      <c r="D10" s="302"/>
      <c r="E10" s="454"/>
      <c r="F10" s="455"/>
      <c r="G10" s="455"/>
      <c r="H10" s="455"/>
      <c r="I10" s="456"/>
      <c r="J10" s="462" t="str">
        <f>IF(AND('Mapa final'!$K$34="Muy Alta",'Mapa final'!$O$34="Leve"),CONCATENATE("R",'Mapa final'!$A$34),"")</f>
        <v/>
      </c>
      <c r="K10" s="436"/>
      <c r="L10" s="436" t="str">
        <f>IF(AND('Mapa final'!$K$37="Muy Alta",'Mapa final'!$O$37="Leve"),CONCATENATE("R",'Mapa final'!$A$37),"")</f>
        <v/>
      </c>
      <c r="M10" s="436"/>
      <c r="N10" s="436" t="str">
        <f>IF(AND('Mapa final'!$K$40="Muy Alta",'Mapa final'!$O$40="Leve"),CONCATENATE("R",'Mapa final'!$A$40),"")</f>
        <v/>
      </c>
      <c r="O10" s="436"/>
      <c r="P10" s="436" t="str">
        <f>IF(AND('Mapa final'!$K$43="Muy Alta",'Mapa final'!$O$43="Leve"),CONCATENATE("R",'Mapa final'!$A$43),"")</f>
        <v/>
      </c>
      <c r="Q10" s="436"/>
      <c r="R10" s="436" t="str">
        <f>IF(AND('Mapa final'!$K$46="Muy Alta",'Mapa final'!$O$46="Leve"),CONCATENATE("R",'Mapa final'!$A$46),"")</f>
        <v/>
      </c>
      <c r="S10" s="436"/>
      <c r="T10" s="476" t="str">
        <f>IF(AND('Mapa final'!$K$34="Muy Alta",'Mapa final'!$O$34="Menor"),CONCATENATE("R",'Mapa final'!$A$34),"")</f>
        <v/>
      </c>
      <c r="U10" s="436"/>
      <c r="V10" s="436" t="str">
        <f>IF(AND('Mapa final'!$K$37="Muy Alta",'Mapa final'!$O$37="Menor"),CONCATENATE("R",'Mapa final'!$A$37),"")</f>
        <v/>
      </c>
      <c r="W10" s="436"/>
      <c r="X10" s="436" t="str">
        <f>IF(AND('Mapa final'!$K$40="Muy Alta",'Mapa final'!$O$40="Menor"),CONCATENATE("R",'Mapa final'!$A$40),"")</f>
        <v/>
      </c>
      <c r="Y10" s="436"/>
      <c r="Z10" s="436" t="str">
        <f>IF(AND('Mapa final'!$K$43="Muy Alta",'Mapa final'!$O$43="Menor"),CONCATENATE("R",'Mapa final'!$A$43),"")</f>
        <v/>
      </c>
      <c r="AA10" s="436"/>
      <c r="AB10" s="436" t="str">
        <f>IF(AND('Mapa final'!$K$46="Muy Alta",'Mapa final'!$O$46="Menor"),CONCATENATE("R",'Mapa final'!$A$46),"")</f>
        <v/>
      </c>
      <c r="AC10" s="475"/>
      <c r="AD10" s="476" t="str">
        <f>IF(AND('Mapa final'!$K$34="Muy Alta",'Mapa final'!$O$34="Moderado"),CONCATENATE("R",'Mapa final'!$A$34),"")</f>
        <v/>
      </c>
      <c r="AE10" s="436"/>
      <c r="AF10" s="436" t="str">
        <f>IF(AND('Mapa final'!$K$37="Muy Alta",'Mapa final'!$O$37="Moderado"),CONCATENATE("R",'Mapa final'!$A$37),"")</f>
        <v/>
      </c>
      <c r="AG10" s="436"/>
      <c r="AH10" s="436" t="str">
        <f>IF(AND('Mapa final'!$K$40="Muy Alta",'Mapa final'!$O$40="Moderado"),CONCATENATE("R",'Mapa final'!$A$40),"")</f>
        <v/>
      </c>
      <c r="AI10" s="436"/>
      <c r="AJ10" s="436" t="str">
        <f>IF(AND('Mapa final'!$K$43="Muy Alta",'Mapa final'!$O$43="Moderado"),CONCATENATE("R",'Mapa final'!$A$43),"")</f>
        <v/>
      </c>
      <c r="AK10" s="436"/>
      <c r="AL10" s="436" t="str">
        <f>IF(AND('Mapa final'!$K$46="Muy Alta",'Mapa final'!$O$46="Moderado"),CONCATENATE("R",'Mapa final'!$A$46),"")</f>
        <v/>
      </c>
      <c r="AM10" s="475"/>
      <c r="AN10" s="476" t="str">
        <f>IF(AND('Mapa final'!$K$34="Muy Alta",'Mapa final'!$O$34="Mayor"),CONCATENATE("R",'Mapa final'!$A$34),"")</f>
        <v/>
      </c>
      <c r="AO10" s="436"/>
      <c r="AP10" s="436" t="str">
        <f>IF(AND('Mapa final'!$K$37="Muy Alta",'Mapa final'!$O$37="Mayor"),CONCATENATE("R",'Mapa final'!$A$37),"")</f>
        <v/>
      </c>
      <c r="AQ10" s="436"/>
      <c r="AR10" s="436" t="str">
        <f>IF(AND('Mapa final'!$K$40="Muy Alta",'Mapa final'!$O$40="Mayor"),CONCATENATE("R",'Mapa final'!$A$40),"")</f>
        <v/>
      </c>
      <c r="AS10" s="436"/>
      <c r="AT10" s="436" t="str">
        <f>IF(AND('Mapa final'!$K$43="Muy Alta",'Mapa final'!$O$43="Mayor"),CONCATENATE("R",'Mapa final'!$A$43),"")</f>
        <v/>
      </c>
      <c r="AU10" s="436"/>
      <c r="AV10" s="436" t="str">
        <f>IF(AND('Mapa final'!$K$46="Muy Alta",'Mapa final'!$O$46="Mayor"),CONCATENATE("R",'Mapa final'!$A$46),"")</f>
        <v/>
      </c>
      <c r="AW10" s="475"/>
      <c r="AX10" s="467" t="str">
        <f>IF(AND('Mapa final'!$K$34="Muy Alta",'Mapa final'!$O$34="Catastrófico"),CONCATENATE("R",'Mapa final'!$A$34),"")</f>
        <v/>
      </c>
      <c r="AY10" s="465"/>
      <c r="AZ10" s="465" t="str">
        <f>IF(AND('Mapa final'!$K$37="Muy Alta",'Mapa final'!$O$37="Catastrófico"),CONCATENATE("R",'Mapa final'!$A$37),"")</f>
        <v/>
      </c>
      <c r="BA10" s="465"/>
      <c r="BB10" s="465" t="str">
        <f>IF(AND('Mapa final'!$K$40="Muy Alta",'Mapa final'!$O$40="Catastrófico"),CONCATENATE("R",'Mapa final'!$A$40),"")</f>
        <v/>
      </c>
      <c r="BC10" s="465"/>
      <c r="BD10" s="465" t="str">
        <f>IF(AND('Mapa final'!$K$43="Muy Alta",'Mapa final'!$O$43="Catastrófico"),CONCATENATE("R",'Mapa final'!$A$43),"")</f>
        <v/>
      </c>
      <c r="BE10" s="465"/>
      <c r="BF10" s="465" t="str">
        <f>IF(AND('Mapa final'!$K$46="Muy Alta",'Mapa final'!$O$46="Catastrófico"),CONCATENATE("R",'Mapa final'!$A$46),"")</f>
        <v/>
      </c>
      <c r="BG10" s="466"/>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row>
    <row r="11" spans="1:119" ht="15" customHeight="1" x14ac:dyDescent="0.25">
      <c r="A11" s="55"/>
      <c r="B11" s="301"/>
      <c r="C11" s="301"/>
      <c r="D11" s="302"/>
      <c r="E11" s="454"/>
      <c r="F11" s="455"/>
      <c r="G11" s="455"/>
      <c r="H11" s="455"/>
      <c r="I11" s="456"/>
      <c r="J11" s="462"/>
      <c r="K11" s="436"/>
      <c r="L11" s="436"/>
      <c r="M11" s="436"/>
      <c r="N11" s="436"/>
      <c r="O11" s="436"/>
      <c r="P11" s="436"/>
      <c r="Q11" s="436"/>
      <c r="R11" s="436"/>
      <c r="S11" s="436"/>
      <c r="T11" s="476"/>
      <c r="U11" s="436"/>
      <c r="V11" s="436"/>
      <c r="W11" s="436"/>
      <c r="X11" s="436"/>
      <c r="Y11" s="436"/>
      <c r="Z11" s="436"/>
      <c r="AA11" s="436"/>
      <c r="AB11" s="436"/>
      <c r="AC11" s="475"/>
      <c r="AD11" s="476"/>
      <c r="AE11" s="436"/>
      <c r="AF11" s="436"/>
      <c r="AG11" s="436"/>
      <c r="AH11" s="436"/>
      <c r="AI11" s="436"/>
      <c r="AJ11" s="436"/>
      <c r="AK11" s="436"/>
      <c r="AL11" s="436"/>
      <c r="AM11" s="475"/>
      <c r="AN11" s="476"/>
      <c r="AO11" s="436"/>
      <c r="AP11" s="436"/>
      <c r="AQ11" s="436"/>
      <c r="AR11" s="436"/>
      <c r="AS11" s="436"/>
      <c r="AT11" s="436"/>
      <c r="AU11" s="436"/>
      <c r="AV11" s="436"/>
      <c r="AW11" s="475"/>
      <c r="AX11" s="467"/>
      <c r="AY11" s="465"/>
      <c r="AZ11" s="465"/>
      <c r="BA11" s="465"/>
      <c r="BB11" s="465"/>
      <c r="BC11" s="465"/>
      <c r="BD11" s="465"/>
      <c r="BE11" s="465"/>
      <c r="BF11" s="465"/>
      <c r="BG11" s="466"/>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row>
    <row r="12" spans="1:119" ht="15" customHeight="1" x14ac:dyDescent="0.25">
      <c r="A12" s="55"/>
      <c r="B12" s="301"/>
      <c r="C12" s="301"/>
      <c r="D12" s="302"/>
      <c r="E12" s="454"/>
      <c r="F12" s="455"/>
      <c r="G12" s="455"/>
      <c r="H12" s="455"/>
      <c r="I12" s="456"/>
      <c r="J12" s="436" t="str">
        <f>IF(AND('Mapa final'!$K$49="Muy Alta",'Mapa final'!$O$49="Leve"),CONCATENATE("R",'Mapa final'!$A$49),"")</f>
        <v/>
      </c>
      <c r="K12" s="436"/>
      <c r="L12" s="436" t="str">
        <f>IF(AND('Mapa final'!$K$52="Muy Alta",'Mapa final'!$O$52="Leve"),CONCATENATE("R",'Mapa final'!$A$52),"")</f>
        <v/>
      </c>
      <c r="M12" s="436"/>
      <c r="N12" s="436" t="str">
        <f>IF(AND('Mapa final'!$K$55="Muy Alta",'Mapa final'!$O$55="Leve"),CONCATENATE("R",'Mapa final'!$A$55),"")</f>
        <v/>
      </c>
      <c r="O12" s="436"/>
      <c r="P12" s="436" t="str">
        <f>IF(AND('Mapa final'!$K$58="Muy Alta",'Mapa final'!$O$58="Leve"),CONCATENATE("R",'Mapa final'!$A$58),"")</f>
        <v/>
      </c>
      <c r="Q12" s="436"/>
      <c r="R12" s="436" t="str">
        <f>IF(AND('Mapa final'!$K$61="Muy Alta",'Mapa final'!$O$61="Leve"),CONCATENATE("R",'Mapa final'!$A$61),"")</f>
        <v/>
      </c>
      <c r="S12" s="436"/>
      <c r="T12" s="476" t="str">
        <f>IF(AND('Mapa final'!$K$49="Muy Alta",'Mapa final'!$O$49="Menor"),CONCATENATE("R",'Mapa final'!$A$49),"")</f>
        <v/>
      </c>
      <c r="U12" s="436"/>
      <c r="V12" s="436" t="str">
        <f>IF(AND('Mapa final'!$K$52="Muy Alta",'Mapa final'!$O$52="Menor"),CONCATENATE("R",'Mapa final'!$A$52),"")</f>
        <v/>
      </c>
      <c r="W12" s="436"/>
      <c r="X12" s="436" t="str">
        <f>IF(AND('Mapa final'!$K$55="Muy Alta",'Mapa final'!$O$55="Menor"),CONCATENATE("R",'Mapa final'!$A$55),"")</f>
        <v/>
      </c>
      <c r="Y12" s="436"/>
      <c r="Z12" s="436" t="str">
        <f>IF(AND('Mapa final'!$K$58="Muy Alta",'Mapa final'!$O$58="Menor"),CONCATENATE("R",'Mapa final'!$A$58),"")</f>
        <v/>
      </c>
      <c r="AA12" s="436"/>
      <c r="AB12" s="436" t="str">
        <f>IF(AND('Mapa final'!$K$61="Muy Alta",'Mapa final'!$O$61="Menor"),CONCATENATE("R",'Mapa final'!$A$61),"")</f>
        <v/>
      </c>
      <c r="AC12" s="475"/>
      <c r="AD12" s="476" t="str">
        <f>IF(AND('Mapa final'!$K$49="Muy Alta",'Mapa final'!$O$49="Moderado"),CONCATENATE("R",'Mapa final'!$A$49),"")</f>
        <v/>
      </c>
      <c r="AE12" s="436"/>
      <c r="AF12" s="436" t="str">
        <f>IF(AND('Mapa final'!$K$52="Muy Alta",'Mapa final'!$O$52="Moderado"),CONCATENATE("R",'Mapa final'!$A$52),"")</f>
        <v/>
      </c>
      <c r="AG12" s="436"/>
      <c r="AH12" s="436" t="str">
        <f>IF(AND('Mapa final'!$K$55="Muy Alta",'Mapa final'!$O$55="Moderado"),CONCATENATE("R",'Mapa final'!$A$55),"")</f>
        <v/>
      </c>
      <c r="AI12" s="436"/>
      <c r="AJ12" s="436" t="str">
        <f>IF(AND('Mapa final'!$K$58="Muy Alta",'Mapa final'!$O$58="Moderado"),CONCATENATE("R",'Mapa final'!$A$58),"")</f>
        <v/>
      </c>
      <c r="AK12" s="436"/>
      <c r="AL12" s="436" t="str">
        <f>IF(AND('Mapa final'!$K$61="Muy Alta",'Mapa final'!$O$61="Moderado"),CONCATENATE("R",'Mapa final'!$A$61),"")</f>
        <v/>
      </c>
      <c r="AM12" s="475"/>
      <c r="AN12" s="476" t="str">
        <f>IF(AND('Mapa final'!$K$49="Muy Alta",'Mapa final'!$O$49="Mayor"),CONCATENATE("R",'Mapa final'!$A$49),"")</f>
        <v/>
      </c>
      <c r="AO12" s="436"/>
      <c r="AP12" s="436" t="str">
        <f>IF(AND('Mapa final'!$K$52="Muy Alta",'Mapa final'!$O$52="Mayor"),CONCATENATE("R",'Mapa final'!$A$52),"")</f>
        <v>R16</v>
      </c>
      <c r="AQ12" s="436"/>
      <c r="AR12" s="436" t="str">
        <f>IF(AND('Mapa final'!$K$55="Muy Alta",'Mapa final'!$O$55="Mayor"),CONCATENATE("R",'Mapa final'!$A$55),"")</f>
        <v/>
      </c>
      <c r="AS12" s="436"/>
      <c r="AT12" s="436" t="str">
        <f>IF(AND('Mapa final'!$K$58="Muy Alta",'Mapa final'!$O$58="Mayor"),CONCATENATE("R",'Mapa final'!$A$58),"")</f>
        <v/>
      </c>
      <c r="AU12" s="436"/>
      <c r="AV12" s="436" t="str">
        <f>IF(AND('Mapa final'!$K$61="Muy Alta",'Mapa final'!$O$61="Mayor"),CONCATENATE("R",'Mapa final'!$A$61),"")</f>
        <v/>
      </c>
      <c r="AW12" s="475"/>
      <c r="AX12" s="467" t="str">
        <f>IF(AND('Mapa final'!$K$49="Muy Alta",'Mapa final'!$O$49="Catastrófico"),CONCATENATE("R",'Mapa final'!$A$49),"")</f>
        <v/>
      </c>
      <c r="AY12" s="465"/>
      <c r="AZ12" s="465" t="str">
        <f>IF(AND('Mapa final'!$K$52="Muy Alta",'Mapa final'!$O$52="Catastrófico"),CONCATENATE("R",'Mapa final'!$A$52),"")</f>
        <v/>
      </c>
      <c r="BA12" s="465"/>
      <c r="BB12" s="465" t="str">
        <f>IF(AND('Mapa final'!$K$55="Muy Alta",'Mapa final'!$O$55="Catastrófico"),CONCATENATE("R",'Mapa final'!$A$55),"")</f>
        <v/>
      </c>
      <c r="BC12" s="465"/>
      <c r="BD12" s="465" t="str">
        <f>IF(AND('Mapa final'!$K$58="Muy Alta",'Mapa final'!$O$58="Catastrófico"),CONCATENATE("R",'Mapa final'!$A$58),"")</f>
        <v/>
      </c>
      <c r="BE12" s="465"/>
      <c r="BF12" s="465" t="str">
        <f>IF(AND('Mapa final'!$K$61="Muy Alta",'Mapa final'!$O$61="Catastrófico"),CONCATENATE("R",'Mapa final'!$A$61),"")</f>
        <v/>
      </c>
      <c r="BG12" s="466"/>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row>
    <row r="13" spans="1:119" ht="15" customHeight="1" thickBot="1" x14ac:dyDescent="0.3">
      <c r="A13" s="55"/>
      <c r="B13" s="301"/>
      <c r="C13" s="301"/>
      <c r="D13" s="302"/>
      <c r="E13" s="454"/>
      <c r="F13" s="455"/>
      <c r="G13" s="455"/>
      <c r="H13" s="455"/>
      <c r="I13" s="456"/>
      <c r="J13" s="436"/>
      <c r="K13" s="436"/>
      <c r="L13" s="436"/>
      <c r="M13" s="436"/>
      <c r="N13" s="436"/>
      <c r="O13" s="436"/>
      <c r="P13" s="436"/>
      <c r="Q13" s="436"/>
      <c r="R13" s="436"/>
      <c r="S13" s="436"/>
      <c r="T13" s="476"/>
      <c r="U13" s="436"/>
      <c r="V13" s="436"/>
      <c r="W13" s="436"/>
      <c r="X13" s="436"/>
      <c r="Y13" s="436"/>
      <c r="Z13" s="436"/>
      <c r="AA13" s="436"/>
      <c r="AB13" s="436"/>
      <c r="AC13" s="475"/>
      <c r="AD13" s="476"/>
      <c r="AE13" s="436"/>
      <c r="AF13" s="436"/>
      <c r="AG13" s="436"/>
      <c r="AH13" s="436"/>
      <c r="AI13" s="436"/>
      <c r="AJ13" s="436"/>
      <c r="AK13" s="436"/>
      <c r="AL13" s="436"/>
      <c r="AM13" s="475"/>
      <c r="AN13" s="476"/>
      <c r="AO13" s="436"/>
      <c r="AP13" s="436"/>
      <c r="AQ13" s="436"/>
      <c r="AR13" s="436"/>
      <c r="AS13" s="436"/>
      <c r="AT13" s="436"/>
      <c r="AU13" s="436"/>
      <c r="AV13" s="436"/>
      <c r="AW13" s="475"/>
      <c r="AX13" s="467"/>
      <c r="AY13" s="465"/>
      <c r="AZ13" s="465"/>
      <c r="BA13" s="465"/>
      <c r="BB13" s="465"/>
      <c r="BC13" s="465"/>
      <c r="BD13" s="465"/>
      <c r="BE13" s="465"/>
      <c r="BF13" s="465"/>
      <c r="BG13" s="466"/>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row>
    <row r="14" spans="1:119" ht="15" customHeight="1" x14ac:dyDescent="0.25">
      <c r="A14" s="55"/>
      <c r="B14" s="301"/>
      <c r="C14" s="301"/>
      <c r="D14" s="302"/>
      <c r="E14" s="454"/>
      <c r="F14" s="455"/>
      <c r="G14" s="455"/>
      <c r="H14" s="455"/>
      <c r="I14" s="456"/>
      <c r="J14" s="436" t="str">
        <f>IF(AND('Mapa final'!$K$64="Muy Alta",'Mapa final'!$O$64="Leve"),CONCATENATE("R",'Mapa final'!$A$64),"")</f>
        <v/>
      </c>
      <c r="K14" s="436"/>
      <c r="L14" s="436" t="str">
        <f>IF(AND('Mapa final'!$K$67="Muy Alta",'Mapa final'!$O$67="Leve"),CONCATENATE("R",'Mapa final'!$A$67),"")</f>
        <v/>
      </c>
      <c r="M14" s="436"/>
      <c r="N14" s="436" t="str">
        <f>IF(AND('Mapa final'!$K$73="Muy Alta",'Mapa final'!$O$73="Leve"),CONCATENATE("R",'Mapa final'!$A$73),"")</f>
        <v/>
      </c>
      <c r="O14" s="436"/>
      <c r="P14" s="436" t="str">
        <f>IF(AND('Mapa final'!$K$76="Muy Alta",'Mapa final'!$O$76="Leve"),CONCATENATE("R",'Mapa final'!$A$76),"")</f>
        <v/>
      </c>
      <c r="Q14" s="436"/>
      <c r="R14" s="436" t="str">
        <f>IF(AND('Mapa final'!$K$79="Muy Alta",'Mapa final'!$O$79="Leve"),CONCATENATE("R",'Mapa final'!$A$79),"")</f>
        <v/>
      </c>
      <c r="S14" s="436"/>
      <c r="T14" s="476" t="str">
        <f>IF(AND('Mapa final'!$K$64="Muy Alta",'Mapa final'!$O$64="Menor"),CONCATENATE("R",'Mapa final'!$A$64),"")</f>
        <v/>
      </c>
      <c r="U14" s="436"/>
      <c r="V14" s="436" t="str">
        <f>IF(AND('Mapa final'!$K$67="Muy Alta",'Mapa final'!$O$67="Menor"),CONCATENATE("R",'Mapa final'!$A$67),"")</f>
        <v/>
      </c>
      <c r="W14" s="436"/>
      <c r="X14" s="436" t="str">
        <f>IF(AND('Mapa final'!$K$73="Muy Alta",'Mapa final'!$O$73="Menor"),CONCATENATE("R",'Mapa final'!$A$73),"")</f>
        <v/>
      </c>
      <c r="Y14" s="436"/>
      <c r="Z14" s="436" t="str">
        <f>IF(AND('Mapa final'!$K$76="Muy Alta",'Mapa final'!$O$76="Menor"),CONCATENATE("R",'Mapa final'!$A$76),"")</f>
        <v/>
      </c>
      <c r="AA14" s="436"/>
      <c r="AB14" s="436" t="str">
        <f>IF(AND('Mapa final'!$K$79="Muy Alta",'Mapa final'!$O$79="Menor"),CONCATENATE("R",'Mapa final'!$A$79),"")</f>
        <v/>
      </c>
      <c r="AC14" s="475"/>
      <c r="AD14" s="476" t="str">
        <f>IF(AND('Mapa final'!$K$64="Muy Alta",'Mapa final'!$O$64="Moderado"),CONCATENATE("R",'Mapa final'!$A$64),"")</f>
        <v/>
      </c>
      <c r="AE14" s="436"/>
      <c r="AF14" s="436" t="str">
        <f>IF(AND('Mapa final'!$K$67="Muy Alta",'Mapa final'!$O$67="Moderado"),CONCATENATE("R",'Mapa final'!$A$67),"")</f>
        <v/>
      </c>
      <c r="AG14" s="436"/>
      <c r="AH14" s="436" t="str">
        <f>IF(AND('Mapa final'!$K$73="Muy Alta",'Mapa final'!$O$73="Moderado"),CONCATENATE("R",'Mapa final'!$A$73),"")</f>
        <v/>
      </c>
      <c r="AI14" s="436"/>
      <c r="AJ14" s="436" t="str">
        <f>IF(AND('Mapa final'!$K$76="Muy Alta",'Mapa final'!$O$76="Moderado"),CONCATENATE("R",'Mapa final'!$A$76),"")</f>
        <v/>
      </c>
      <c r="AK14" s="436"/>
      <c r="AL14" s="436" t="str">
        <f>IF(AND('Mapa final'!$K$79="Muy Alta",'Mapa final'!$O$79="Moderado"),CONCATENATE("R",'Mapa final'!$A$79),"")</f>
        <v/>
      </c>
      <c r="AM14" s="475"/>
      <c r="AN14" s="476" t="str">
        <f>IF(AND('Mapa final'!$K$64="Muy Alta",'Mapa final'!$O$64="Mayor"),CONCATENATE("R",'Mapa final'!$A$64),"")</f>
        <v/>
      </c>
      <c r="AO14" s="436"/>
      <c r="AP14" s="436" t="str">
        <f>IF(AND('Mapa final'!$K$67="Muy Alta",'Mapa final'!$O$67="Mayor"),CONCATENATE("R",'Mapa final'!$A$67),"")</f>
        <v/>
      </c>
      <c r="AQ14" s="436"/>
      <c r="AR14" s="436" t="str">
        <f>IF(AND('Mapa final'!$K$73="Muy Alta",'Mapa final'!$O$73="Mayor"),CONCATENATE("R",'Mapa final'!$A$73),"")</f>
        <v/>
      </c>
      <c r="AS14" s="436"/>
      <c r="AT14" s="436" t="str">
        <f>IF(AND('Mapa final'!$K$76="Muy Alta",'Mapa final'!$O$76="Mayor"),CONCATENATE("R",'Mapa final'!$A$76),"")</f>
        <v/>
      </c>
      <c r="AU14" s="436"/>
      <c r="AV14" s="436" t="str">
        <f>IF(AND('Mapa final'!$K$79="Muy Alta",'Mapa final'!$O$79="Mayor"),CONCATENATE("R",'Mapa final'!$A$79),"")</f>
        <v/>
      </c>
      <c r="AW14" s="475"/>
      <c r="AX14" s="467" t="str">
        <f>IF(AND('Mapa final'!$K$64="Muy Alta",'Mapa final'!$O$64="Catastrófico"),CONCATENATE("R",'Mapa final'!$A$64),"")</f>
        <v/>
      </c>
      <c r="AY14" s="465"/>
      <c r="AZ14" s="465" t="str">
        <f>IF(AND('Mapa final'!$K$67="Muy Alta",'Mapa final'!$O$67="Catastrófico"),CONCATENATE("R",'Mapa final'!$A$67),"")</f>
        <v/>
      </c>
      <c r="BA14" s="465"/>
      <c r="BB14" s="465" t="str">
        <f>IF(AND('Mapa final'!$K$73="Muy Alta",'Mapa final'!$O$73="Catastrófico"),CONCATENATE("R",'Mapa final'!$A$73),"")</f>
        <v/>
      </c>
      <c r="BC14" s="465"/>
      <c r="BD14" s="465" t="str">
        <f>IF(AND('Mapa final'!$K$76="Muy Alta",'Mapa final'!$O$76="Catastrófico"),CONCATENATE("R",'Mapa final'!$A$76),"")</f>
        <v/>
      </c>
      <c r="BE14" s="465"/>
      <c r="BF14" s="465" t="str">
        <f>IF(AND('Mapa final'!$K$79="Muy Alta",'Mapa final'!$O$79="Catastrófico"),CONCATENATE("R",'Mapa final'!$A$79),"")</f>
        <v/>
      </c>
      <c r="BG14" s="466"/>
      <c r="BH14" s="55"/>
      <c r="BI14" s="486" t="s">
        <v>73</v>
      </c>
      <c r="BJ14" s="487"/>
      <c r="BK14" s="487"/>
      <c r="BL14" s="487"/>
      <c r="BM14" s="487"/>
      <c r="BN14" s="488"/>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row>
    <row r="15" spans="1:119" ht="15" customHeight="1" x14ac:dyDescent="0.25">
      <c r="A15" s="55"/>
      <c r="B15" s="301"/>
      <c r="C15" s="301"/>
      <c r="D15" s="302"/>
      <c r="E15" s="454"/>
      <c r="F15" s="455"/>
      <c r="G15" s="455"/>
      <c r="H15" s="455"/>
      <c r="I15" s="456"/>
      <c r="J15" s="436"/>
      <c r="K15" s="436"/>
      <c r="L15" s="436"/>
      <c r="M15" s="436"/>
      <c r="N15" s="436"/>
      <c r="O15" s="436"/>
      <c r="P15" s="436"/>
      <c r="Q15" s="436"/>
      <c r="R15" s="436"/>
      <c r="S15" s="436"/>
      <c r="T15" s="476"/>
      <c r="U15" s="436"/>
      <c r="V15" s="436"/>
      <c r="W15" s="436"/>
      <c r="X15" s="436"/>
      <c r="Y15" s="436"/>
      <c r="Z15" s="436"/>
      <c r="AA15" s="436"/>
      <c r="AB15" s="436"/>
      <c r="AC15" s="475"/>
      <c r="AD15" s="476"/>
      <c r="AE15" s="436"/>
      <c r="AF15" s="436"/>
      <c r="AG15" s="436"/>
      <c r="AH15" s="436"/>
      <c r="AI15" s="436"/>
      <c r="AJ15" s="436"/>
      <c r="AK15" s="436"/>
      <c r="AL15" s="436"/>
      <c r="AM15" s="475"/>
      <c r="AN15" s="476"/>
      <c r="AO15" s="436"/>
      <c r="AP15" s="436"/>
      <c r="AQ15" s="436"/>
      <c r="AR15" s="436"/>
      <c r="AS15" s="436"/>
      <c r="AT15" s="436"/>
      <c r="AU15" s="436"/>
      <c r="AV15" s="436"/>
      <c r="AW15" s="475"/>
      <c r="AX15" s="467"/>
      <c r="AY15" s="465"/>
      <c r="AZ15" s="465"/>
      <c r="BA15" s="465"/>
      <c r="BB15" s="465"/>
      <c r="BC15" s="465"/>
      <c r="BD15" s="465"/>
      <c r="BE15" s="465"/>
      <c r="BF15" s="465"/>
      <c r="BG15" s="466"/>
      <c r="BH15" s="55"/>
      <c r="BI15" s="489"/>
      <c r="BJ15" s="490"/>
      <c r="BK15" s="490"/>
      <c r="BL15" s="490"/>
      <c r="BM15" s="490"/>
      <c r="BN15" s="491"/>
      <c r="BO15" s="55"/>
      <c r="BP15" s="55"/>
      <c r="BQ15" s="55"/>
      <c r="BR15" s="55"/>
      <c r="BS15" s="55"/>
      <c r="BT15" s="55"/>
      <c r="BU15" s="55"/>
      <c r="BV15" s="55"/>
      <c r="BW15" s="55"/>
      <c r="BX15" s="55"/>
      <c r="BY15" s="55"/>
      <c r="BZ15" s="55"/>
      <c r="CA15" s="55"/>
      <c r="CB15" s="55"/>
      <c r="CC15" s="55"/>
      <c r="CD15" s="55"/>
      <c r="CE15" s="55"/>
      <c r="CF15" s="55"/>
      <c r="CG15" s="55"/>
      <c r="CH15" s="55"/>
      <c r="CI15" s="55"/>
      <c r="CJ15" s="55"/>
      <c r="CK15" s="55"/>
      <c r="CL15" s="55"/>
      <c r="CM15" s="55"/>
      <c r="CN15" s="55"/>
      <c r="CO15" s="55"/>
      <c r="CP15" s="55"/>
      <c r="CQ15" s="55"/>
      <c r="CR15" s="55"/>
      <c r="CS15" s="55"/>
      <c r="CT15" s="55"/>
      <c r="CU15" s="55"/>
      <c r="CV15" s="55"/>
    </row>
    <row r="16" spans="1:119" ht="15" customHeight="1" x14ac:dyDescent="0.25">
      <c r="A16" s="55"/>
      <c r="B16" s="301"/>
      <c r="C16" s="301"/>
      <c r="D16" s="302"/>
      <c r="E16" s="454"/>
      <c r="F16" s="455"/>
      <c r="G16" s="455"/>
      <c r="H16" s="455"/>
      <c r="I16" s="456"/>
      <c r="J16" s="436" t="str">
        <f>IF(AND('Mapa final'!$K$82="Muy Alta",'Mapa final'!$O$82="Leve"),CONCATENATE("R",'Mapa final'!$A$82),"")</f>
        <v/>
      </c>
      <c r="K16" s="436"/>
      <c r="L16" s="436" t="str">
        <f>IF(AND('Mapa final'!$K$85="Muy Alta",'Mapa final'!$O$85="Leve"),CONCATENATE("R",'Mapa final'!$A$85),"")</f>
        <v/>
      </c>
      <c r="M16" s="436"/>
      <c r="N16" s="436" t="str">
        <f>IF(AND('Mapa final'!$K$88="Muy Alta",'Mapa final'!$O$88="Leve"),CONCATENATE("R",'Mapa final'!$A$88),"")</f>
        <v/>
      </c>
      <c r="O16" s="436"/>
      <c r="P16" s="436" t="str">
        <f>IF(AND('Mapa final'!$K$91="Muy Alta",'Mapa final'!$O$91="Leve"),CONCATENATE("R",'Mapa final'!$A$91),"")</f>
        <v/>
      </c>
      <c r="Q16" s="436"/>
      <c r="R16" s="436" t="str">
        <f>IF(AND('Mapa final'!$K$94="Muy Alta",'Mapa final'!$O$94="Leve"),CONCATENATE("R",'Mapa final'!$A$94),"")</f>
        <v/>
      </c>
      <c r="S16" s="436"/>
      <c r="T16" s="476" t="str">
        <f>IF(AND('Mapa final'!$K$82="Muy Alta",'Mapa final'!$O$82="Menor"),CONCATENATE("R",'Mapa final'!$A$82),"")</f>
        <v/>
      </c>
      <c r="U16" s="436"/>
      <c r="V16" s="436" t="str">
        <f>IF(AND('Mapa final'!$K$85="Muy Alta",'Mapa final'!$O$85="Menor"),CONCATENATE("R",'Mapa final'!$A$85),"")</f>
        <v/>
      </c>
      <c r="W16" s="436"/>
      <c r="X16" s="436" t="str">
        <f>IF(AND('Mapa final'!$K$88="Muy Alta",'Mapa final'!$O$88="Menor"),CONCATENATE("R",'Mapa final'!$A$88),"")</f>
        <v/>
      </c>
      <c r="Y16" s="436"/>
      <c r="Z16" s="436" t="str">
        <f>IF(AND('Mapa final'!$K$91="Muy Alta",'Mapa final'!$O$91="Menor"),CONCATENATE("R",'Mapa final'!$A$91),"")</f>
        <v/>
      </c>
      <c r="AA16" s="436"/>
      <c r="AB16" s="436" t="str">
        <f>IF(AND('Mapa final'!$K$94="Muy Alta",'Mapa final'!$O$94="Menor"),CONCATENATE("R",'Mapa final'!$A$94),"")</f>
        <v/>
      </c>
      <c r="AC16" s="475"/>
      <c r="AD16" s="476" t="str">
        <f>IF(AND('Mapa final'!$K$82="Muy Alta",'Mapa final'!$O$82="Moderado"),CONCATENATE("R",'Mapa final'!$A$82),"")</f>
        <v/>
      </c>
      <c r="AE16" s="436"/>
      <c r="AF16" s="436" t="str">
        <f>IF(AND('Mapa final'!$K$85="Muy Alta",'Mapa final'!$O$85="Moderado"),CONCATENATE("R",'Mapa final'!$A$85),"")</f>
        <v/>
      </c>
      <c r="AG16" s="436"/>
      <c r="AH16" s="436" t="str">
        <f>IF(AND('Mapa final'!$K$88="Muy Alta",'Mapa final'!$O$88="Moderado"),CONCATENATE("R",'Mapa final'!$A$88),"")</f>
        <v/>
      </c>
      <c r="AI16" s="436"/>
      <c r="AJ16" s="436" t="str">
        <f>IF(AND('Mapa final'!$K$91="Muy Alta",'Mapa final'!$O$91="Moderado"),CONCATENATE("R",'Mapa final'!$A$91),"")</f>
        <v/>
      </c>
      <c r="AK16" s="436"/>
      <c r="AL16" s="436" t="str">
        <f>IF(AND('Mapa final'!$K$94="Muy Alta",'Mapa final'!$O$94="Moderado"),CONCATENATE("R",'Mapa final'!$A$94),"")</f>
        <v/>
      </c>
      <c r="AM16" s="475"/>
      <c r="AN16" s="476" t="str">
        <f>IF(AND('Mapa final'!$K$82="Muy Alta",'Mapa final'!$O$82="Mayor"),CONCATENATE("R",'Mapa final'!$A$82),"")</f>
        <v/>
      </c>
      <c r="AO16" s="436"/>
      <c r="AP16" s="436" t="str">
        <f>IF(AND('Mapa final'!$K$85="Muy Alta",'Mapa final'!$O$85="Mayor"),CONCATENATE("R",'Mapa final'!$A$85),"")</f>
        <v/>
      </c>
      <c r="AQ16" s="436"/>
      <c r="AR16" s="436" t="str">
        <f>IF(AND('Mapa final'!$K$88="Muy Alta",'Mapa final'!$O$88="Mayor"),CONCATENATE("R",'Mapa final'!$A$88),"")</f>
        <v/>
      </c>
      <c r="AS16" s="436"/>
      <c r="AT16" s="436" t="str">
        <f>IF(AND('Mapa final'!$K$91="Muy Alta",'Mapa final'!$O$91="Mayor"),CONCATENATE("R",'Mapa final'!$A$91),"")</f>
        <v/>
      </c>
      <c r="AU16" s="436"/>
      <c r="AV16" s="436" t="str">
        <f>IF(AND('Mapa final'!$K$94="Muy Alta",'Mapa final'!$O$94="Mayor"),CONCATENATE("R",'Mapa final'!$A$94),"")</f>
        <v/>
      </c>
      <c r="AW16" s="475"/>
      <c r="AX16" s="467" t="str">
        <f>IF(AND('Mapa final'!$K$82="Muy Alta",'Mapa final'!$O$82="Catastrófico"),CONCATENATE("R",'Mapa final'!$A$82),"")</f>
        <v/>
      </c>
      <c r="AY16" s="465"/>
      <c r="AZ16" s="465" t="str">
        <f>IF(AND('Mapa final'!$K$85="Muy Alta",'Mapa final'!$O$85="Catastrófico"),CONCATENATE("R",'Mapa final'!$A$85),"")</f>
        <v/>
      </c>
      <c r="BA16" s="465"/>
      <c r="BB16" s="465" t="str">
        <f>IF(AND('Mapa final'!$K$88="Muy Alta",'Mapa final'!$O$88="Catastrófico"),CONCATENATE("R",'Mapa final'!$A$88),"")</f>
        <v/>
      </c>
      <c r="BC16" s="465"/>
      <c r="BD16" s="465" t="str">
        <f>IF(AND('Mapa final'!$K$91="Muy Alta",'Mapa final'!$O$91="Catastrófico"),CONCATENATE("R",'Mapa final'!$A$91),"")</f>
        <v/>
      </c>
      <c r="BE16" s="465"/>
      <c r="BF16" s="465" t="str">
        <f>IF(AND('Mapa final'!$K$94="Muy Alta",'Mapa final'!$O$94="Catastrófico"),CONCATENATE("R",'Mapa final'!$A$94),"")</f>
        <v/>
      </c>
      <c r="BG16" s="466"/>
      <c r="BH16" s="55"/>
      <c r="BI16" s="489"/>
      <c r="BJ16" s="490"/>
      <c r="BK16" s="490"/>
      <c r="BL16" s="490"/>
      <c r="BM16" s="490"/>
      <c r="BN16" s="491"/>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row>
    <row r="17" spans="1:100" ht="15" customHeight="1" x14ac:dyDescent="0.25">
      <c r="A17" s="55"/>
      <c r="B17" s="301"/>
      <c r="C17" s="301"/>
      <c r="D17" s="302"/>
      <c r="E17" s="454"/>
      <c r="F17" s="455"/>
      <c r="G17" s="455"/>
      <c r="H17" s="455"/>
      <c r="I17" s="456"/>
      <c r="J17" s="436"/>
      <c r="K17" s="436"/>
      <c r="L17" s="436"/>
      <c r="M17" s="436"/>
      <c r="N17" s="436"/>
      <c r="O17" s="436"/>
      <c r="P17" s="436"/>
      <c r="Q17" s="436"/>
      <c r="R17" s="436"/>
      <c r="S17" s="436"/>
      <c r="T17" s="476"/>
      <c r="U17" s="436"/>
      <c r="V17" s="436"/>
      <c r="W17" s="436"/>
      <c r="X17" s="436"/>
      <c r="Y17" s="436"/>
      <c r="Z17" s="436"/>
      <c r="AA17" s="436"/>
      <c r="AB17" s="436"/>
      <c r="AC17" s="475"/>
      <c r="AD17" s="476"/>
      <c r="AE17" s="436"/>
      <c r="AF17" s="436"/>
      <c r="AG17" s="436"/>
      <c r="AH17" s="436"/>
      <c r="AI17" s="436"/>
      <c r="AJ17" s="436"/>
      <c r="AK17" s="436"/>
      <c r="AL17" s="436"/>
      <c r="AM17" s="475"/>
      <c r="AN17" s="476"/>
      <c r="AO17" s="436"/>
      <c r="AP17" s="436"/>
      <c r="AQ17" s="436"/>
      <c r="AR17" s="436"/>
      <c r="AS17" s="436"/>
      <c r="AT17" s="436"/>
      <c r="AU17" s="436"/>
      <c r="AV17" s="436"/>
      <c r="AW17" s="475"/>
      <c r="AX17" s="467"/>
      <c r="AY17" s="465"/>
      <c r="AZ17" s="465"/>
      <c r="BA17" s="465"/>
      <c r="BB17" s="465"/>
      <c r="BC17" s="465"/>
      <c r="BD17" s="465"/>
      <c r="BE17" s="465"/>
      <c r="BF17" s="465"/>
      <c r="BG17" s="466"/>
      <c r="BH17" s="55"/>
      <c r="BI17" s="489"/>
      <c r="BJ17" s="490"/>
      <c r="BK17" s="490"/>
      <c r="BL17" s="490"/>
      <c r="BM17" s="490"/>
      <c r="BN17" s="491"/>
      <c r="BO17" s="55"/>
      <c r="BP17" s="55"/>
      <c r="BQ17" s="55"/>
      <c r="BR17" s="55"/>
      <c r="BS17" s="55"/>
      <c r="BT17" s="55"/>
      <c r="BU17" s="55"/>
      <c r="BV17" s="55"/>
      <c r="BW17" s="55"/>
      <c r="BX17" s="55"/>
      <c r="BY17" s="55"/>
      <c r="BZ17" s="55"/>
      <c r="CA17" s="55"/>
      <c r="CB17" s="55"/>
      <c r="CC17" s="55"/>
      <c r="CD17" s="55"/>
      <c r="CE17" s="55"/>
      <c r="CF17" s="55"/>
      <c r="CG17" s="55"/>
      <c r="CH17" s="55"/>
      <c r="CI17" s="55"/>
      <c r="CJ17" s="55"/>
      <c r="CK17" s="55"/>
      <c r="CL17" s="55"/>
      <c r="CM17" s="55"/>
      <c r="CN17" s="55"/>
      <c r="CO17" s="55"/>
      <c r="CP17" s="55"/>
      <c r="CQ17" s="55"/>
      <c r="CR17" s="55"/>
      <c r="CS17" s="55"/>
      <c r="CT17" s="55"/>
      <c r="CU17" s="55"/>
      <c r="CV17" s="55"/>
    </row>
    <row r="18" spans="1:100" ht="15" customHeight="1" x14ac:dyDescent="0.25">
      <c r="A18" s="55"/>
      <c r="B18" s="301"/>
      <c r="C18" s="301"/>
      <c r="D18" s="302"/>
      <c r="E18" s="454"/>
      <c r="F18" s="455"/>
      <c r="G18" s="455"/>
      <c r="H18" s="455"/>
      <c r="I18" s="456"/>
      <c r="J18" s="436" t="str">
        <f>IF(AND('Mapa final'!$K$97="Muy Alta",'Mapa final'!$O$97="Leve"),CONCATENATE("R",'Mapa final'!$A$97),"")</f>
        <v/>
      </c>
      <c r="K18" s="436"/>
      <c r="L18" s="436" t="e">
        <f>IF(AND('Mapa final'!#REF!="Muy Alta",'Mapa final'!#REF!="Leve"),CONCATENATE("R",'Mapa final'!#REF!),"")</f>
        <v>#REF!</v>
      </c>
      <c r="M18" s="436"/>
      <c r="N18" s="436" t="str">
        <f>IF(AND('Mapa final'!$K$100="Muy Alta",'Mapa final'!$O$100="Leve"),CONCATENATE("R",'Mapa final'!$A$100),"")</f>
        <v/>
      </c>
      <c r="O18" s="436"/>
      <c r="P18" s="436" t="str">
        <f>IF(AND('Mapa final'!$K$103="Muy Alta",'Mapa final'!$O$103="Leve"),CONCATENATE("R",'Mapa final'!$A$103),"")</f>
        <v/>
      </c>
      <c r="Q18" s="436"/>
      <c r="R18" s="436" t="str">
        <f>IF(AND('Mapa final'!$K$106="Muy Alta",'Mapa final'!$O$106="Leve"),CONCATENATE("R",'Mapa final'!$A$106),"")</f>
        <v/>
      </c>
      <c r="S18" s="436"/>
      <c r="T18" s="476" t="str">
        <f>IF(AND('Mapa final'!$K$97="Muy Alta",'Mapa final'!$O$97="Menor"),CONCATENATE("R",'Mapa final'!$A$97),"")</f>
        <v/>
      </c>
      <c r="U18" s="436"/>
      <c r="V18" s="436" t="e">
        <f>IF(AND('Mapa final'!#REF!="Muy Alta",'Mapa final'!#REF!="Menor"),CONCATENATE("R",'Mapa final'!#REF!),"")</f>
        <v>#REF!</v>
      </c>
      <c r="W18" s="436"/>
      <c r="X18" s="436" t="str">
        <f>IF(AND('Mapa final'!$K$100="Muy Alta",'Mapa final'!$O$100="Menor"),CONCATENATE("R",'Mapa final'!$A$100),"")</f>
        <v/>
      </c>
      <c r="Y18" s="436"/>
      <c r="Z18" s="436" t="str">
        <f>IF(AND('Mapa final'!$K$103="Muy Alta",'Mapa final'!$O$103="Menor"),CONCATENATE("R",'Mapa final'!$A$103),"")</f>
        <v/>
      </c>
      <c r="AA18" s="436"/>
      <c r="AB18" s="436" t="str">
        <f>IF(AND('Mapa final'!$K$106="Muy Alta",'Mapa final'!$O$106="Menor"),CONCATENATE("R",'Mapa final'!$A$106),"")</f>
        <v/>
      </c>
      <c r="AC18" s="475"/>
      <c r="AD18" s="476" t="str">
        <f>IF(AND('Mapa final'!$K$97="Muy Alta",'Mapa final'!$O$97="Moderado"),CONCATENATE("R",'Mapa final'!$A$97),"")</f>
        <v/>
      </c>
      <c r="AE18" s="436"/>
      <c r="AF18" s="436" t="e">
        <f>IF(AND('Mapa final'!#REF!="Muy Alta",'Mapa final'!#REF!="Moderado"),CONCATENATE("R",'Mapa final'!#REF!),"")</f>
        <v>#REF!</v>
      </c>
      <c r="AG18" s="436"/>
      <c r="AH18" s="436" t="str">
        <f>IF(AND('Mapa final'!$K$100="Muy Alta",'Mapa final'!$O$100="Moderado"),CONCATENATE("R",'Mapa final'!$A$100),"")</f>
        <v/>
      </c>
      <c r="AI18" s="436"/>
      <c r="AJ18" s="436" t="str">
        <f>IF(AND('Mapa final'!$K$103="Muy Alta",'Mapa final'!$O$103="Moderado"),CONCATENATE("R",'Mapa final'!$A$103),"")</f>
        <v/>
      </c>
      <c r="AK18" s="436"/>
      <c r="AL18" s="436" t="str">
        <f>IF(AND('Mapa final'!$K$106="Muy Alta",'Mapa final'!$O$106="Moderado"),CONCATENATE("R",'Mapa final'!$A$106),"")</f>
        <v/>
      </c>
      <c r="AM18" s="475"/>
      <c r="AN18" s="476" t="str">
        <f>IF(AND('Mapa final'!$K$97="Muy Alta",'Mapa final'!$O$97="Mayor"),CONCATENATE("R",'Mapa final'!$A$97),"")</f>
        <v/>
      </c>
      <c r="AO18" s="436"/>
      <c r="AP18" s="436" t="e">
        <f>IF(AND('Mapa final'!#REF!="Muy Alta",'Mapa final'!#REF!="Mayor"),CONCATENATE("R",'Mapa final'!#REF!),"")</f>
        <v>#REF!</v>
      </c>
      <c r="AQ18" s="436"/>
      <c r="AR18" s="436" t="str">
        <f>IF(AND('Mapa final'!$K$100="Muy Alta",'Mapa final'!$O$100="Mayor"),CONCATENATE("R",'Mapa final'!$A$100),"")</f>
        <v/>
      </c>
      <c r="AS18" s="436"/>
      <c r="AT18" s="436" t="str">
        <f>IF(AND('Mapa final'!$K$103="Muy Alta",'Mapa final'!$O$103="Mayor"),CONCATENATE("R",'Mapa final'!$A$103),"")</f>
        <v/>
      </c>
      <c r="AU18" s="436"/>
      <c r="AV18" s="436" t="str">
        <f>IF(AND('Mapa final'!$K$106="Muy Alta",'Mapa final'!$O$106="Mayor"),CONCATENATE("R",'Mapa final'!$A$106),"")</f>
        <v/>
      </c>
      <c r="AW18" s="475"/>
      <c r="AX18" s="467" t="str">
        <f>IF(AND('Mapa final'!$K$97="Muy Alta",'Mapa final'!$O$97="Catastrófico"),CONCATENATE("R",'Mapa final'!$A$97),"")</f>
        <v/>
      </c>
      <c r="AY18" s="465"/>
      <c r="AZ18" s="465" t="e">
        <f>IF(AND('Mapa final'!#REF!="Muy Alta",'Mapa final'!#REF!="Catastrófico"),CONCATENATE("R",'Mapa final'!#REF!),"")</f>
        <v>#REF!</v>
      </c>
      <c r="BA18" s="465"/>
      <c r="BB18" s="465" t="str">
        <f>IF(AND('Mapa final'!$K$100="Muy Alta",'Mapa final'!$O$100="Catastrófico"),CONCATENATE("R",'Mapa final'!$A$100),"")</f>
        <v/>
      </c>
      <c r="BC18" s="465"/>
      <c r="BD18" s="465" t="str">
        <f>IF(AND('Mapa final'!$K$103="Muy Alta",'Mapa final'!$O$103="Catastrófico"),CONCATENATE("R",'Mapa final'!$A$103),"")</f>
        <v/>
      </c>
      <c r="BE18" s="465"/>
      <c r="BF18" s="465" t="str">
        <f>IF(AND('Mapa final'!$K$106="Muy Alta",'Mapa final'!$O$106="Catastrófico"),CONCATENATE("R",'Mapa final'!$A$106),"")</f>
        <v/>
      </c>
      <c r="BG18" s="466"/>
      <c r="BH18" s="55"/>
      <c r="BI18" s="489"/>
      <c r="BJ18" s="490"/>
      <c r="BK18" s="490"/>
      <c r="BL18" s="490"/>
      <c r="BM18" s="490"/>
      <c r="BN18" s="491"/>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row>
    <row r="19" spans="1:100" ht="15" customHeight="1" x14ac:dyDescent="0.25">
      <c r="A19" s="55"/>
      <c r="B19" s="301"/>
      <c r="C19" s="301"/>
      <c r="D19" s="302"/>
      <c r="E19" s="454"/>
      <c r="F19" s="455"/>
      <c r="G19" s="455"/>
      <c r="H19" s="455"/>
      <c r="I19" s="456"/>
      <c r="J19" s="436"/>
      <c r="K19" s="436"/>
      <c r="L19" s="436"/>
      <c r="M19" s="436"/>
      <c r="N19" s="436"/>
      <c r="O19" s="436"/>
      <c r="P19" s="436"/>
      <c r="Q19" s="436"/>
      <c r="R19" s="436"/>
      <c r="S19" s="436"/>
      <c r="T19" s="476"/>
      <c r="U19" s="436"/>
      <c r="V19" s="436"/>
      <c r="W19" s="436"/>
      <c r="X19" s="436"/>
      <c r="Y19" s="436"/>
      <c r="Z19" s="436"/>
      <c r="AA19" s="436"/>
      <c r="AB19" s="436"/>
      <c r="AC19" s="475"/>
      <c r="AD19" s="476"/>
      <c r="AE19" s="436"/>
      <c r="AF19" s="436"/>
      <c r="AG19" s="436"/>
      <c r="AH19" s="436"/>
      <c r="AI19" s="436"/>
      <c r="AJ19" s="436"/>
      <c r="AK19" s="436"/>
      <c r="AL19" s="436"/>
      <c r="AM19" s="475"/>
      <c r="AN19" s="476"/>
      <c r="AO19" s="436"/>
      <c r="AP19" s="436"/>
      <c r="AQ19" s="436"/>
      <c r="AR19" s="436"/>
      <c r="AS19" s="436"/>
      <c r="AT19" s="436"/>
      <c r="AU19" s="436"/>
      <c r="AV19" s="436"/>
      <c r="AW19" s="475"/>
      <c r="AX19" s="467"/>
      <c r="AY19" s="465"/>
      <c r="AZ19" s="465"/>
      <c r="BA19" s="465"/>
      <c r="BB19" s="465"/>
      <c r="BC19" s="465"/>
      <c r="BD19" s="465"/>
      <c r="BE19" s="465"/>
      <c r="BF19" s="465"/>
      <c r="BG19" s="466"/>
      <c r="BH19" s="55"/>
      <c r="BI19" s="489"/>
      <c r="BJ19" s="490"/>
      <c r="BK19" s="490"/>
      <c r="BL19" s="490"/>
      <c r="BM19" s="490"/>
      <c r="BN19" s="491"/>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row>
    <row r="20" spans="1:100" ht="15" customHeight="1" x14ac:dyDescent="0.25">
      <c r="A20" s="55"/>
      <c r="B20" s="301"/>
      <c r="C20" s="301"/>
      <c r="D20" s="302"/>
      <c r="E20" s="454"/>
      <c r="F20" s="455"/>
      <c r="G20" s="455"/>
      <c r="H20" s="455"/>
      <c r="I20" s="456"/>
      <c r="J20" s="436" t="str">
        <f>IF(AND('Mapa final'!$K$109="Muy Alta",'Mapa final'!$O$109="Leve"),CONCATENATE("R",'Mapa final'!$A$109),"")</f>
        <v/>
      </c>
      <c r="K20" s="436"/>
      <c r="L20" s="436" t="str">
        <f>IF(AND('Mapa final'!$K$112="Muy Alta",'Mapa final'!$O$112="Leve"),CONCATENATE("R",'Mapa final'!$A$112),"")</f>
        <v/>
      </c>
      <c r="M20" s="436"/>
      <c r="N20" s="436" t="str">
        <f>IF(AND('Mapa final'!$K$115="Muy Alta",'Mapa final'!$O$115="Leve"),CONCATENATE("R",'Mapa final'!$A$115),"")</f>
        <v/>
      </c>
      <c r="O20" s="436"/>
      <c r="P20" s="436" t="str">
        <f>IF(AND('Mapa final'!$K$118="Muy Alta",'Mapa final'!$O$118="Leve"),CONCATENATE("R",'Mapa final'!$A$118),"")</f>
        <v/>
      </c>
      <c r="Q20" s="436"/>
      <c r="R20" s="436" t="str">
        <f>IF(AND('Mapa final'!$K$121="Muy Alta",'Mapa final'!$O$121="Leve"),CONCATENATE("R",'Mapa final'!$A$121),"")</f>
        <v/>
      </c>
      <c r="S20" s="436"/>
      <c r="T20" s="476" t="str">
        <f>IF(AND('Mapa final'!$K$109="Muy Alta",'Mapa final'!$O$109="Menor"),CONCATENATE("R",'Mapa final'!$A$109),"")</f>
        <v/>
      </c>
      <c r="U20" s="436"/>
      <c r="V20" s="436" t="str">
        <f>IF(AND('Mapa final'!$K$112="Muy Alta",'Mapa final'!$O$112="Menor"),CONCATENATE("R",'Mapa final'!$A$112),"")</f>
        <v/>
      </c>
      <c r="W20" s="436"/>
      <c r="X20" s="436" t="str">
        <f>IF(AND('Mapa final'!$K$115="Muy Alta",'Mapa final'!$O$115="Menor"),CONCATENATE("R",'Mapa final'!$A$115),"")</f>
        <v/>
      </c>
      <c r="Y20" s="436"/>
      <c r="Z20" s="436" t="str">
        <f>IF(AND('Mapa final'!$K$118="Muy Alta",'Mapa final'!$O$118="Menor"),CONCATENATE("R",'Mapa final'!$A$118),"")</f>
        <v/>
      </c>
      <c r="AA20" s="436"/>
      <c r="AB20" s="436" t="str">
        <f>IF(AND('Mapa final'!$K$121="Muy Alta",'Mapa final'!$O$121="Menor"),CONCATENATE("R",'Mapa final'!$A$121),"")</f>
        <v/>
      </c>
      <c r="AC20" s="475"/>
      <c r="AD20" s="476" t="str">
        <f>IF(AND('Mapa final'!$K$109="Muy Alta",'Mapa final'!$O$109="Moderado"),CONCATENATE("R",'Mapa final'!$A$109),"")</f>
        <v/>
      </c>
      <c r="AE20" s="436"/>
      <c r="AF20" s="436" t="str">
        <f>IF(AND('Mapa final'!$K$112="Muy Alta",'Mapa final'!$O$112="Moderado"),CONCATENATE("R",'Mapa final'!$A$112),"")</f>
        <v/>
      </c>
      <c r="AG20" s="436"/>
      <c r="AH20" s="436" t="str">
        <f>IF(AND('Mapa final'!$K$115="Muy Alta",'Mapa final'!$O$115="Moderado"),CONCATENATE("R",'Mapa final'!$A$115),"")</f>
        <v/>
      </c>
      <c r="AI20" s="436"/>
      <c r="AJ20" s="436" t="str">
        <f>IF(AND('Mapa final'!$K$118="Muy Alta",'Mapa final'!$O$118="Moderado"),CONCATENATE("R",'Mapa final'!$A$118),"")</f>
        <v/>
      </c>
      <c r="AK20" s="436"/>
      <c r="AL20" s="436" t="str">
        <f>IF(AND('Mapa final'!$K$121="Muy Alta",'Mapa final'!$O$121="Moderado"),CONCATENATE("R",'Mapa final'!$A$121),"")</f>
        <v/>
      </c>
      <c r="AM20" s="475"/>
      <c r="AN20" s="476" t="str">
        <f>IF(AND('Mapa final'!$K$109="Muy Alta",'Mapa final'!$O$109="Mayor"),CONCATENATE("R",'Mapa final'!$A$109),"")</f>
        <v/>
      </c>
      <c r="AO20" s="436"/>
      <c r="AP20" s="436" t="str">
        <f>IF(AND('Mapa final'!$K$112="Muy Alta",'Mapa final'!$O$112="Mayor"),CONCATENATE("R",'Mapa final'!$A$112),"")</f>
        <v/>
      </c>
      <c r="AQ20" s="436"/>
      <c r="AR20" s="436" t="str">
        <f>IF(AND('Mapa final'!$K$115="Muy Alta",'Mapa final'!$O$115="Mayor"),CONCATENATE("R",'Mapa final'!$A$115),"")</f>
        <v/>
      </c>
      <c r="AS20" s="436"/>
      <c r="AT20" s="436" t="str">
        <f>IF(AND('Mapa final'!$K$118="Muy Alta",'Mapa final'!$O$118="Mayor"),CONCATENATE("R",'Mapa final'!$A$118),"")</f>
        <v/>
      </c>
      <c r="AU20" s="436"/>
      <c r="AV20" s="436" t="str">
        <f>IF(AND('Mapa final'!$K$121="Muy Alta",'Mapa final'!$O$121="Mayor"),CONCATENATE("R",'Mapa final'!$A$121),"")</f>
        <v/>
      </c>
      <c r="AW20" s="475"/>
      <c r="AX20" s="467" t="str">
        <f>IF(AND('Mapa final'!$K$109="Muy Alta",'Mapa final'!$O$109="Catastrófico"),CONCATENATE("R",'Mapa final'!$A$109),"")</f>
        <v/>
      </c>
      <c r="AY20" s="465"/>
      <c r="AZ20" s="465" t="str">
        <f>IF(AND('Mapa final'!$K$112="Muy Alta",'Mapa final'!$O$112="Catastrófico"),CONCATENATE("R",'Mapa final'!$A$112),"")</f>
        <v/>
      </c>
      <c r="BA20" s="465"/>
      <c r="BB20" s="465" t="str">
        <f>IF(AND('Mapa final'!$K$115="Muy Alta",'Mapa final'!$O$115="Catastrófico"),CONCATENATE("R",'Mapa final'!$A$115),"")</f>
        <v/>
      </c>
      <c r="BC20" s="465"/>
      <c r="BD20" s="465" t="str">
        <f>IF(AND('Mapa final'!$K$118="Muy Alta",'Mapa final'!$O$118="Catastrófico"),CONCATENATE("R",'Mapa final'!$A$118),"")</f>
        <v/>
      </c>
      <c r="BE20" s="465"/>
      <c r="BF20" s="465" t="str">
        <f>IF(AND('Mapa final'!$K$121="Muy Alta",'Mapa final'!$O$121="Catastrófico"),CONCATENATE("R",'Mapa final'!$A$121),"")</f>
        <v/>
      </c>
      <c r="BG20" s="466"/>
      <c r="BH20" s="55"/>
      <c r="BI20" s="489"/>
      <c r="BJ20" s="490"/>
      <c r="BK20" s="490"/>
      <c r="BL20" s="490"/>
      <c r="BM20" s="490"/>
      <c r="BN20" s="491"/>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row>
    <row r="21" spans="1:100" ht="15" customHeight="1" x14ac:dyDescent="0.25">
      <c r="A21" s="55"/>
      <c r="B21" s="301"/>
      <c r="C21" s="301"/>
      <c r="D21" s="302"/>
      <c r="E21" s="454"/>
      <c r="F21" s="455"/>
      <c r="G21" s="455"/>
      <c r="H21" s="455"/>
      <c r="I21" s="456"/>
      <c r="J21" s="436"/>
      <c r="K21" s="436"/>
      <c r="L21" s="436"/>
      <c r="M21" s="436"/>
      <c r="N21" s="436"/>
      <c r="O21" s="436"/>
      <c r="P21" s="436"/>
      <c r="Q21" s="436"/>
      <c r="R21" s="436"/>
      <c r="S21" s="436"/>
      <c r="T21" s="476"/>
      <c r="U21" s="436"/>
      <c r="V21" s="436"/>
      <c r="W21" s="436"/>
      <c r="X21" s="436"/>
      <c r="Y21" s="436"/>
      <c r="Z21" s="436"/>
      <c r="AA21" s="436"/>
      <c r="AB21" s="436"/>
      <c r="AC21" s="475"/>
      <c r="AD21" s="476"/>
      <c r="AE21" s="436"/>
      <c r="AF21" s="436"/>
      <c r="AG21" s="436"/>
      <c r="AH21" s="436"/>
      <c r="AI21" s="436"/>
      <c r="AJ21" s="436"/>
      <c r="AK21" s="436"/>
      <c r="AL21" s="436"/>
      <c r="AM21" s="475"/>
      <c r="AN21" s="476"/>
      <c r="AO21" s="436"/>
      <c r="AP21" s="436"/>
      <c r="AQ21" s="436"/>
      <c r="AR21" s="436"/>
      <c r="AS21" s="436"/>
      <c r="AT21" s="436"/>
      <c r="AU21" s="436"/>
      <c r="AV21" s="436"/>
      <c r="AW21" s="475"/>
      <c r="AX21" s="467"/>
      <c r="AY21" s="465"/>
      <c r="AZ21" s="465"/>
      <c r="BA21" s="465"/>
      <c r="BB21" s="465"/>
      <c r="BC21" s="465"/>
      <c r="BD21" s="465"/>
      <c r="BE21" s="465"/>
      <c r="BF21" s="465"/>
      <c r="BG21" s="466"/>
      <c r="BH21" s="55"/>
      <c r="BI21" s="489"/>
      <c r="BJ21" s="490"/>
      <c r="BK21" s="490"/>
      <c r="BL21" s="490"/>
      <c r="BM21" s="490"/>
      <c r="BN21" s="491"/>
      <c r="BO21" s="55"/>
      <c r="BP21" s="55"/>
      <c r="BQ21" s="55"/>
      <c r="BR21" s="55"/>
      <c r="BS21" s="55"/>
      <c r="BT21" s="55"/>
      <c r="BU21" s="55"/>
      <c r="BV21" s="55"/>
      <c r="BW21" s="55"/>
      <c r="BX21" s="55"/>
      <c r="BY21" s="55"/>
      <c r="BZ21" s="55"/>
      <c r="CA21" s="55"/>
      <c r="CB21" s="55"/>
      <c r="CC21" s="55"/>
      <c r="CD21" s="55"/>
      <c r="CE21" s="55"/>
      <c r="CF21" s="55"/>
      <c r="CG21" s="55"/>
      <c r="CH21" s="55"/>
      <c r="CI21" s="55"/>
      <c r="CJ21" s="55"/>
      <c r="CK21" s="55"/>
      <c r="CL21" s="55"/>
      <c r="CM21" s="55"/>
      <c r="CN21" s="55"/>
      <c r="CO21" s="55"/>
      <c r="CP21" s="55"/>
      <c r="CQ21" s="55"/>
      <c r="CR21" s="55"/>
      <c r="CS21" s="55"/>
      <c r="CT21" s="55"/>
      <c r="CU21" s="55"/>
      <c r="CV21" s="55"/>
    </row>
    <row r="22" spans="1:100" ht="15" customHeight="1" x14ac:dyDescent="0.25">
      <c r="A22" s="55"/>
      <c r="B22" s="301"/>
      <c r="C22" s="301"/>
      <c r="D22" s="302"/>
      <c r="E22" s="454"/>
      <c r="F22" s="455"/>
      <c r="G22" s="455"/>
      <c r="H22" s="455"/>
      <c r="I22" s="456"/>
      <c r="J22" s="436" t="str">
        <f>IF(AND('Mapa final'!$K$124="Muy Alta",'Mapa final'!$O$124="Leve"),CONCATENATE("R",'Mapa final'!$A$124),"")</f>
        <v/>
      </c>
      <c r="K22" s="436"/>
      <c r="L22" s="436" t="str">
        <f>IF(AND('Mapa final'!$K$127="Muy Alta",'Mapa final'!$O$127="Leve"),CONCATENATE("R",'Mapa final'!$A$127),"")</f>
        <v/>
      </c>
      <c r="M22" s="436"/>
      <c r="N22" s="436" t="str">
        <f>IF(AND('Mapa final'!$K$130="Muy Alta",'Mapa final'!$O$130="Leve"),CONCATENATE("R",'Mapa final'!$A$130),"")</f>
        <v/>
      </c>
      <c r="O22" s="436"/>
      <c r="P22" s="436" t="str">
        <f>IF(AND('Mapa final'!$K$133="Muy Alta",'Mapa final'!$O$133="Leve"),CONCATENATE("R",'Mapa final'!$A$133),"")</f>
        <v/>
      </c>
      <c r="Q22" s="436"/>
      <c r="R22" s="436" t="str">
        <f>IF(AND('Mapa final'!$K$136="Muy Alta",'Mapa final'!$O$136="Leve"),CONCATENATE("R",'Mapa final'!$A$136),"")</f>
        <v/>
      </c>
      <c r="S22" s="436"/>
      <c r="T22" s="476" t="str">
        <f>IF(AND('Mapa final'!$K$124="Muy Alta",'Mapa final'!$O$124="Menor"),CONCATENATE("R",'Mapa final'!$A$124),"")</f>
        <v/>
      </c>
      <c r="U22" s="436"/>
      <c r="V22" s="436" t="str">
        <f>IF(AND('Mapa final'!$K$127="Muy Alta",'Mapa final'!$O$127="Menor"),CONCATENATE("R",'Mapa final'!$A$127),"")</f>
        <v/>
      </c>
      <c r="W22" s="436"/>
      <c r="X22" s="436" t="str">
        <f>IF(AND('Mapa final'!$K$130="Muy Alta",'Mapa final'!$O$130="Menor"),CONCATENATE("R",'Mapa final'!$A$130),"")</f>
        <v/>
      </c>
      <c r="Y22" s="436"/>
      <c r="Z22" s="436" t="str">
        <f>IF(AND('Mapa final'!$K$133="Muy Alta",'Mapa final'!$O$133="Menor"),CONCATENATE("R",'Mapa final'!$A$133),"")</f>
        <v/>
      </c>
      <c r="AA22" s="436"/>
      <c r="AB22" s="436" t="str">
        <f>IF(AND('Mapa final'!$K$136="Muy Alta",'Mapa final'!$O$136="Menor"),CONCATENATE("R",'Mapa final'!$A$136),"")</f>
        <v/>
      </c>
      <c r="AC22" s="475"/>
      <c r="AD22" s="476" t="str">
        <f>IF(AND('Mapa final'!$K$124="Muy Alta",'Mapa final'!$O$124="Moderado"),CONCATENATE("R",'Mapa final'!$A$124),"")</f>
        <v/>
      </c>
      <c r="AE22" s="436"/>
      <c r="AF22" s="436" t="str">
        <f>IF(AND('Mapa final'!$K$127="Muy Alta",'Mapa final'!$O$127="Moderado"),CONCATENATE("R",'Mapa final'!$A$127),"")</f>
        <v/>
      </c>
      <c r="AG22" s="436"/>
      <c r="AH22" s="436" t="str">
        <f>IF(AND('Mapa final'!$K$130="Muy Alta",'Mapa final'!$O$130="Moderado"),CONCATENATE("R",'Mapa final'!$A$130),"")</f>
        <v/>
      </c>
      <c r="AI22" s="436"/>
      <c r="AJ22" s="436" t="str">
        <f>IF(AND('Mapa final'!$K$133="Muy Alta",'Mapa final'!$O$133="Moderado"),CONCATENATE("R",'Mapa final'!$A$133),"")</f>
        <v/>
      </c>
      <c r="AK22" s="436"/>
      <c r="AL22" s="436" t="str">
        <f>IF(AND('Mapa final'!$K$136="Muy Alta",'Mapa final'!$O$136="Moderado"),CONCATENATE("R",'Mapa final'!$A$136),"")</f>
        <v/>
      </c>
      <c r="AM22" s="475"/>
      <c r="AN22" s="476" t="str">
        <f>IF(AND('Mapa final'!$K$124="Muy Alta",'Mapa final'!$O$124="Mayor"),CONCATENATE("R",'Mapa final'!$A$124),"")</f>
        <v/>
      </c>
      <c r="AO22" s="436"/>
      <c r="AP22" s="436" t="str">
        <f>IF(AND('Mapa final'!$K$127="Muy Alta",'Mapa final'!$O$127="Mayor"),CONCATENATE("R",'Mapa final'!$A$127),"")</f>
        <v/>
      </c>
      <c r="AQ22" s="436"/>
      <c r="AR22" s="436" t="str">
        <f>IF(AND('Mapa final'!$K$130="Muy Alta",'Mapa final'!$O$130="Mayor"),CONCATENATE("R",'Mapa final'!$A$130),"")</f>
        <v/>
      </c>
      <c r="AS22" s="436"/>
      <c r="AT22" s="436" t="str">
        <f>IF(AND('Mapa final'!$K$133="Muy Alta",'Mapa final'!$O$133="Mayor"),CONCATENATE("R",'Mapa final'!$A$133),"")</f>
        <v/>
      </c>
      <c r="AU22" s="436"/>
      <c r="AV22" s="436" t="str">
        <f>IF(AND('Mapa final'!$K$136="Muy Alta",'Mapa final'!$O$136="Mayor"),CONCATENATE("R",'Mapa final'!$A$136),"")</f>
        <v/>
      </c>
      <c r="AW22" s="475"/>
      <c r="AX22" s="467" t="str">
        <f>IF(AND('Mapa final'!$K$124="Muy Alta",'Mapa final'!$O$124="Catastrófico"),CONCATENATE("R",'Mapa final'!$A$124),"")</f>
        <v/>
      </c>
      <c r="AY22" s="465"/>
      <c r="AZ22" s="465" t="str">
        <f>IF(AND('Mapa final'!$K$127="Muy Alta",'Mapa final'!$O$127="Catastrófico"),CONCATENATE("R",'Mapa final'!$A$127),"")</f>
        <v/>
      </c>
      <c r="BA22" s="465"/>
      <c r="BB22" s="465" t="str">
        <f>IF(AND('Mapa final'!$K$130="Muy Alta",'Mapa final'!$O$130="Catastrófico"),CONCATENATE("R",'Mapa final'!$A$130),"")</f>
        <v/>
      </c>
      <c r="BC22" s="465"/>
      <c r="BD22" s="465" t="str">
        <f>IF(AND('Mapa final'!$K$133="Muy Alta",'Mapa final'!$O$133="Catastrófico"),CONCATENATE("R",'Mapa final'!$A$133),"")</f>
        <v/>
      </c>
      <c r="BE22" s="465"/>
      <c r="BF22" s="465" t="str">
        <f>IF(AND('Mapa final'!$K$136="Muy Alta",'Mapa final'!$O$136="Catastrófico"),CONCATENATE("R",'Mapa final'!$A$136),"")</f>
        <v/>
      </c>
      <c r="BG22" s="466"/>
      <c r="BH22" s="55"/>
      <c r="BI22" s="489"/>
      <c r="BJ22" s="490"/>
      <c r="BK22" s="490"/>
      <c r="BL22" s="490"/>
      <c r="BM22" s="490"/>
      <c r="BN22" s="491"/>
      <c r="BO22" s="55"/>
      <c r="BP22" s="55"/>
      <c r="BQ22" s="55"/>
      <c r="BR22" s="55"/>
      <c r="BS22" s="55"/>
      <c r="BT22" s="55"/>
      <c r="BU22" s="55"/>
      <c r="BV22" s="55"/>
      <c r="BW22" s="55"/>
      <c r="BX22" s="55"/>
      <c r="BY22" s="55"/>
      <c r="BZ22" s="55"/>
      <c r="CA22" s="55"/>
      <c r="CB22" s="55"/>
      <c r="CC22" s="55"/>
      <c r="CD22" s="55"/>
      <c r="CE22" s="55"/>
      <c r="CF22" s="55"/>
      <c r="CG22" s="55"/>
      <c r="CH22" s="55"/>
      <c r="CI22" s="55"/>
      <c r="CJ22" s="55"/>
      <c r="CK22" s="55"/>
      <c r="CL22" s="55"/>
      <c r="CM22" s="55"/>
      <c r="CN22" s="55"/>
      <c r="CO22" s="55"/>
      <c r="CP22" s="55"/>
      <c r="CQ22" s="55"/>
      <c r="CR22" s="55"/>
      <c r="CS22" s="55"/>
      <c r="CT22" s="55"/>
      <c r="CU22" s="55"/>
      <c r="CV22" s="55"/>
    </row>
    <row r="23" spans="1:100" ht="15" customHeight="1" x14ac:dyDescent="0.25">
      <c r="A23" s="55"/>
      <c r="B23" s="301"/>
      <c r="C23" s="301"/>
      <c r="D23" s="302"/>
      <c r="E23" s="454"/>
      <c r="F23" s="455"/>
      <c r="G23" s="455"/>
      <c r="H23" s="455"/>
      <c r="I23" s="456"/>
      <c r="J23" s="436"/>
      <c r="K23" s="436"/>
      <c r="L23" s="436"/>
      <c r="M23" s="436"/>
      <c r="N23" s="436"/>
      <c r="O23" s="436"/>
      <c r="P23" s="436"/>
      <c r="Q23" s="436"/>
      <c r="R23" s="436"/>
      <c r="S23" s="436"/>
      <c r="T23" s="476"/>
      <c r="U23" s="436"/>
      <c r="V23" s="436"/>
      <c r="W23" s="436"/>
      <c r="X23" s="436"/>
      <c r="Y23" s="436"/>
      <c r="Z23" s="436"/>
      <c r="AA23" s="436"/>
      <c r="AB23" s="436"/>
      <c r="AC23" s="475"/>
      <c r="AD23" s="476"/>
      <c r="AE23" s="436"/>
      <c r="AF23" s="436"/>
      <c r="AG23" s="436"/>
      <c r="AH23" s="436"/>
      <c r="AI23" s="436"/>
      <c r="AJ23" s="436"/>
      <c r="AK23" s="436"/>
      <c r="AL23" s="436"/>
      <c r="AM23" s="475"/>
      <c r="AN23" s="476"/>
      <c r="AO23" s="436"/>
      <c r="AP23" s="436"/>
      <c r="AQ23" s="436"/>
      <c r="AR23" s="436"/>
      <c r="AS23" s="436"/>
      <c r="AT23" s="436"/>
      <c r="AU23" s="436"/>
      <c r="AV23" s="436"/>
      <c r="AW23" s="475"/>
      <c r="AX23" s="467"/>
      <c r="AY23" s="465"/>
      <c r="AZ23" s="465"/>
      <c r="BA23" s="465"/>
      <c r="BB23" s="465"/>
      <c r="BC23" s="465"/>
      <c r="BD23" s="465"/>
      <c r="BE23" s="465"/>
      <c r="BF23" s="465"/>
      <c r="BG23" s="466"/>
      <c r="BH23" s="55"/>
      <c r="BI23" s="489"/>
      <c r="BJ23" s="490"/>
      <c r="BK23" s="490"/>
      <c r="BL23" s="490"/>
      <c r="BM23" s="490"/>
      <c r="BN23" s="491"/>
      <c r="BO23" s="55"/>
      <c r="BP23" s="55"/>
      <c r="BQ23" s="55"/>
      <c r="BR23" s="55"/>
      <c r="BS23" s="55"/>
      <c r="BT23" s="55"/>
      <c r="BU23" s="55"/>
      <c r="BV23" s="55"/>
      <c r="BW23" s="55"/>
      <c r="BX23" s="55"/>
      <c r="BY23" s="55"/>
      <c r="BZ23" s="55"/>
      <c r="CA23" s="55"/>
      <c r="CB23" s="55"/>
      <c r="CC23" s="55"/>
      <c r="CD23" s="55"/>
      <c r="CE23" s="55"/>
      <c r="CF23" s="55"/>
      <c r="CG23" s="55"/>
      <c r="CH23" s="55"/>
      <c r="CI23" s="55"/>
      <c r="CJ23" s="55"/>
      <c r="CK23" s="55"/>
      <c r="CL23" s="55"/>
      <c r="CM23" s="55"/>
      <c r="CN23" s="55"/>
      <c r="CO23" s="55"/>
      <c r="CP23" s="55"/>
      <c r="CQ23" s="55"/>
      <c r="CR23" s="55"/>
      <c r="CS23" s="55"/>
      <c r="CT23" s="55"/>
      <c r="CU23" s="55"/>
      <c r="CV23" s="55"/>
    </row>
    <row r="24" spans="1:100" ht="15" customHeight="1" x14ac:dyDescent="0.25">
      <c r="A24" s="55"/>
      <c r="B24" s="301"/>
      <c r="C24" s="301"/>
      <c r="D24" s="302"/>
      <c r="E24" s="454"/>
      <c r="F24" s="455"/>
      <c r="G24" s="455"/>
      <c r="H24" s="455"/>
      <c r="I24" s="456"/>
      <c r="J24" s="436" t="str">
        <f>IF(AND('Mapa final'!$K$139="Muy Alta",'Mapa final'!$O$139="Leve"),CONCATENATE("R",'Mapa final'!$A$139),"")</f>
        <v/>
      </c>
      <c r="K24" s="436"/>
      <c r="L24" s="436" t="str">
        <f>IF(AND('Mapa final'!$K$142="Muy Alta",'Mapa final'!$O$142="Leve"),CONCATENATE("R",'Mapa final'!$A$142),"")</f>
        <v/>
      </c>
      <c r="M24" s="436"/>
      <c r="N24" s="436" t="str">
        <f>IF(AND('Mapa final'!$K$145="Muy Alta",'Mapa final'!$O$145="Leve"),CONCATENATE("R",'Mapa final'!$A$145),"")</f>
        <v/>
      </c>
      <c r="O24" s="436"/>
      <c r="P24" s="436" t="str">
        <f>IF(AND('Mapa final'!$K$148="Muy Alta",'Mapa final'!$O$148="Leve"),CONCATENATE("R",'Mapa final'!$A$148),"")</f>
        <v/>
      </c>
      <c r="Q24" s="436"/>
      <c r="R24" s="436" t="str">
        <f>IF(AND('Mapa final'!$K$151="Muy Alta",'Mapa final'!$O$151="Leve"),CONCATENATE("R",'Mapa final'!$A$151),"")</f>
        <v/>
      </c>
      <c r="S24" s="436"/>
      <c r="T24" s="476" t="str">
        <f>IF(AND('Mapa final'!$K$139="Muy Alta",'Mapa final'!$O$139="Menor"),CONCATENATE("R",'Mapa final'!$A$139),"")</f>
        <v/>
      </c>
      <c r="U24" s="436"/>
      <c r="V24" s="436" t="str">
        <f>IF(AND('Mapa final'!$K$142="Muy Alta",'Mapa final'!$O$142="Menor"),CONCATENATE("R",'Mapa final'!$A$142),"")</f>
        <v/>
      </c>
      <c r="W24" s="436"/>
      <c r="X24" s="436" t="str">
        <f>IF(AND('Mapa final'!$K$145="Muy Alta",'Mapa final'!$O$145="Menor"),CONCATENATE("R",'Mapa final'!$A$145),"")</f>
        <v/>
      </c>
      <c r="Y24" s="436"/>
      <c r="Z24" s="436" t="str">
        <f>IF(AND('Mapa final'!$K$148="Muy Alta",'Mapa final'!$O$148="Menor"),CONCATENATE("R",'Mapa final'!$A$148),"")</f>
        <v/>
      </c>
      <c r="AA24" s="436"/>
      <c r="AB24" s="436" t="str">
        <f>IF(AND('Mapa final'!$K$151="Muy Alta",'Mapa final'!$O$151="Menor"),CONCATENATE("R",'Mapa final'!$A$151),"")</f>
        <v/>
      </c>
      <c r="AC24" s="475"/>
      <c r="AD24" s="476" t="str">
        <f>IF(AND('Mapa final'!$K$139="Muy Alta",'Mapa final'!$O$139="Moderado"),CONCATENATE("R",'Mapa final'!$A$139),"")</f>
        <v/>
      </c>
      <c r="AE24" s="436"/>
      <c r="AF24" s="436" t="str">
        <f>IF(AND('Mapa final'!$K$142="Muy Alta",'Mapa final'!$O$142="Moderado"),CONCATENATE("R",'Mapa final'!$A$142),"")</f>
        <v/>
      </c>
      <c r="AG24" s="436"/>
      <c r="AH24" s="436" t="str">
        <f>IF(AND('Mapa final'!$K$145="Muy Alta",'Mapa final'!$O$145="Moderado"),CONCATENATE("R",'Mapa final'!$A$145),"")</f>
        <v/>
      </c>
      <c r="AI24" s="436"/>
      <c r="AJ24" s="436" t="str">
        <f>IF(AND('Mapa final'!$K$148="Muy Alta",'Mapa final'!$O$148="Moderado"),CONCATENATE("R",'Mapa final'!$A$148),"")</f>
        <v/>
      </c>
      <c r="AK24" s="436"/>
      <c r="AL24" s="436" t="str">
        <f>IF(AND('Mapa final'!$K$151="Muy Alta",'Mapa final'!$O$151="Moderado"),CONCATENATE("R",'Mapa final'!$A$151),"")</f>
        <v/>
      </c>
      <c r="AM24" s="475"/>
      <c r="AN24" s="476" t="str">
        <f>IF(AND('Mapa final'!$K$139="Muy Alta",'Mapa final'!$O$139="Mayor"),CONCATENATE("R",'Mapa final'!$A$139),"")</f>
        <v/>
      </c>
      <c r="AO24" s="436"/>
      <c r="AP24" s="436" t="str">
        <f>IF(AND('Mapa final'!$K$142="Muy Alta",'Mapa final'!$O$142="Mayor"),CONCATENATE("R",'Mapa final'!$A$142),"")</f>
        <v/>
      </c>
      <c r="AQ24" s="436"/>
      <c r="AR24" s="436" t="str">
        <f>IF(AND('Mapa final'!$K$145="Muy Alta",'Mapa final'!$O$145="Mayor"),CONCATENATE("R",'Mapa final'!$A$145),"")</f>
        <v/>
      </c>
      <c r="AS24" s="436"/>
      <c r="AT24" s="436" t="str">
        <f>IF(AND('Mapa final'!$K$148="Muy Alta",'Mapa final'!$O$148="Mayor"),CONCATENATE("R",'Mapa final'!$A$148),"")</f>
        <v/>
      </c>
      <c r="AU24" s="436"/>
      <c r="AV24" s="436" t="str">
        <f>IF(AND('Mapa final'!$K$151="Muy Alta",'Mapa final'!$O$151="Mayor"),CONCATENATE("R",'Mapa final'!$A$151),"")</f>
        <v/>
      </c>
      <c r="AW24" s="475"/>
      <c r="AX24" s="467" t="str">
        <f>IF(AND('Mapa final'!$K$139="Muy Alta",'Mapa final'!$O$139="Catastrófico"),CONCATENATE("R",'Mapa final'!$A$139),"")</f>
        <v/>
      </c>
      <c r="AY24" s="465"/>
      <c r="AZ24" s="465" t="str">
        <f>IF(AND('Mapa final'!$K$142="Muy Alta",'Mapa final'!$O$142="Catastrófico"),CONCATENATE("R",'Mapa final'!$A$142),"")</f>
        <v/>
      </c>
      <c r="BA24" s="465"/>
      <c r="BB24" s="465" t="str">
        <f>IF(AND('Mapa final'!$K$145="Muy Alta",'Mapa final'!$O$145="Catastrófico"),CONCATENATE("R",'Mapa final'!$A$145),"")</f>
        <v/>
      </c>
      <c r="BC24" s="465"/>
      <c r="BD24" s="465" t="str">
        <f>IF(AND('Mapa final'!$K$148="Muy Alta",'Mapa final'!$O$148="Catastrófico"),CONCATENATE("R",'Mapa final'!$A$148),"")</f>
        <v/>
      </c>
      <c r="BE24" s="465"/>
      <c r="BF24" s="465" t="str">
        <f>IF(AND('Mapa final'!$K$151="Muy Alta",'Mapa final'!$O$151="Catastrófico"),CONCATENATE("R",'Mapa final'!$A$151),"")</f>
        <v/>
      </c>
      <c r="BG24" s="466"/>
      <c r="BH24" s="55"/>
      <c r="BI24" s="489"/>
      <c r="BJ24" s="490"/>
      <c r="BK24" s="490"/>
      <c r="BL24" s="490"/>
      <c r="BM24" s="490"/>
      <c r="BN24" s="491"/>
      <c r="BO24" s="55"/>
      <c r="BP24" s="55"/>
      <c r="BQ24" s="55"/>
      <c r="BR24" s="55"/>
      <c r="BS24" s="55"/>
      <c r="BT24" s="55"/>
      <c r="BU24" s="55"/>
      <c r="BV24" s="55"/>
      <c r="BW24" s="55"/>
      <c r="BX24" s="55"/>
      <c r="BY24" s="55"/>
      <c r="BZ24" s="55"/>
      <c r="CA24" s="55"/>
      <c r="CB24" s="55"/>
      <c r="CC24" s="55"/>
      <c r="CD24" s="55"/>
      <c r="CE24" s="55"/>
      <c r="CF24" s="55"/>
      <c r="CG24" s="55"/>
      <c r="CH24" s="55"/>
      <c r="CI24" s="55"/>
      <c r="CJ24" s="55"/>
      <c r="CK24" s="55"/>
      <c r="CL24" s="55"/>
      <c r="CM24" s="55"/>
      <c r="CN24" s="55"/>
      <c r="CO24" s="55"/>
      <c r="CP24" s="55"/>
      <c r="CQ24" s="55"/>
      <c r="CR24" s="55"/>
      <c r="CS24" s="55"/>
      <c r="CT24" s="55"/>
      <c r="CU24" s="55"/>
      <c r="CV24" s="55"/>
    </row>
    <row r="25" spans="1:100" ht="15.75" customHeight="1" thickBot="1" x14ac:dyDescent="0.3">
      <c r="A25" s="55"/>
      <c r="B25" s="301"/>
      <c r="C25" s="301"/>
      <c r="D25" s="302"/>
      <c r="E25" s="457"/>
      <c r="F25" s="458"/>
      <c r="G25" s="458"/>
      <c r="H25" s="458"/>
      <c r="I25" s="459"/>
      <c r="J25" s="436"/>
      <c r="K25" s="436"/>
      <c r="L25" s="436"/>
      <c r="M25" s="436"/>
      <c r="N25" s="436"/>
      <c r="O25" s="436"/>
      <c r="P25" s="436"/>
      <c r="Q25" s="436"/>
      <c r="R25" s="436"/>
      <c r="S25" s="436"/>
      <c r="T25" s="477"/>
      <c r="U25" s="474"/>
      <c r="V25" s="474"/>
      <c r="W25" s="474"/>
      <c r="X25" s="474"/>
      <c r="Y25" s="474"/>
      <c r="Z25" s="474"/>
      <c r="AA25" s="474"/>
      <c r="AB25" s="474"/>
      <c r="AC25" s="478"/>
      <c r="AD25" s="477"/>
      <c r="AE25" s="474"/>
      <c r="AF25" s="474"/>
      <c r="AG25" s="474"/>
      <c r="AH25" s="474"/>
      <c r="AI25" s="474"/>
      <c r="AJ25" s="474"/>
      <c r="AK25" s="474"/>
      <c r="AL25" s="474"/>
      <c r="AM25" s="478"/>
      <c r="AN25" s="477"/>
      <c r="AO25" s="474"/>
      <c r="AP25" s="474"/>
      <c r="AQ25" s="474"/>
      <c r="AR25" s="474"/>
      <c r="AS25" s="474"/>
      <c r="AT25" s="474"/>
      <c r="AU25" s="474"/>
      <c r="AV25" s="474"/>
      <c r="AW25" s="478"/>
      <c r="AX25" s="468"/>
      <c r="AY25" s="469"/>
      <c r="AZ25" s="469"/>
      <c r="BA25" s="469"/>
      <c r="BB25" s="469"/>
      <c r="BC25" s="469"/>
      <c r="BD25" s="469"/>
      <c r="BE25" s="469"/>
      <c r="BF25" s="469"/>
      <c r="BG25" s="470"/>
      <c r="BH25" s="55"/>
      <c r="BI25" s="489"/>
      <c r="BJ25" s="490"/>
      <c r="BK25" s="490"/>
      <c r="BL25" s="490"/>
      <c r="BM25" s="490"/>
      <c r="BN25" s="491"/>
      <c r="BO25" s="55"/>
      <c r="BP25" s="55"/>
      <c r="BQ25" s="55"/>
      <c r="BR25" s="55"/>
      <c r="BS25" s="55"/>
      <c r="BT25" s="55"/>
      <c r="BU25" s="55"/>
      <c r="BV25" s="55"/>
      <c r="BW25" s="55"/>
      <c r="BX25" s="55"/>
      <c r="BY25" s="55"/>
      <c r="BZ25" s="55"/>
      <c r="CA25" s="55"/>
      <c r="CB25" s="55"/>
      <c r="CC25" s="55"/>
      <c r="CD25" s="55"/>
      <c r="CE25" s="55"/>
      <c r="CF25" s="55"/>
      <c r="CG25" s="55"/>
      <c r="CH25" s="55"/>
      <c r="CI25" s="55"/>
      <c r="CJ25" s="55"/>
      <c r="CK25" s="55"/>
      <c r="CL25" s="55"/>
      <c r="CM25" s="55"/>
      <c r="CN25" s="55"/>
      <c r="CO25" s="55"/>
      <c r="CP25" s="55"/>
      <c r="CQ25" s="55"/>
      <c r="CR25" s="55"/>
      <c r="CS25" s="55"/>
      <c r="CT25" s="55"/>
      <c r="CU25" s="55"/>
      <c r="CV25" s="55"/>
    </row>
    <row r="26" spans="1:100" ht="15" customHeight="1" x14ac:dyDescent="0.25">
      <c r="A26" s="55"/>
      <c r="B26" s="301"/>
      <c r="C26" s="301"/>
      <c r="D26" s="302"/>
      <c r="E26" s="451" t="s">
        <v>106</v>
      </c>
      <c r="F26" s="452"/>
      <c r="G26" s="452"/>
      <c r="H26" s="452"/>
      <c r="I26" s="452"/>
      <c r="J26" s="463" t="str">
        <f>IF(AND('Mapa final'!$K$7="Alta",'Mapa final'!$O$7="Leve"),CONCATENATE("R",'Mapa final'!$A$7),"")</f>
        <v/>
      </c>
      <c r="K26" s="449"/>
      <c r="L26" s="449" t="str">
        <f>IF(AND('Mapa final'!$K$10="Alta",'Mapa final'!$O$10="Leve"),CONCATENATE("R",'Mapa final'!$A$10),"")</f>
        <v/>
      </c>
      <c r="M26" s="449"/>
      <c r="N26" s="449" t="str">
        <f>IF(AND('Mapa final'!$K$13="Alta",'Mapa final'!$O$13="Leve"),CONCATENATE("R",'Mapa final'!$A$13),"")</f>
        <v/>
      </c>
      <c r="O26" s="449"/>
      <c r="P26" s="449" t="e">
        <f>IF(AND('Mapa final'!#REF!="Alta",'Mapa final'!#REF!="Leve"),CONCATENATE("R",'Mapa final'!#REF!),"")</f>
        <v>#REF!</v>
      </c>
      <c r="Q26" s="449"/>
      <c r="R26" s="449" t="str">
        <f>IF(AND('Mapa final'!$K$16="Alta",'Mapa final'!$O$16="Leve"),CONCATENATE("R",'Mapa final'!$A$16),"")</f>
        <v/>
      </c>
      <c r="S26" s="464"/>
      <c r="T26" s="463" t="str">
        <f>IF(AND('Mapa final'!$K$7="Alta",'Mapa final'!$O$7="Menor"),CONCATENATE("R",'Mapa final'!$A$7),"")</f>
        <v/>
      </c>
      <c r="U26" s="449"/>
      <c r="V26" s="449" t="str">
        <f>IF(AND('Mapa final'!$K$10="Alta",'Mapa final'!$O$10="Menor"),CONCATENATE("R",'Mapa final'!$A$10),"")</f>
        <v/>
      </c>
      <c r="W26" s="449"/>
      <c r="X26" s="449" t="str">
        <f>IF(AND('Mapa final'!$K$13="Alta",'Mapa final'!$O$13="Menor"),CONCATENATE("R",'Mapa final'!$A$13),"")</f>
        <v/>
      </c>
      <c r="Y26" s="449"/>
      <c r="Z26" s="449" t="e">
        <f>IF(AND('Mapa final'!#REF!="Alta",'Mapa final'!#REF!="Menor"),CONCATENATE("R",'Mapa final'!#REF!),"")</f>
        <v>#REF!</v>
      </c>
      <c r="AA26" s="449"/>
      <c r="AB26" s="449" t="str">
        <f>IF(AND('Mapa final'!$K$16="Alta",'Mapa final'!$O$16="Menor"),CONCATENATE("R",'Mapa final'!$A$16),"")</f>
        <v/>
      </c>
      <c r="AC26" s="464"/>
      <c r="AD26" s="479" t="str">
        <f>IF(AND('Mapa final'!$K$7="Alta",'Mapa final'!$O$7="Moderado"),CONCATENATE("R",'Mapa final'!$A$7),"")</f>
        <v/>
      </c>
      <c r="AE26" s="480"/>
      <c r="AF26" s="480" t="str">
        <f>IF(AND('Mapa final'!$K$10="Alta",'Mapa final'!$O$10="Moderado"),CONCATENATE("R",'Mapa final'!$A$10),"")</f>
        <v/>
      </c>
      <c r="AG26" s="480"/>
      <c r="AH26" s="480" t="str">
        <f>IF(AND('Mapa final'!$K$13="Alta",'Mapa final'!$O$13="Moderado"),CONCATENATE("R",'Mapa final'!$A$13),"")</f>
        <v>R3</v>
      </c>
      <c r="AI26" s="480"/>
      <c r="AJ26" s="480" t="e">
        <f>IF(AND('Mapa final'!#REF!="Alta",'Mapa final'!#REF!="Moderado"),CONCATENATE("R",'Mapa final'!#REF!),"")</f>
        <v>#REF!</v>
      </c>
      <c r="AK26" s="480"/>
      <c r="AL26" s="480" t="str">
        <f>IF(AND('Mapa final'!$K$16="Alta",'Mapa final'!$O$16="Moderado"),CONCATENATE("R",'Mapa final'!$A$16),"")</f>
        <v/>
      </c>
      <c r="AM26" s="481"/>
      <c r="AN26" s="479" t="str">
        <f>IF(AND('Mapa final'!$K$7="Alta",'Mapa final'!$O$7="Mayor"),CONCATENATE("R",'Mapa final'!$A$7),"")</f>
        <v/>
      </c>
      <c r="AO26" s="480"/>
      <c r="AP26" s="480" t="str">
        <f>IF(AND('Mapa final'!$K$10="Alta",'Mapa final'!$O$10="Mayor"),CONCATENATE("R",'Mapa final'!$A$10),"")</f>
        <v/>
      </c>
      <c r="AQ26" s="480"/>
      <c r="AR26" s="480" t="str">
        <f>IF(AND('Mapa final'!$K$13="Alta",'Mapa final'!$O$13="Mayor"),CONCATENATE("R",'Mapa final'!$A$13),"")</f>
        <v/>
      </c>
      <c r="AS26" s="480"/>
      <c r="AT26" s="480" t="e">
        <f>IF(AND('Mapa final'!#REF!="Alta",'Mapa final'!#REF!="Mayor"),CONCATENATE("R",'Mapa final'!#REF!),"")</f>
        <v>#REF!</v>
      </c>
      <c r="AU26" s="480"/>
      <c r="AV26" s="480" t="str">
        <f>IF(AND('Mapa final'!$K$16="Alta",'Mapa final'!$O$16="Mayor"),CONCATENATE("R",'Mapa final'!$A$16),"")</f>
        <v/>
      </c>
      <c r="AW26" s="481"/>
      <c r="AX26" s="471" t="str">
        <f>IF(AND('Mapa final'!$K$7="Alta",'Mapa final'!$O$7="Catastrófico"),CONCATENATE("R",'Mapa final'!$A$7),"")</f>
        <v/>
      </c>
      <c r="AY26" s="472"/>
      <c r="AZ26" s="472" t="str">
        <f>IF(AND('Mapa final'!$K$10="Alta",'Mapa final'!$O$10="Catastrófico"),CONCATENATE("R",'Mapa final'!$A$10),"")</f>
        <v/>
      </c>
      <c r="BA26" s="472"/>
      <c r="BB26" s="472" t="str">
        <f>IF(AND('Mapa final'!$K$13="Alta",'Mapa final'!$O$13="Catastrófico"),CONCATENATE("R",'Mapa final'!$A$13),"")</f>
        <v/>
      </c>
      <c r="BC26" s="472"/>
      <c r="BD26" s="472" t="e">
        <f>IF(AND('Mapa final'!#REF!="Alta",'Mapa final'!#REF!="Catastrófico"),CONCATENATE("R",'Mapa final'!#REF!),"")</f>
        <v>#REF!</v>
      </c>
      <c r="BE26" s="472"/>
      <c r="BF26" s="472" t="str">
        <f>IF(AND('Mapa final'!$K$16="Alta",'Mapa final'!$O$16="Catastrófico"),CONCATENATE("R",'Mapa final'!$A$16),"")</f>
        <v/>
      </c>
      <c r="BG26" s="473"/>
      <c r="BH26" s="55"/>
      <c r="BI26" s="489"/>
      <c r="BJ26" s="490"/>
      <c r="BK26" s="490"/>
      <c r="BL26" s="490"/>
      <c r="BM26" s="490"/>
      <c r="BN26" s="491"/>
      <c r="BO26" s="55"/>
      <c r="BP26" s="55"/>
      <c r="BQ26" s="55"/>
      <c r="BR26" s="55"/>
      <c r="BS26" s="55"/>
      <c r="BT26" s="55"/>
      <c r="BU26" s="55"/>
      <c r="BV26" s="55"/>
      <c r="BW26" s="55"/>
      <c r="BX26" s="55"/>
      <c r="BY26" s="55"/>
      <c r="BZ26" s="55"/>
      <c r="CA26" s="55"/>
      <c r="CB26" s="55"/>
      <c r="CC26" s="55"/>
      <c r="CD26" s="55"/>
      <c r="CE26" s="55"/>
      <c r="CF26" s="55"/>
      <c r="CG26" s="55"/>
      <c r="CH26" s="55"/>
      <c r="CI26" s="55"/>
      <c r="CJ26" s="55"/>
      <c r="CK26" s="55"/>
      <c r="CL26" s="55"/>
      <c r="CM26" s="55"/>
      <c r="CN26" s="55"/>
      <c r="CO26" s="55"/>
      <c r="CP26" s="55"/>
      <c r="CQ26" s="55"/>
      <c r="CR26" s="55"/>
      <c r="CS26" s="55"/>
      <c r="CT26" s="55"/>
      <c r="CU26" s="55"/>
      <c r="CV26" s="55"/>
    </row>
    <row r="27" spans="1:100" ht="15" customHeight="1" x14ac:dyDescent="0.25">
      <c r="A27" s="55"/>
      <c r="B27" s="301"/>
      <c r="C27" s="301"/>
      <c r="D27" s="302"/>
      <c r="E27" s="454"/>
      <c r="F27" s="455"/>
      <c r="G27" s="455"/>
      <c r="H27" s="455"/>
      <c r="I27" s="455"/>
      <c r="J27" s="443"/>
      <c r="K27" s="444"/>
      <c r="L27" s="444"/>
      <c r="M27" s="444"/>
      <c r="N27" s="444"/>
      <c r="O27" s="444"/>
      <c r="P27" s="444"/>
      <c r="Q27" s="444"/>
      <c r="R27" s="444"/>
      <c r="S27" s="447"/>
      <c r="T27" s="443"/>
      <c r="U27" s="444"/>
      <c r="V27" s="444"/>
      <c r="W27" s="444"/>
      <c r="X27" s="444"/>
      <c r="Y27" s="444"/>
      <c r="Z27" s="444"/>
      <c r="AA27" s="444"/>
      <c r="AB27" s="444"/>
      <c r="AC27" s="447"/>
      <c r="AD27" s="476"/>
      <c r="AE27" s="436"/>
      <c r="AF27" s="436"/>
      <c r="AG27" s="436"/>
      <c r="AH27" s="436"/>
      <c r="AI27" s="436"/>
      <c r="AJ27" s="436"/>
      <c r="AK27" s="436"/>
      <c r="AL27" s="436"/>
      <c r="AM27" s="475"/>
      <c r="AN27" s="476"/>
      <c r="AO27" s="436"/>
      <c r="AP27" s="436"/>
      <c r="AQ27" s="436"/>
      <c r="AR27" s="436"/>
      <c r="AS27" s="436"/>
      <c r="AT27" s="436"/>
      <c r="AU27" s="436"/>
      <c r="AV27" s="436"/>
      <c r="AW27" s="475"/>
      <c r="AX27" s="467"/>
      <c r="AY27" s="465"/>
      <c r="AZ27" s="465"/>
      <c r="BA27" s="465"/>
      <c r="BB27" s="465"/>
      <c r="BC27" s="465"/>
      <c r="BD27" s="465"/>
      <c r="BE27" s="465"/>
      <c r="BF27" s="465"/>
      <c r="BG27" s="466"/>
      <c r="BH27" s="55"/>
      <c r="BI27" s="489"/>
      <c r="BJ27" s="490"/>
      <c r="BK27" s="490"/>
      <c r="BL27" s="490"/>
      <c r="BM27" s="490"/>
      <c r="BN27" s="491"/>
      <c r="BO27" s="55"/>
      <c r="BP27" s="55"/>
      <c r="BQ27" s="55"/>
      <c r="BR27" s="55"/>
      <c r="BS27" s="55"/>
      <c r="BT27" s="55"/>
      <c r="BU27" s="55"/>
      <c r="BV27" s="55"/>
      <c r="BW27" s="55"/>
      <c r="BX27" s="55"/>
      <c r="BY27" s="55"/>
      <c r="BZ27" s="55"/>
      <c r="CA27" s="55"/>
      <c r="CB27" s="55"/>
      <c r="CC27" s="55"/>
      <c r="CD27" s="55"/>
      <c r="CE27" s="55"/>
      <c r="CF27" s="55"/>
      <c r="CG27" s="55"/>
      <c r="CH27" s="55"/>
      <c r="CI27" s="55"/>
      <c r="CJ27" s="55"/>
      <c r="CK27" s="55"/>
      <c r="CL27" s="55"/>
      <c r="CM27" s="55"/>
      <c r="CN27" s="55"/>
      <c r="CO27" s="55"/>
      <c r="CP27" s="55"/>
      <c r="CQ27" s="55"/>
      <c r="CR27" s="55"/>
      <c r="CS27" s="55"/>
      <c r="CT27" s="55"/>
      <c r="CU27" s="55"/>
      <c r="CV27" s="55"/>
    </row>
    <row r="28" spans="1:100" ht="15" customHeight="1" x14ac:dyDescent="0.25">
      <c r="A28" s="55"/>
      <c r="B28" s="301"/>
      <c r="C28" s="301"/>
      <c r="D28" s="302"/>
      <c r="E28" s="454"/>
      <c r="F28" s="455"/>
      <c r="G28" s="455"/>
      <c r="H28" s="455"/>
      <c r="I28" s="455"/>
      <c r="J28" s="443" t="str">
        <f>IF(AND('Mapa final'!$K$19="Alta",'Mapa final'!$O$19="Leve"),CONCATENATE("R",'Mapa final'!$A$19),"")</f>
        <v/>
      </c>
      <c r="K28" s="444"/>
      <c r="L28" s="444" t="str">
        <f>IF(AND('Mapa final'!$K$22="Alta",'Mapa final'!$O$22="Leve"),CONCATENATE("R",'Mapa final'!$A$22),"")</f>
        <v/>
      </c>
      <c r="M28" s="444"/>
      <c r="N28" s="444" t="str">
        <f>IF(AND('Mapa final'!$K$25="Alta",'Mapa final'!$O$25="Leve"),CONCATENATE("R",'Mapa final'!$A$25),"")</f>
        <v/>
      </c>
      <c r="O28" s="444"/>
      <c r="P28" s="444" t="str">
        <f>IF(AND('Mapa final'!$K$28="Alta",'Mapa final'!$O$28="Leve"),CONCATENATE("R",'Mapa final'!$A$28),"")</f>
        <v/>
      </c>
      <c r="Q28" s="444"/>
      <c r="R28" s="444" t="str">
        <f>IF(AND('Mapa final'!$K$31="Alta",'Mapa final'!$O$31="Leve"),CONCATENATE("R",'Mapa final'!$A$31),"")</f>
        <v/>
      </c>
      <c r="S28" s="447"/>
      <c r="T28" s="443" t="str">
        <f>IF(AND('Mapa final'!$K$19="Alta",'Mapa final'!$O$19="Menor"),CONCATENATE("R",'Mapa final'!$A$19),"")</f>
        <v/>
      </c>
      <c r="U28" s="444"/>
      <c r="V28" s="444" t="str">
        <f>IF(AND('Mapa final'!$K$22="Alta",'Mapa final'!$O$22="Menor"),CONCATENATE("R",'Mapa final'!$A$22),"")</f>
        <v/>
      </c>
      <c r="W28" s="444"/>
      <c r="X28" s="444" t="str">
        <f>IF(AND('Mapa final'!$K$25="Alta",'Mapa final'!$O$25="Menor"),CONCATENATE("R",'Mapa final'!$A$25),"")</f>
        <v/>
      </c>
      <c r="Y28" s="444"/>
      <c r="Z28" s="444" t="str">
        <f>IF(AND('Mapa final'!$K$28="Alta",'Mapa final'!$O$28="Menor"),CONCATENATE("R",'Mapa final'!$A$28),"")</f>
        <v/>
      </c>
      <c r="AA28" s="444"/>
      <c r="AB28" s="444" t="str">
        <f>IF(AND('Mapa final'!$K$31="Alta",'Mapa final'!$O$31="Menor"),CONCATENATE("R",'Mapa final'!$A$31),"")</f>
        <v/>
      </c>
      <c r="AC28" s="447"/>
      <c r="AD28" s="476" t="str">
        <f>IF(AND('Mapa final'!$K$19="Alta",'Mapa final'!$O$19="Moderado"),CONCATENATE("R",'Mapa final'!$A$19),"")</f>
        <v/>
      </c>
      <c r="AE28" s="436"/>
      <c r="AF28" s="436" t="str">
        <f>IF(AND('Mapa final'!$K$22="Alta",'Mapa final'!$O$22="Moderado"),CONCATENATE("R",'Mapa final'!$A$22),"")</f>
        <v/>
      </c>
      <c r="AG28" s="436"/>
      <c r="AH28" s="436" t="str">
        <f>IF(AND('Mapa final'!$K$25="Alta",'Mapa final'!$O$25="Moderado"),CONCATENATE("R",'Mapa final'!$A$25),"")</f>
        <v>R7</v>
      </c>
      <c r="AI28" s="436"/>
      <c r="AJ28" s="436" t="str">
        <f>IF(AND('Mapa final'!$K$28="Alta",'Mapa final'!$O$28="Moderado"),CONCATENATE("R",'Mapa final'!$A$28),"")</f>
        <v/>
      </c>
      <c r="AK28" s="436"/>
      <c r="AL28" s="436" t="str">
        <f>IF(AND('Mapa final'!$K$31="Alta",'Mapa final'!$O$31="Moderado"),CONCATENATE("R",'Mapa final'!$A$31),"")</f>
        <v>R9</v>
      </c>
      <c r="AM28" s="475"/>
      <c r="AN28" s="476" t="str">
        <f>IF(AND('Mapa final'!$K$19="Alta",'Mapa final'!$O$19="Mayor"),CONCATENATE("R",'Mapa final'!$A$19),"")</f>
        <v/>
      </c>
      <c r="AO28" s="436"/>
      <c r="AP28" s="436" t="str">
        <f>IF(AND('Mapa final'!$K$22="Alta",'Mapa final'!$O$22="Mayor"),CONCATENATE("R",'Mapa final'!$A$22),"")</f>
        <v/>
      </c>
      <c r="AQ28" s="436"/>
      <c r="AR28" s="436" t="str">
        <f>IF(AND('Mapa final'!$K$25="Alta",'Mapa final'!$O$25="Mayor"),CONCATENATE("R",'Mapa final'!$A$25),"")</f>
        <v/>
      </c>
      <c r="AS28" s="436"/>
      <c r="AT28" s="436" t="str">
        <f>IF(AND('Mapa final'!$K$28="Alta",'Mapa final'!$O$28="Mayor"),CONCATENATE("R",'Mapa final'!$A$28),"")</f>
        <v>R8</v>
      </c>
      <c r="AU28" s="436"/>
      <c r="AV28" s="436" t="str">
        <f>IF(AND('Mapa final'!$K$31="Alta",'Mapa final'!$O$31="Mayor"),CONCATENATE("R",'Mapa final'!$A$31),"")</f>
        <v/>
      </c>
      <c r="AW28" s="475"/>
      <c r="AX28" s="467" t="str">
        <f>IF(AND('Mapa final'!$K$19="Alta",'Mapa final'!$O$19="Catastrófico"),CONCATENATE("R",'Mapa final'!$A$19),"")</f>
        <v/>
      </c>
      <c r="AY28" s="465"/>
      <c r="AZ28" s="465" t="str">
        <f>IF(AND('Mapa final'!$K$22="Alta",'Mapa final'!$O$22="Catastrófico"),CONCATENATE("R",'Mapa final'!$A$22),"")</f>
        <v/>
      </c>
      <c r="BA28" s="465"/>
      <c r="BB28" s="465" t="str">
        <f>IF(AND('Mapa final'!$K$25="Alta",'Mapa final'!$O$25="Catastrófico"),CONCATENATE("R",'Mapa final'!$A$25),"")</f>
        <v/>
      </c>
      <c r="BC28" s="465"/>
      <c r="BD28" s="465" t="str">
        <f>IF(AND('Mapa final'!$K$28="Alta",'Mapa final'!$O$28="Catastrófico"),CONCATENATE("R",'Mapa final'!$A$28),"")</f>
        <v/>
      </c>
      <c r="BE28" s="465"/>
      <c r="BF28" s="465" t="str">
        <f>IF(AND('Mapa final'!$K$31="Alta",'Mapa final'!$O$31="Catastrófico"),CONCATENATE("R",'Mapa final'!$A$31),"")</f>
        <v/>
      </c>
      <c r="BG28" s="466"/>
      <c r="BH28" s="55"/>
      <c r="BI28" s="489"/>
      <c r="BJ28" s="490"/>
      <c r="BK28" s="490"/>
      <c r="BL28" s="490"/>
      <c r="BM28" s="490"/>
      <c r="BN28" s="491"/>
      <c r="BO28" s="55"/>
      <c r="BP28" s="55"/>
      <c r="BQ28" s="55"/>
      <c r="BR28" s="55"/>
      <c r="BS28" s="55"/>
      <c r="BT28" s="55"/>
      <c r="BU28" s="55"/>
      <c r="BV28" s="55"/>
      <c r="BW28" s="55"/>
      <c r="BX28" s="55"/>
      <c r="BY28" s="55"/>
      <c r="BZ28" s="55"/>
      <c r="CA28" s="55"/>
      <c r="CB28" s="55"/>
      <c r="CC28" s="55"/>
      <c r="CD28" s="55"/>
      <c r="CE28" s="55"/>
      <c r="CF28" s="55"/>
      <c r="CG28" s="55"/>
      <c r="CH28" s="55"/>
      <c r="CI28" s="55"/>
      <c r="CJ28" s="55"/>
      <c r="CK28" s="55"/>
      <c r="CL28" s="55"/>
      <c r="CM28" s="55"/>
      <c r="CN28" s="55"/>
      <c r="CO28" s="55"/>
      <c r="CP28" s="55"/>
      <c r="CQ28" s="55"/>
      <c r="CR28" s="55"/>
      <c r="CS28" s="55"/>
      <c r="CT28" s="55"/>
      <c r="CU28" s="55"/>
      <c r="CV28" s="55"/>
    </row>
    <row r="29" spans="1:100" ht="15" customHeight="1" x14ac:dyDescent="0.25">
      <c r="A29" s="55"/>
      <c r="B29" s="301"/>
      <c r="C29" s="301"/>
      <c r="D29" s="302"/>
      <c r="E29" s="454"/>
      <c r="F29" s="455"/>
      <c r="G29" s="455"/>
      <c r="H29" s="455"/>
      <c r="I29" s="455"/>
      <c r="J29" s="443"/>
      <c r="K29" s="444"/>
      <c r="L29" s="444"/>
      <c r="M29" s="444"/>
      <c r="N29" s="444"/>
      <c r="O29" s="444"/>
      <c r="P29" s="444"/>
      <c r="Q29" s="444"/>
      <c r="R29" s="444"/>
      <c r="S29" s="447"/>
      <c r="T29" s="443"/>
      <c r="U29" s="444"/>
      <c r="V29" s="444"/>
      <c r="W29" s="444"/>
      <c r="X29" s="444"/>
      <c r="Y29" s="444"/>
      <c r="Z29" s="444"/>
      <c r="AA29" s="444"/>
      <c r="AB29" s="444"/>
      <c r="AC29" s="447"/>
      <c r="AD29" s="476"/>
      <c r="AE29" s="436"/>
      <c r="AF29" s="436"/>
      <c r="AG29" s="436"/>
      <c r="AH29" s="436"/>
      <c r="AI29" s="436"/>
      <c r="AJ29" s="436"/>
      <c r="AK29" s="436"/>
      <c r="AL29" s="436"/>
      <c r="AM29" s="475"/>
      <c r="AN29" s="476"/>
      <c r="AO29" s="436"/>
      <c r="AP29" s="436"/>
      <c r="AQ29" s="436"/>
      <c r="AR29" s="436"/>
      <c r="AS29" s="436"/>
      <c r="AT29" s="436"/>
      <c r="AU29" s="436"/>
      <c r="AV29" s="436"/>
      <c r="AW29" s="475"/>
      <c r="AX29" s="467"/>
      <c r="AY29" s="465"/>
      <c r="AZ29" s="465"/>
      <c r="BA29" s="465"/>
      <c r="BB29" s="465"/>
      <c r="BC29" s="465"/>
      <c r="BD29" s="465"/>
      <c r="BE29" s="465"/>
      <c r="BF29" s="465"/>
      <c r="BG29" s="466"/>
      <c r="BH29" s="55"/>
      <c r="BI29" s="489"/>
      <c r="BJ29" s="490"/>
      <c r="BK29" s="490"/>
      <c r="BL29" s="490"/>
      <c r="BM29" s="490"/>
      <c r="BN29" s="491"/>
      <c r="BO29" s="55"/>
      <c r="BP29" s="55"/>
      <c r="BQ29" s="55"/>
      <c r="BR29" s="55"/>
      <c r="BS29" s="55"/>
      <c r="BT29" s="55"/>
      <c r="BU29" s="55"/>
      <c r="BV29" s="55"/>
      <c r="BW29" s="55"/>
      <c r="BX29" s="55"/>
      <c r="BY29" s="55"/>
      <c r="BZ29" s="55"/>
      <c r="CA29" s="55"/>
      <c r="CB29" s="55"/>
      <c r="CC29" s="55"/>
      <c r="CD29" s="55"/>
      <c r="CE29" s="55"/>
      <c r="CF29" s="55"/>
      <c r="CG29" s="55"/>
      <c r="CH29" s="55"/>
      <c r="CI29" s="55"/>
      <c r="CJ29" s="55"/>
      <c r="CK29" s="55"/>
      <c r="CL29" s="55"/>
      <c r="CM29" s="55"/>
      <c r="CN29" s="55"/>
      <c r="CO29" s="55"/>
      <c r="CP29" s="55"/>
      <c r="CQ29" s="55"/>
      <c r="CR29" s="55"/>
      <c r="CS29" s="55"/>
      <c r="CT29" s="55"/>
      <c r="CU29" s="55"/>
      <c r="CV29" s="55"/>
    </row>
    <row r="30" spans="1:100" ht="15" customHeight="1" x14ac:dyDescent="0.25">
      <c r="A30" s="55"/>
      <c r="B30" s="301"/>
      <c r="C30" s="301"/>
      <c r="D30" s="302"/>
      <c r="E30" s="454"/>
      <c r="F30" s="455"/>
      <c r="G30" s="455"/>
      <c r="H30" s="455"/>
      <c r="I30" s="455"/>
      <c r="J30" s="443" t="str">
        <f>IF(AND('Mapa final'!$K$34="Alta",'Mapa final'!$O$34="Leve"),CONCATENATE("R",'Mapa final'!$A$34),"")</f>
        <v/>
      </c>
      <c r="K30" s="444"/>
      <c r="L30" s="444" t="str">
        <f>IF(AND('Mapa final'!$K$37="Alta",'Mapa final'!$O$37="Leve"),CONCATENATE("R",'Mapa final'!$A$37),"")</f>
        <v/>
      </c>
      <c r="M30" s="444"/>
      <c r="N30" s="444" t="str">
        <f>IF(AND('Mapa final'!$K$40="Alta",'Mapa final'!$O$40="Leve"),CONCATENATE("R",'Mapa final'!$A$40),"")</f>
        <v/>
      </c>
      <c r="O30" s="444"/>
      <c r="P30" s="444" t="str">
        <f>IF(AND('Mapa final'!$K$43="Alta",'Mapa final'!$O$43="Leve"),CONCATENATE("R",'Mapa final'!$A$43),"")</f>
        <v/>
      </c>
      <c r="Q30" s="444"/>
      <c r="R30" s="444" t="str">
        <f>IF(AND('Mapa final'!$K$46="Alta",'Mapa final'!$O$46="Leve"),CONCATENATE("R",'Mapa final'!$A$46),"")</f>
        <v/>
      </c>
      <c r="S30" s="447"/>
      <c r="T30" s="443" t="str">
        <f>IF(AND('Mapa final'!$K$34="Alta",'Mapa final'!$O$34="Menor"),CONCATENATE("R",'Mapa final'!$A$34),"")</f>
        <v/>
      </c>
      <c r="U30" s="444"/>
      <c r="V30" s="444" t="str">
        <f>IF(AND('Mapa final'!$K$37="Alta",'Mapa final'!$O$37="Menor"),CONCATENATE("R",'Mapa final'!$A$37),"")</f>
        <v/>
      </c>
      <c r="W30" s="444"/>
      <c r="X30" s="444" t="str">
        <f>IF(AND('Mapa final'!$K$40="Alta",'Mapa final'!$O$40="Menor"),CONCATENATE("R",'Mapa final'!$A$40),"")</f>
        <v/>
      </c>
      <c r="Y30" s="444"/>
      <c r="Z30" s="444" t="str">
        <f>IF(AND('Mapa final'!$K$43="Alta",'Mapa final'!$O$43="Menor"),CONCATENATE("R",'Mapa final'!$A$43),"")</f>
        <v/>
      </c>
      <c r="AA30" s="444"/>
      <c r="AB30" s="444" t="str">
        <f>IF(AND('Mapa final'!$K$46="Alta",'Mapa final'!$O$46="Menor"),CONCATENATE("R",'Mapa final'!$A$46),"")</f>
        <v/>
      </c>
      <c r="AC30" s="447"/>
      <c r="AD30" s="476" t="str">
        <f>IF(AND('Mapa final'!$K$34="Alta",'Mapa final'!$O$34="Moderado"),CONCATENATE("R",'Mapa final'!$A$34),"")</f>
        <v/>
      </c>
      <c r="AE30" s="436"/>
      <c r="AF30" s="436" t="str">
        <f>IF(AND('Mapa final'!$K$37="Alta",'Mapa final'!$O$37="Moderado"),CONCATENATE("R",'Mapa final'!$A$37),"")</f>
        <v/>
      </c>
      <c r="AG30" s="436"/>
      <c r="AH30" s="436" t="str">
        <f>IF(AND('Mapa final'!$K$40="Alta",'Mapa final'!$O$40="Moderado"),CONCATENATE("R",'Mapa final'!$A$40),"")</f>
        <v/>
      </c>
      <c r="AI30" s="436"/>
      <c r="AJ30" s="436" t="str">
        <f>IF(AND('Mapa final'!$K$43="Alta",'Mapa final'!$O$43="Moderado"),CONCATENATE("R",'Mapa final'!$A$43),"")</f>
        <v/>
      </c>
      <c r="AK30" s="436"/>
      <c r="AL30" s="436" t="str">
        <f>IF(AND('Mapa final'!$K$46="Alta",'Mapa final'!$O$46="Moderado"),CONCATENATE("R",'Mapa final'!$A$46),"")</f>
        <v>R14</v>
      </c>
      <c r="AM30" s="475"/>
      <c r="AN30" s="476" t="str">
        <f>IF(AND('Mapa final'!$K$34="Alta",'Mapa final'!$O$34="Mayor"),CONCATENATE("R",'Mapa final'!$A$34),"")</f>
        <v/>
      </c>
      <c r="AO30" s="436"/>
      <c r="AP30" s="436" t="str">
        <f>IF(AND('Mapa final'!$K$37="Alta",'Mapa final'!$O$37="Mayor"),CONCATENATE("R",'Mapa final'!$A$37),"")</f>
        <v/>
      </c>
      <c r="AQ30" s="436"/>
      <c r="AR30" s="436" t="str">
        <f>IF(AND('Mapa final'!$K$40="Alta",'Mapa final'!$O$40="Mayor"),CONCATENATE("R",'Mapa final'!$A$40),"")</f>
        <v/>
      </c>
      <c r="AS30" s="436"/>
      <c r="AT30" s="436" t="str">
        <f>IF(AND('Mapa final'!$K$43="Alta",'Mapa final'!$O$43="Mayor"),CONCATENATE("R",'Mapa final'!$A$43),"")</f>
        <v/>
      </c>
      <c r="AU30" s="436"/>
      <c r="AV30" s="436" t="str">
        <f>IF(AND('Mapa final'!$K$46="Alta",'Mapa final'!$O$46="Mayor"),CONCATENATE("R",'Mapa final'!$A$46),"")</f>
        <v/>
      </c>
      <c r="AW30" s="475"/>
      <c r="AX30" s="467" t="str">
        <f>IF(AND('Mapa final'!$K$34="Alta",'Mapa final'!$O$34="Catastrófico"),CONCATENATE("R",'Mapa final'!$A$34),"")</f>
        <v/>
      </c>
      <c r="AY30" s="465"/>
      <c r="AZ30" s="465" t="str">
        <f>IF(AND('Mapa final'!$K$37="Alta",'Mapa final'!$O$37="Catastrófico"),CONCATENATE("R",'Mapa final'!$A$37),"")</f>
        <v/>
      </c>
      <c r="BA30" s="465"/>
      <c r="BB30" s="465" t="str">
        <f>IF(AND('Mapa final'!$K$40="Alta",'Mapa final'!$O$40="Catastrófico"),CONCATENATE("R",'Mapa final'!$A$40),"")</f>
        <v/>
      </c>
      <c r="BC30" s="465"/>
      <c r="BD30" s="465" t="str">
        <f>IF(AND('Mapa final'!$K$43="Alta",'Mapa final'!$O$43="Catastrófico"),CONCATENATE("R",'Mapa final'!$A$43),"")</f>
        <v/>
      </c>
      <c r="BE30" s="465"/>
      <c r="BF30" s="465" t="str">
        <f>IF(AND('Mapa final'!$K$46="Alta",'Mapa final'!$O$46="Catastrófico"),CONCATENATE("R",'Mapa final'!$A$46),"")</f>
        <v/>
      </c>
      <c r="BG30" s="466"/>
      <c r="BH30" s="55"/>
      <c r="BI30" s="489"/>
      <c r="BJ30" s="490"/>
      <c r="BK30" s="490"/>
      <c r="BL30" s="490"/>
      <c r="BM30" s="490"/>
      <c r="BN30" s="491"/>
      <c r="BO30" s="55"/>
      <c r="BP30" s="55"/>
      <c r="BQ30" s="55"/>
      <c r="BR30" s="55"/>
      <c r="BS30" s="55"/>
      <c r="BT30" s="55"/>
      <c r="BU30" s="55"/>
      <c r="BV30" s="55"/>
      <c r="BW30" s="55"/>
      <c r="BX30" s="55"/>
      <c r="BY30" s="55"/>
      <c r="BZ30" s="55"/>
      <c r="CA30" s="55"/>
      <c r="CB30" s="55"/>
      <c r="CC30" s="55"/>
      <c r="CD30" s="55"/>
      <c r="CE30" s="55"/>
      <c r="CF30" s="55"/>
      <c r="CG30" s="55"/>
      <c r="CH30" s="55"/>
      <c r="CI30" s="55"/>
      <c r="CJ30" s="55"/>
      <c r="CK30" s="55"/>
      <c r="CL30" s="55"/>
      <c r="CM30" s="55"/>
      <c r="CN30" s="55"/>
      <c r="CO30" s="55"/>
      <c r="CP30" s="55"/>
      <c r="CQ30" s="55"/>
      <c r="CR30" s="55"/>
      <c r="CS30" s="55"/>
      <c r="CT30" s="55"/>
      <c r="CU30" s="55"/>
      <c r="CV30" s="55"/>
    </row>
    <row r="31" spans="1:100" ht="15" customHeight="1" x14ac:dyDescent="0.25">
      <c r="A31" s="55"/>
      <c r="B31" s="301"/>
      <c r="C31" s="301"/>
      <c r="D31" s="302"/>
      <c r="E31" s="454"/>
      <c r="F31" s="455"/>
      <c r="G31" s="455"/>
      <c r="H31" s="455"/>
      <c r="I31" s="455"/>
      <c r="J31" s="443"/>
      <c r="K31" s="444"/>
      <c r="L31" s="444"/>
      <c r="M31" s="444"/>
      <c r="N31" s="444"/>
      <c r="O31" s="444"/>
      <c r="P31" s="444"/>
      <c r="Q31" s="444"/>
      <c r="R31" s="444"/>
      <c r="S31" s="447"/>
      <c r="T31" s="443"/>
      <c r="U31" s="444"/>
      <c r="V31" s="444"/>
      <c r="W31" s="444"/>
      <c r="X31" s="444"/>
      <c r="Y31" s="444"/>
      <c r="Z31" s="444"/>
      <c r="AA31" s="444"/>
      <c r="AB31" s="444"/>
      <c r="AC31" s="447"/>
      <c r="AD31" s="476"/>
      <c r="AE31" s="436"/>
      <c r="AF31" s="436"/>
      <c r="AG31" s="436"/>
      <c r="AH31" s="436"/>
      <c r="AI31" s="436"/>
      <c r="AJ31" s="436"/>
      <c r="AK31" s="436"/>
      <c r="AL31" s="436"/>
      <c r="AM31" s="475"/>
      <c r="AN31" s="476"/>
      <c r="AO31" s="436"/>
      <c r="AP31" s="436"/>
      <c r="AQ31" s="436"/>
      <c r="AR31" s="436"/>
      <c r="AS31" s="436"/>
      <c r="AT31" s="436"/>
      <c r="AU31" s="436"/>
      <c r="AV31" s="436"/>
      <c r="AW31" s="475"/>
      <c r="AX31" s="467"/>
      <c r="AY31" s="465"/>
      <c r="AZ31" s="465"/>
      <c r="BA31" s="465"/>
      <c r="BB31" s="465"/>
      <c r="BC31" s="465"/>
      <c r="BD31" s="465"/>
      <c r="BE31" s="465"/>
      <c r="BF31" s="465"/>
      <c r="BG31" s="466"/>
      <c r="BH31" s="55"/>
      <c r="BI31" s="489"/>
      <c r="BJ31" s="490"/>
      <c r="BK31" s="490"/>
      <c r="BL31" s="490"/>
      <c r="BM31" s="490"/>
      <c r="BN31" s="491"/>
      <c r="BO31" s="55"/>
      <c r="BP31" s="55"/>
      <c r="BQ31" s="55"/>
      <c r="BR31" s="55"/>
      <c r="BS31" s="55"/>
      <c r="BT31" s="55"/>
      <c r="BU31" s="55"/>
      <c r="BV31" s="55"/>
      <c r="BW31" s="55"/>
      <c r="BX31" s="55"/>
      <c r="BY31" s="55"/>
      <c r="BZ31" s="55"/>
      <c r="CA31" s="55"/>
      <c r="CB31" s="55"/>
      <c r="CC31" s="55"/>
      <c r="CD31" s="55"/>
      <c r="CE31" s="55"/>
      <c r="CF31" s="55"/>
      <c r="CG31" s="55"/>
      <c r="CH31" s="55"/>
      <c r="CI31" s="55"/>
      <c r="CJ31" s="55"/>
      <c r="CK31" s="55"/>
      <c r="CL31" s="55"/>
      <c r="CM31" s="55"/>
      <c r="CN31" s="55"/>
      <c r="CO31" s="55"/>
      <c r="CP31" s="55"/>
      <c r="CQ31" s="55"/>
      <c r="CR31" s="55"/>
      <c r="CS31" s="55"/>
      <c r="CT31" s="55"/>
      <c r="CU31" s="55"/>
      <c r="CV31" s="55"/>
    </row>
    <row r="32" spans="1:100" ht="15" customHeight="1" x14ac:dyDescent="0.25">
      <c r="A32" s="55"/>
      <c r="B32" s="301"/>
      <c r="C32" s="301"/>
      <c r="D32" s="302"/>
      <c r="E32" s="454"/>
      <c r="F32" s="455"/>
      <c r="G32" s="455"/>
      <c r="H32" s="455"/>
      <c r="I32" s="455"/>
      <c r="J32" s="443" t="str">
        <f>IF(AND('Mapa final'!$K$49="Alta",'Mapa final'!$O$49="Leve"),CONCATENATE("R",'Mapa final'!$A$49),"")</f>
        <v/>
      </c>
      <c r="K32" s="444"/>
      <c r="L32" s="444" t="str">
        <f>IF(AND('Mapa final'!$K$52="Alta",'Mapa final'!$O$52="Leve"),CONCATENATE("R",'Mapa final'!$A$52),"")</f>
        <v/>
      </c>
      <c r="M32" s="444"/>
      <c r="N32" s="444" t="str">
        <f>IF(AND('Mapa final'!$K$55="Alta",'Mapa final'!$O$55="Leve"),CONCATENATE("R",'Mapa final'!$A$55),"")</f>
        <v/>
      </c>
      <c r="O32" s="444"/>
      <c r="P32" s="444" t="str">
        <f>IF(AND('Mapa final'!$K$58="Alta",'Mapa final'!$O$58="Leve"),CONCATENATE("R",'Mapa final'!$A$58),"")</f>
        <v/>
      </c>
      <c r="Q32" s="444"/>
      <c r="R32" s="444" t="str">
        <f>IF(AND('Mapa final'!$K$61="Alta",'Mapa final'!$O$61="Leve"),CONCATENATE("R",'Mapa final'!$A$61),"")</f>
        <v/>
      </c>
      <c r="S32" s="447"/>
      <c r="T32" s="443" t="str">
        <f>IF(AND('Mapa final'!$K$49="Alta",'Mapa final'!$O$49="Menor"),CONCATENATE("R",'Mapa final'!$A$49),"")</f>
        <v/>
      </c>
      <c r="U32" s="444"/>
      <c r="V32" s="444" t="str">
        <f>IF(AND('Mapa final'!$K$52="Alta",'Mapa final'!$O$52="Menor"),CONCATENATE("R",'Mapa final'!$A$52),"")</f>
        <v/>
      </c>
      <c r="W32" s="444"/>
      <c r="X32" s="444" t="str">
        <f>IF(AND('Mapa final'!$K$55="Alta",'Mapa final'!$O$55="Menor"),CONCATENATE("R",'Mapa final'!$A$55),"")</f>
        <v/>
      </c>
      <c r="Y32" s="444"/>
      <c r="Z32" s="444" t="str">
        <f>IF(AND('Mapa final'!$K$58="Alta",'Mapa final'!$O$58="Menor"),CONCATENATE("R",'Mapa final'!$A$58),"")</f>
        <v/>
      </c>
      <c r="AA32" s="444"/>
      <c r="AB32" s="444" t="str">
        <f>IF(AND('Mapa final'!$K$61="Alta",'Mapa final'!$O$61="Menor"),CONCATENATE("R",'Mapa final'!$A$61),"")</f>
        <v/>
      </c>
      <c r="AC32" s="447"/>
      <c r="AD32" s="476" t="str">
        <f>IF(AND('Mapa final'!$K$49="Alta",'Mapa final'!$O$49="Moderado"),CONCATENATE("R",'Mapa final'!$A$49),"")</f>
        <v/>
      </c>
      <c r="AE32" s="436"/>
      <c r="AF32" s="436" t="str">
        <f>IF(AND('Mapa final'!$K$52="Alta",'Mapa final'!$O$52="Moderado"),CONCATENATE("R",'Mapa final'!$A$52),"")</f>
        <v/>
      </c>
      <c r="AG32" s="436"/>
      <c r="AH32" s="436" t="str">
        <f>IF(AND('Mapa final'!$K$55="Alta",'Mapa final'!$O$55="Moderado"),CONCATENATE("R",'Mapa final'!$A$55),"")</f>
        <v/>
      </c>
      <c r="AI32" s="436"/>
      <c r="AJ32" s="436" t="str">
        <f>IF(AND('Mapa final'!$K$58="Alta",'Mapa final'!$O$58="Moderado"),CONCATENATE("R",'Mapa final'!$A$58),"")</f>
        <v/>
      </c>
      <c r="AK32" s="436"/>
      <c r="AL32" s="436" t="str">
        <f>IF(AND('Mapa final'!$K$61="Alta",'Mapa final'!$O$61="Moderado"),CONCATENATE("R",'Mapa final'!$A$61),"")</f>
        <v/>
      </c>
      <c r="AM32" s="475"/>
      <c r="AN32" s="476" t="str">
        <f>IF(AND('Mapa final'!$K$49="Alta",'Mapa final'!$O$49="Mayor"),CONCATENATE("R",'Mapa final'!$A$49),"")</f>
        <v/>
      </c>
      <c r="AO32" s="436"/>
      <c r="AP32" s="436" t="str">
        <f>IF(AND('Mapa final'!$K$52="Alta",'Mapa final'!$O$52="Mayor"),CONCATENATE("R",'Mapa final'!$A$52),"")</f>
        <v/>
      </c>
      <c r="AQ32" s="436"/>
      <c r="AR32" s="436" t="str">
        <f>IF(AND('Mapa final'!$K$55="Alta",'Mapa final'!$O$55="Mayor"),CONCATENATE("R",'Mapa final'!$A$55),"")</f>
        <v/>
      </c>
      <c r="AS32" s="436"/>
      <c r="AT32" s="436" t="str">
        <f>IF(AND('Mapa final'!$K$58="Alta",'Mapa final'!$O$58="Mayor"),CONCATENATE("R",'Mapa final'!$A$58),"")</f>
        <v/>
      </c>
      <c r="AU32" s="436"/>
      <c r="AV32" s="436" t="str">
        <f>IF(AND('Mapa final'!$K$61="Alta",'Mapa final'!$O$61="Mayor"),CONCATENATE("R",'Mapa final'!$A$61),"")</f>
        <v/>
      </c>
      <c r="AW32" s="475"/>
      <c r="AX32" s="467" t="str">
        <f>IF(AND('Mapa final'!$K$49="Alta",'Mapa final'!$O$49="Catastrófico"),CONCATENATE("R",'Mapa final'!$A$49),"")</f>
        <v/>
      </c>
      <c r="AY32" s="465"/>
      <c r="AZ32" s="465" t="str">
        <f>IF(AND('Mapa final'!$K$52="Alta",'Mapa final'!$O$52="Catastrófico"),CONCATENATE("R",'Mapa final'!$A$52),"")</f>
        <v/>
      </c>
      <c r="BA32" s="465"/>
      <c r="BB32" s="465" t="str">
        <f>IF(AND('Mapa final'!$K$55="Alta",'Mapa final'!$O$55="Catastrófico"),CONCATENATE("R",'Mapa final'!$A$55),"")</f>
        <v/>
      </c>
      <c r="BC32" s="465"/>
      <c r="BD32" s="465" t="str">
        <f>IF(AND('Mapa final'!$K$58="Alta",'Mapa final'!$O$58="Catastrófico"),CONCATENATE("R",'Mapa final'!$A$58),"")</f>
        <v/>
      </c>
      <c r="BE32" s="465"/>
      <c r="BF32" s="465" t="str">
        <f>IF(AND('Mapa final'!$K$61="Alta",'Mapa final'!$O$61="Catastrófico"),CONCATENATE("R",'Mapa final'!$A$61),"")</f>
        <v/>
      </c>
      <c r="BG32" s="466"/>
      <c r="BH32" s="55"/>
      <c r="BI32" s="489"/>
      <c r="BJ32" s="490"/>
      <c r="BK32" s="490"/>
      <c r="BL32" s="490"/>
      <c r="BM32" s="490"/>
      <c r="BN32" s="491"/>
      <c r="BO32" s="55"/>
      <c r="BP32" s="55"/>
      <c r="BQ32" s="55"/>
      <c r="BR32" s="55"/>
      <c r="BS32" s="55"/>
      <c r="BT32" s="55"/>
      <c r="BU32" s="55"/>
      <c r="BV32" s="55"/>
      <c r="BW32" s="55"/>
      <c r="BX32" s="55"/>
      <c r="BY32" s="55"/>
      <c r="BZ32" s="55"/>
      <c r="CA32" s="55"/>
      <c r="CB32" s="55"/>
      <c r="CC32" s="55"/>
      <c r="CD32" s="55"/>
      <c r="CE32" s="55"/>
      <c r="CF32" s="55"/>
      <c r="CG32" s="55"/>
      <c r="CH32" s="55"/>
      <c r="CI32" s="55"/>
      <c r="CJ32" s="55"/>
      <c r="CK32" s="55"/>
      <c r="CL32" s="55"/>
      <c r="CM32" s="55"/>
      <c r="CN32" s="55"/>
      <c r="CO32" s="55"/>
      <c r="CP32" s="55"/>
      <c r="CQ32" s="55"/>
      <c r="CR32" s="55"/>
      <c r="CS32" s="55"/>
      <c r="CT32" s="55"/>
      <c r="CU32" s="55"/>
      <c r="CV32" s="55"/>
    </row>
    <row r="33" spans="1:100" ht="15" customHeight="1" thickBot="1" x14ac:dyDescent="0.3">
      <c r="A33" s="55"/>
      <c r="B33" s="301"/>
      <c r="C33" s="301"/>
      <c r="D33" s="302"/>
      <c r="E33" s="454"/>
      <c r="F33" s="455"/>
      <c r="G33" s="455"/>
      <c r="H33" s="455"/>
      <c r="I33" s="455"/>
      <c r="J33" s="443"/>
      <c r="K33" s="444"/>
      <c r="L33" s="444"/>
      <c r="M33" s="444"/>
      <c r="N33" s="444"/>
      <c r="O33" s="444"/>
      <c r="P33" s="444"/>
      <c r="Q33" s="444"/>
      <c r="R33" s="444"/>
      <c r="S33" s="447"/>
      <c r="T33" s="443"/>
      <c r="U33" s="444"/>
      <c r="V33" s="444"/>
      <c r="W33" s="444"/>
      <c r="X33" s="444"/>
      <c r="Y33" s="444"/>
      <c r="Z33" s="444"/>
      <c r="AA33" s="444"/>
      <c r="AB33" s="444"/>
      <c r="AC33" s="447"/>
      <c r="AD33" s="476"/>
      <c r="AE33" s="436"/>
      <c r="AF33" s="436"/>
      <c r="AG33" s="436"/>
      <c r="AH33" s="436"/>
      <c r="AI33" s="436"/>
      <c r="AJ33" s="436"/>
      <c r="AK33" s="436"/>
      <c r="AL33" s="436"/>
      <c r="AM33" s="475"/>
      <c r="AN33" s="476"/>
      <c r="AO33" s="436"/>
      <c r="AP33" s="436"/>
      <c r="AQ33" s="436"/>
      <c r="AR33" s="436"/>
      <c r="AS33" s="436"/>
      <c r="AT33" s="436"/>
      <c r="AU33" s="436"/>
      <c r="AV33" s="436"/>
      <c r="AW33" s="475"/>
      <c r="AX33" s="467"/>
      <c r="AY33" s="465"/>
      <c r="AZ33" s="465"/>
      <c r="BA33" s="465"/>
      <c r="BB33" s="465"/>
      <c r="BC33" s="465"/>
      <c r="BD33" s="465"/>
      <c r="BE33" s="465"/>
      <c r="BF33" s="465"/>
      <c r="BG33" s="466"/>
      <c r="BH33" s="55"/>
      <c r="BI33" s="492"/>
      <c r="BJ33" s="493"/>
      <c r="BK33" s="493"/>
      <c r="BL33" s="493"/>
      <c r="BM33" s="493"/>
      <c r="BN33" s="494"/>
      <c r="BO33" s="55"/>
      <c r="BP33" s="55"/>
      <c r="BQ33" s="55"/>
      <c r="BR33" s="55"/>
      <c r="BS33" s="55"/>
      <c r="BT33" s="55"/>
      <c r="BU33" s="55"/>
      <c r="BV33" s="55"/>
      <c r="BW33" s="55"/>
      <c r="BX33" s="55"/>
      <c r="BY33" s="55"/>
      <c r="BZ33" s="55"/>
      <c r="CA33" s="55"/>
      <c r="CB33" s="55"/>
      <c r="CC33" s="55"/>
      <c r="CD33" s="55"/>
      <c r="CE33" s="55"/>
      <c r="CF33" s="55"/>
      <c r="CG33" s="55"/>
      <c r="CH33" s="55"/>
      <c r="CI33" s="55"/>
      <c r="CJ33" s="55"/>
      <c r="CK33" s="55"/>
      <c r="CL33" s="55"/>
      <c r="CM33" s="55"/>
      <c r="CN33" s="55"/>
      <c r="CO33" s="55"/>
      <c r="CP33" s="55"/>
      <c r="CQ33" s="55"/>
      <c r="CR33" s="55"/>
      <c r="CS33" s="55"/>
      <c r="CT33" s="55"/>
      <c r="CU33" s="55"/>
      <c r="CV33" s="55"/>
    </row>
    <row r="34" spans="1:100" ht="15" customHeight="1" x14ac:dyDescent="0.25">
      <c r="A34" s="55"/>
      <c r="B34" s="301"/>
      <c r="C34" s="301"/>
      <c r="D34" s="302"/>
      <c r="E34" s="454"/>
      <c r="F34" s="455"/>
      <c r="G34" s="455"/>
      <c r="H34" s="455"/>
      <c r="I34" s="455"/>
      <c r="J34" s="443" t="str">
        <f>IF(AND('Mapa final'!$K$64="Alta",'Mapa final'!$O$64="Leve"),CONCATENATE("R",'Mapa final'!$A$64),"")</f>
        <v/>
      </c>
      <c r="K34" s="444"/>
      <c r="L34" s="444" t="str">
        <f>IF(AND('Mapa final'!$K$67="Alta",'Mapa final'!$O$67="Leve"),CONCATENATE("R",'Mapa final'!$A$67),"")</f>
        <v/>
      </c>
      <c r="M34" s="444"/>
      <c r="N34" s="444" t="str">
        <f>IF(AND('Mapa final'!$K$73="Alta",'Mapa final'!$O$73="Leve"),CONCATENATE("R",'Mapa final'!$A$73),"")</f>
        <v/>
      </c>
      <c r="O34" s="444"/>
      <c r="P34" s="444" t="str">
        <f>IF(AND('Mapa final'!$K$76="Alta",'Mapa final'!$O$76="Leve"),CONCATENATE("R",'Mapa final'!$A$76),"")</f>
        <v/>
      </c>
      <c r="Q34" s="444"/>
      <c r="R34" s="444" t="str">
        <f>IF(AND('Mapa final'!$K$79="Alta",'Mapa final'!$O$79="Leve"),CONCATENATE("R",'Mapa final'!$A$79),"")</f>
        <v/>
      </c>
      <c r="S34" s="447"/>
      <c r="T34" s="443" t="str">
        <f>IF(AND('Mapa final'!$K$64="Alta",'Mapa final'!$O$64="Menor"),CONCATENATE("R",'Mapa final'!$A$64),"")</f>
        <v/>
      </c>
      <c r="U34" s="444"/>
      <c r="V34" s="444" t="str">
        <f>IF(AND('Mapa final'!$K$67="Alta",'Mapa final'!$O$67="Menor"),CONCATENATE("R",'Mapa final'!$A$67),"")</f>
        <v/>
      </c>
      <c r="W34" s="444"/>
      <c r="X34" s="444" t="str">
        <f>IF(AND('Mapa final'!$K$73="Alta",'Mapa final'!$O$73="Menor"),CONCATENATE("R",'Mapa final'!$A$73),"")</f>
        <v/>
      </c>
      <c r="Y34" s="444"/>
      <c r="Z34" s="444" t="str">
        <f>IF(AND('Mapa final'!$K$76="Alta",'Mapa final'!$O$76="Menor"),CONCATENATE("R",'Mapa final'!$A$76),"")</f>
        <v/>
      </c>
      <c r="AA34" s="444"/>
      <c r="AB34" s="444" t="str">
        <f>IF(AND('Mapa final'!$K$79="Alta",'Mapa final'!$O$79="Menor"),CONCATENATE("R",'Mapa final'!$A$79),"")</f>
        <v/>
      </c>
      <c r="AC34" s="447"/>
      <c r="AD34" s="476" t="str">
        <f>IF(AND('Mapa final'!$K$64="Alta",'Mapa final'!$O$64="Moderado"),CONCATENATE("R",'Mapa final'!$A$64),"")</f>
        <v/>
      </c>
      <c r="AE34" s="436"/>
      <c r="AF34" s="436" t="str">
        <f>IF(AND('Mapa final'!$K$67="Alta",'Mapa final'!$O$67="Moderado"),CONCATENATE("R",'Mapa final'!$A$67),"")</f>
        <v/>
      </c>
      <c r="AG34" s="436"/>
      <c r="AH34" s="436" t="str">
        <f>IF(AND('Mapa final'!$K$73="Alta",'Mapa final'!$O$73="Moderado"),CONCATENATE("R",'Mapa final'!$A$73),"")</f>
        <v/>
      </c>
      <c r="AI34" s="436"/>
      <c r="AJ34" s="436" t="str">
        <f>IF(AND('Mapa final'!$K$76="Alta",'Mapa final'!$O$76="Moderado"),CONCATENATE("R",'Mapa final'!$A$76),"")</f>
        <v/>
      </c>
      <c r="AK34" s="436"/>
      <c r="AL34" s="436" t="str">
        <f>IF(AND('Mapa final'!$K$79="Alta",'Mapa final'!$O$79="Moderado"),CONCATENATE("R",'Mapa final'!$A$79),"")</f>
        <v/>
      </c>
      <c r="AM34" s="475"/>
      <c r="AN34" s="476" t="str">
        <f>IF(AND('Mapa final'!$K$64="Alta",'Mapa final'!$O$64="Mayor"),CONCATENATE("R",'Mapa final'!$A$64),"")</f>
        <v/>
      </c>
      <c r="AO34" s="436"/>
      <c r="AP34" s="436" t="str">
        <f>IF(AND('Mapa final'!$K$67="Alta",'Mapa final'!$O$67="Mayor"),CONCATENATE("R",'Mapa final'!$A$67),"")</f>
        <v/>
      </c>
      <c r="AQ34" s="436"/>
      <c r="AR34" s="436" t="str">
        <f>IF(AND('Mapa final'!$K$73="Alta",'Mapa final'!$O$73="Mayor"),CONCATENATE("R",'Mapa final'!$A$73),"")</f>
        <v/>
      </c>
      <c r="AS34" s="436"/>
      <c r="AT34" s="436" t="str">
        <f>IF(AND('Mapa final'!$K$76="Alta",'Mapa final'!$O$76="Mayor"),CONCATENATE("R",'Mapa final'!$A$76),"")</f>
        <v/>
      </c>
      <c r="AU34" s="436"/>
      <c r="AV34" s="436" t="str">
        <f>IF(AND('Mapa final'!$K$79="Alta",'Mapa final'!$O$79="Mayor"),CONCATENATE("R",'Mapa final'!$A$79),"")</f>
        <v/>
      </c>
      <c r="AW34" s="475"/>
      <c r="AX34" s="467" t="str">
        <f>IF(AND('Mapa final'!$K$64="Alta",'Mapa final'!$O$64="Catastrófico"),CONCATENATE("R",'Mapa final'!$A$64),"")</f>
        <v/>
      </c>
      <c r="AY34" s="465"/>
      <c r="AZ34" s="465" t="str">
        <f>IF(AND('Mapa final'!$K$67="Alta",'Mapa final'!$O$67="Catastrófico"),CONCATENATE("R",'Mapa final'!$A$67),"")</f>
        <v/>
      </c>
      <c r="BA34" s="465"/>
      <c r="BB34" s="465" t="str">
        <f>IF(AND('Mapa final'!$K$73="Alta",'Mapa final'!$O$73="Catastrófico"),CONCATENATE("R",'Mapa final'!$A$73),"")</f>
        <v/>
      </c>
      <c r="BC34" s="465"/>
      <c r="BD34" s="465" t="str">
        <f>IF(AND('Mapa final'!$K$76="Alta",'Mapa final'!$O$76="Catastrófico"),CONCATENATE("R",'Mapa final'!$A$76),"")</f>
        <v/>
      </c>
      <c r="BE34" s="465"/>
      <c r="BF34" s="465" t="str">
        <f>IF(AND('Mapa final'!$K$79="Alta",'Mapa final'!$O$79="Catastrófico"),CONCATENATE("R",'Mapa final'!$A$79),"")</f>
        <v/>
      </c>
      <c r="BG34" s="466"/>
      <c r="BH34" s="55"/>
      <c r="BI34" s="495" t="s">
        <v>74</v>
      </c>
      <c r="BJ34" s="496"/>
      <c r="BK34" s="496"/>
      <c r="BL34" s="496"/>
      <c r="BM34" s="496"/>
      <c r="BN34" s="497"/>
      <c r="BO34" s="55"/>
      <c r="BP34" s="55"/>
      <c r="BQ34" s="55"/>
      <c r="BR34" s="55"/>
      <c r="BS34" s="55"/>
      <c r="BT34" s="55"/>
      <c r="BU34" s="55"/>
      <c r="BV34" s="55"/>
      <c r="BW34" s="55"/>
      <c r="BX34" s="55"/>
      <c r="BY34" s="55"/>
      <c r="BZ34" s="55"/>
      <c r="CA34" s="55"/>
      <c r="CB34" s="55"/>
      <c r="CC34" s="55"/>
      <c r="CD34" s="55"/>
      <c r="CE34" s="55"/>
      <c r="CF34" s="55"/>
      <c r="CG34" s="55"/>
      <c r="CH34" s="55"/>
      <c r="CI34" s="55"/>
      <c r="CJ34" s="55"/>
      <c r="CK34" s="55"/>
      <c r="CL34" s="55"/>
      <c r="CM34" s="55"/>
      <c r="CN34" s="55"/>
      <c r="CO34" s="55"/>
      <c r="CP34" s="55"/>
      <c r="CQ34" s="55"/>
      <c r="CR34" s="55"/>
      <c r="CS34" s="55"/>
      <c r="CT34" s="55"/>
      <c r="CU34" s="55"/>
      <c r="CV34" s="55"/>
    </row>
    <row r="35" spans="1:100" ht="15" customHeight="1" x14ac:dyDescent="0.25">
      <c r="A35" s="55"/>
      <c r="B35" s="301"/>
      <c r="C35" s="301"/>
      <c r="D35" s="302"/>
      <c r="E35" s="454"/>
      <c r="F35" s="455"/>
      <c r="G35" s="455"/>
      <c r="H35" s="455"/>
      <c r="I35" s="455"/>
      <c r="J35" s="443"/>
      <c r="K35" s="444"/>
      <c r="L35" s="444"/>
      <c r="M35" s="444"/>
      <c r="N35" s="444"/>
      <c r="O35" s="444"/>
      <c r="P35" s="444"/>
      <c r="Q35" s="444"/>
      <c r="R35" s="444"/>
      <c r="S35" s="447"/>
      <c r="T35" s="443"/>
      <c r="U35" s="444"/>
      <c r="V35" s="444"/>
      <c r="W35" s="444"/>
      <c r="X35" s="444"/>
      <c r="Y35" s="444"/>
      <c r="Z35" s="444"/>
      <c r="AA35" s="444"/>
      <c r="AB35" s="444"/>
      <c r="AC35" s="447"/>
      <c r="AD35" s="476"/>
      <c r="AE35" s="436"/>
      <c r="AF35" s="436"/>
      <c r="AG35" s="436"/>
      <c r="AH35" s="436"/>
      <c r="AI35" s="436"/>
      <c r="AJ35" s="436"/>
      <c r="AK35" s="436"/>
      <c r="AL35" s="436"/>
      <c r="AM35" s="475"/>
      <c r="AN35" s="476"/>
      <c r="AO35" s="436"/>
      <c r="AP35" s="436"/>
      <c r="AQ35" s="436"/>
      <c r="AR35" s="436"/>
      <c r="AS35" s="436"/>
      <c r="AT35" s="436"/>
      <c r="AU35" s="436"/>
      <c r="AV35" s="436"/>
      <c r="AW35" s="475"/>
      <c r="AX35" s="467"/>
      <c r="AY35" s="465"/>
      <c r="AZ35" s="465"/>
      <c r="BA35" s="465"/>
      <c r="BB35" s="465"/>
      <c r="BC35" s="465"/>
      <c r="BD35" s="465"/>
      <c r="BE35" s="465"/>
      <c r="BF35" s="465"/>
      <c r="BG35" s="466"/>
      <c r="BH35" s="55"/>
      <c r="BI35" s="498"/>
      <c r="BJ35" s="499"/>
      <c r="BK35" s="499"/>
      <c r="BL35" s="499"/>
      <c r="BM35" s="499"/>
      <c r="BN35" s="500"/>
      <c r="BO35" s="55"/>
      <c r="BP35" s="55"/>
      <c r="BQ35" s="55"/>
      <c r="BR35" s="55"/>
      <c r="BS35" s="55"/>
      <c r="BT35" s="55"/>
      <c r="BU35" s="55"/>
      <c r="BV35" s="55"/>
      <c r="BW35" s="55"/>
      <c r="BX35" s="55"/>
      <c r="BY35" s="55"/>
      <c r="BZ35" s="55"/>
      <c r="CA35" s="55"/>
      <c r="CB35" s="55"/>
      <c r="CC35" s="55"/>
      <c r="CD35" s="55"/>
      <c r="CE35" s="55"/>
      <c r="CF35" s="55"/>
      <c r="CG35" s="55"/>
      <c r="CH35" s="55"/>
      <c r="CI35" s="55"/>
      <c r="CJ35" s="55"/>
      <c r="CK35" s="55"/>
      <c r="CL35" s="55"/>
      <c r="CM35" s="55"/>
      <c r="CN35" s="55"/>
      <c r="CO35" s="55"/>
      <c r="CP35" s="55"/>
      <c r="CQ35" s="55"/>
      <c r="CR35" s="55"/>
      <c r="CS35" s="55"/>
      <c r="CT35" s="55"/>
      <c r="CU35" s="55"/>
      <c r="CV35" s="55"/>
    </row>
    <row r="36" spans="1:100" ht="15" customHeight="1" x14ac:dyDescent="0.25">
      <c r="A36" s="55"/>
      <c r="B36" s="301"/>
      <c r="C36" s="301"/>
      <c r="D36" s="302"/>
      <c r="E36" s="454"/>
      <c r="F36" s="455"/>
      <c r="G36" s="455"/>
      <c r="H36" s="455"/>
      <c r="I36" s="455"/>
      <c r="J36" s="443" t="str">
        <f>IF(AND('Mapa final'!$K$82="Alta",'Mapa final'!$O$82="Leve"),CONCATENATE("R",'Mapa final'!$A$82),"")</f>
        <v/>
      </c>
      <c r="K36" s="444"/>
      <c r="L36" s="444" t="str">
        <f>IF(AND('Mapa final'!$K$85="Alta",'Mapa final'!$O$85="Leve"),CONCATENATE("R",'Mapa final'!$A$85),"")</f>
        <v/>
      </c>
      <c r="M36" s="444"/>
      <c r="N36" s="444" t="str">
        <f>IF(AND('Mapa final'!$K$88="Alta",'Mapa final'!$O$88="Leve"),CONCATENATE("R",'Mapa final'!$A$88),"")</f>
        <v/>
      </c>
      <c r="O36" s="444"/>
      <c r="P36" s="444" t="str">
        <f>IF(AND('Mapa final'!$K$91="Alta",'Mapa final'!$O$91="Leve"),CONCATENATE("R",'Mapa final'!$A$91),"")</f>
        <v/>
      </c>
      <c r="Q36" s="444"/>
      <c r="R36" s="444" t="str">
        <f>IF(AND('Mapa final'!$K$94="Alta",'Mapa final'!$O$94="Leve"),CONCATENATE("R",'Mapa final'!$A$94),"")</f>
        <v/>
      </c>
      <c r="S36" s="447"/>
      <c r="T36" s="443" t="str">
        <f>IF(AND('Mapa final'!$K$82="Alta",'Mapa final'!$O$82="Menor"),CONCATENATE("R",'Mapa final'!$A$82),"")</f>
        <v/>
      </c>
      <c r="U36" s="444"/>
      <c r="V36" s="444" t="str">
        <f>IF(AND('Mapa final'!$K$85="Alta",'Mapa final'!$O$85="Menor"),CONCATENATE("R",'Mapa final'!$A$85),"")</f>
        <v/>
      </c>
      <c r="W36" s="444"/>
      <c r="X36" s="444" t="str">
        <f>IF(AND('Mapa final'!$K$88="Alta",'Mapa final'!$O$88="Menor"),CONCATENATE("R",'Mapa final'!$A$88),"")</f>
        <v/>
      </c>
      <c r="Y36" s="444"/>
      <c r="Z36" s="444" t="str">
        <f>IF(AND('Mapa final'!$K$91="Alta",'Mapa final'!$O$91="Menor"),CONCATENATE("R",'Mapa final'!$A$91),"")</f>
        <v/>
      </c>
      <c r="AA36" s="444"/>
      <c r="AB36" s="444" t="str">
        <f>IF(AND('Mapa final'!$K$94="Alta",'Mapa final'!$O$94="Menor"),CONCATENATE("R",'Mapa final'!$A$94),"")</f>
        <v/>
      </c>
      <c r="AC36" s="447"/>
      <c r="AD36" s="476" t="str">
        <f>IF(AND('Mapa final'!$K$82="Alta",'Mapa final'!$O$82="Moderado"),CONCATENATE("R",'Mapa final'!$A$82),"")</f>
        <v/>
      </c>
      <c r="AE36" s="436"/>
      <c r="AF36" s="436" t="str">
        <f>IF(AND('Mapa final'!$K$85="Alta",'Mapa final'!$O$85="Moderado"),CONCATENATE("R",'Mapa final'!$A$85),"")</f>
        <v/>
      </c>
      <c r="AG36" s="436"/>
      <c r="AH36" s="436" t="str">
        <f>IF(AND('Mapa final'!$K$88="Alta",'Mapa final'!$O$88="Moderado"),CONCATENATE("R",'Mapa final'!$A$88),"")</f>
        <v/>
      </c>
      <c r="AI36" s="436"/>
      <c r="AJ36" s="436" t="str">
        <f>IF(AND('Mapa final'!$K$91="Alta",'Mapa final'!$O$91="Moderado"),CONCATENATE("R",'Mapa final'!$A$91),"")</f>
        <v/>
      </c>
      <c r="AK36" s="436"/>
      <c r="AL36" s="436" t="str">
        <f>IF(AND('Mapa final'!$K$94="Alta",'Mapa final'!$O$94="Moderado"),CONCATENATE("R",'Mapa final'!$A$94),"")</f>
        <v/>
      </c>
      <c r="AM36" s="475"/>
      <c r="AN36" s="476" t="str">
        <f>IF(AND('Mapa final'!$K$82="Alta",'Mapa final'!$O$82="Mayor"),CONCATENATE("R",'Mapa final'!$A$82),"")</f>
        <v/>
      </c>
      <c r="AO36" s="436"/>
      <c r="AP36" s="436" t="str">
        <f>IF(AND('Mapa final'!$K$85="Alta",'Mapa final'!$O$85="Mayor"),CONCATENATE("R",'Mapa final'!$A$85),"")</f>
        <v/>
      </c>
      <c r="AQ36" s="436"/>
      <c r="AR36" s="436" t="str">
        <f>IF(AND('Mapa final'!$K$88="Alta",'Mapa final'!$O$88="Mayor"),CONCATENATE("R",'Mapa final'!$A$88),"")</f>
        <v/>
      </c>
      <c r="AS36" s="436"/>
      <c r="AT36" s="436" t="str">
        <f>IF(AND('Mapa final'!$K$91="Alta",'Mapa final'!$O$91="Mayor"),CONCATENATE("R",'Mapa final'!$A$91),"")</f>
        <v/>
      </c>
      <c r="AU36" s="436"/>
      <c r="AV36" s="436" t="str">
        <f>IF(AND('Mapa final'!$K$94="Alta",'Mapa final'!$O$94="Mayor"),CONCATENATE("R",'Mapa final'!$A$94),"")</f>
        <v>R30</v>
      </c>
      <c r="AW36" s="475"/>
      <c r="AX36" s="467" t="str">
        <f>IF(AND('Mapa final'!$K$82="Alta",'Mapa final'!$O$82="Catastrófico"),CONCATENATE("R",'Mapa final'!$A$82),"")</f>
        <v/>
      </c>
      <c r="AY36" s="465"/>
      <c r="AZ36" s="465" t="str">
        <f>IF(AND('Mapa final'!$K$85="Alta",'Mapa final'!$O$85="Catastrófico"),CONCATENATE("R",'Mapa final'!$A$85),"")</f>
        <v/>
      </c>
      <c r="BA36" s="465"/>
      <c r="BB36" s="465" t="str">
        <f>IF(AND('Mapa final'!$K$88="Alta",'Mapa final'!$O$88="Catastrófico"),CONCATENATE("R",'Mapa final'!$A$88),"")</f>
        <v/>
      </c>
      <c r="BC36" s="465"/>
      <c r="BD36" s="465" t="str">
        <f>IF(AND('Mapa final'!$K$91="Alta",'Mapa final'!$O$91="Catastrófico"),CONCATENATE("R",'Mapa final'!$A$91),"")</f>
        <v/>
      </c>
      <c r="BE36" s="465"/>
      <c r="BF36" s="465" t="str">
        <f>IF(AND('Mapa final'!$K$94="Alta",'Mapa final'!$O$94="Catastrófico"),CONCATENATE("R",'Mapa final'!$A$94),"")</f>
        <v/>
      </c>
      <c r="BG36" s="466"/>
      <c r="BH36" s="55"/>
      <c r="BI36" s="498"/>
      <c r="BJ36" s="499"/>
      <c r="BK36" s="499"/>
      <c r="BL36" s="499"/>
      <c r="BM36" s="499"/>
      <c r="BN36" s="500"/>
      <c r="BO36" s="55"/>
      <c r="BP36" s="55"/>
      <c r="BQ36" s="55"/>
      <c r="BR36" s="55"/>
      <c r="BS36" s="55"/>
      <c r="BT36" s="55"/>
      <c r="BU36" s="55"/>
      <c r="BV36" s="55"/>
      <c r="BW36" s="55"/>
      <c r="BX36" s="55"/>
      <c r="BY36" s="55"/>
      <c r="BZ36" s="55"/>
      <c r="CA36" s="55"/>
      <c r="CB36" s="55"/>
      <c r="CC36" s="55"/>
      <c r="CD36" s="55"/>
      <c r="CE36" s="55"/>
      <c r="CF36" s="55"/>
      <c r="CG36" s="55"/>
      <c r="CH36" s="55"/>
      <c r="CI36" s="55"/>
      <c r="CJ36" s="55"/>
      <c r="CK36" s="55"/>
      <c r="CL36" s="55"/>
      <c r="CM36" s="55"/>
      <c r="CN36" s="55"/>
      <c r="CO36" s="55"/>
      <c r="CP36" s="55"/>
      <c r="CQ36" s="55"/>
      <c r="CR36" s="55"/>
      <c r="CS36" s="55"/>
      <c r="CT36" s="55"/>
      <c r="CU36" s="55"/>
      <c r="CV36" s="55"/>
    </row>
    <row r="37" spans="1:100" ht="15" customHeight="1" x14ac:dyDescent="0.25">
      <c r="A37" s="55"/>
      <c r="B37" s="301"/>
      <c r="C37" s="301"/>
      <c r="D37" s="302"/>
      <c r="E37" s="454"/>
      <c r="F37" s="455"/>
      <c r="G37" s="455"/>
      <c r="H37" s="455"/>
      <c r="I37" s="455"/>
      <c r="J37" s="443"/>
      <c r="K37" s="444"/>
      <c r="L37" s="444"/>
      <c r="M37" s="444"/>
      <c r="N37" s="444"/>
      <c r="O37" s="444"/>
      <c r="P37" s="444"/>
      <c r="Q37" s="444"/>
      <c r="R37" s="444"/>
      <c r="S37" s="447"/>
      <c r="T37" s="443"/>
      <c r="U37" s="444"/>
      <c r="V37" s="444"/>
      <c r="W37" s="444"/>
      <c r="X37" s="444"/>
      <c r="Y37" s="444"/>
      <c r="Z37" s="444"/>
      <c r="AA37" s="444"/>
      <c r="AB37" s="444"/>
      <c r="AC37" s="447"/>
      <c r="AD37" s="476"/>
      <c r="AE37" s="436"/>
      <c r="AF37" s="436"/>
      <c r="AG37" s="436"/>
      <c r="AH37" s="436"/>
      <c r="AI37" s="436"/>
      <c r="AJ37" s="436"/>
      <c r="AK37" s="436"/>
      <c r="AL37" s="436"/>
      <c r="AM37" s="475"/>
      <c r="AN37" s="476"/>
      <c r="AO37" s="436"/>
      <c r="AP37" s="436"/>
      <c r="AQ37" s="436"/>
      <c r="AR37" s="436"/>
      <c r="AS37" s="436"/>
      <c r="AT37" s="436"/>
      <c r="AU37" s="436"/>
      <c r="AV37" s="436"/>
      <c r="AW37" s="475"/>
      <c r="AX37" s="467"/>
      <c r="AY37" s="465"/>
      <c r="AZ37" s="465"/>
      <c r="BA37" s="465"/>
      <c r="BB37" s="465"/>
      <c r="BC37" s="465"/>
      <c r="BD37" s="465"/>
      <c r="BE37" s="465"/>
      <c r="BF37" s="465"/>
      <c r="BG37" s="466"/>
      <c r="BH37" s="55"/>
      <c r="BI37" s="498"/>
      <c r="BJ37" s="499"/>
      <c r="BK37" s="499"/>
      <c r="BL37" s="499"/>
      <c r="BM37" s="499"/>
      <c r="BN37" s="500"/>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row>
    <row r="38" spans="1:100" ht="15" customHeight="1" x14ac:dyDescent="0.25">
      <c r="A38" s="55"/>
      <c r="B38" s="301"/>
      <c r="C38" s="301"/>
      <c r="D38" s="302"/>
      <c r="E38" s="454"/>
      <c r="F38" s="455"/>
      <c r="G38" s="455"/>
      <c r="H38" s="455"/>
      <c r="I38" s="455"/>
      <c r="J38" s="443" t="str">
        <f>IF(AND('Mapa final'!$K$97="Alta",'Mapa final'!$O$97="Leve"),CONCATENATE("R",'Mapa final'!$A$97),"")</f>
        <v/>
      </c>
      <c r="K38" s="444"/>
      <c r="L38" s="444" t="e">
        <f>IF(AND('Mapa final'!#REF!="Alta",'Mapa final'!#REF!="Leve"),CONCATENATE("R",'Mapa final'!#REF!),"")</f>
        <v>#REF!</v>
      </c>
      <c r="M38" s="444"/>
      <c r="N38" s="444" t="str">
        <f>IF(AND('Mapa final'!$K$100="Alta",'Mapa final'!$O$100="Leve"),CONCATENATE("R",'Mapa final'!$A$100),"")</f>
        <v/>
      </c>
      <c r="O38" s="444"/>
      <c r="P38" s="444" t="str">
        <f>IF(AND('Mapa final'!$K$103="Alta",'Mapa final'!$O$103="Leve"),CONCATENATE("R",'Mapa final'!$A$103),"")</f>
        <v/>
      </c>
      <c r="Q38" s="444"/>
      <c r="R38" s="444" t="str">
        <f>IF(AND('Mapa final'!$K$106="Alta",'Mapa final'!$O$106="Leve"),CONCATENATE("R",'Mapa final'!$A$106),"")</f>
        <v/>
      </c>
      <c r="S38" s="447"/>
      <c r="T38" s="443" t="str">
        <f>IF(AND('Mapa final'!$K$97="Alta",'Mapa final'!$O$97="Menor"),CONCATENATE("R",'Mapa final'!$A$97),"")</f>
        <v/>
      </c>
      <c r="U38" s="444"/>
      <c r="V38" s="444" t="e">
        <f>IF(AND('Mapa final'!#REF!="Alta",'Mapa final'!#REF!="Menor"),CONCATENATE("R",'Mapa final'!#REF!),"")</f>
        <v>#REF!</v>
      </c>
      <c r="W38" s="444"/>
      <c r="X38" s="444" t="str">
        <f>IF(AND('Mapa final'!$K$100="Alta",'Mapa final'!$O$100="Menor"),CONCATENATE("R",'Mapa final'!$A$100),"")</f>
        <v/>
      </c>
      <c r="Y38" s="444"/>
      <c r="Z38" s="444" t="str">
        <f>IF(AND('Mapa final'!$K$103="Alta",'Mapa final'!$O$103="Menor"),CONCATENATE("R",'Mapa final'!$A$103),"")</f>
        <v/>
      </c>
      <c r="AA38" s="444"/>
      <c r="AB38" s="444" t="str">
        <f>IF(AND('Mapa final'!$K$106="Alta",'Mapa final'!$O$106="Menor"),CONCATENATE("R",'Mapa final'!$A$106),"")</f>
        <v/>
      </c>
      <c r="AC38" s="447"/>
      <c r="AD38" s="476" t="str">
        <f>IF(AND('Mapa final'!$K$97="Alta",'Mapa final'!$O$97="Moderado"),CONCATENATE("R",'Mapa final'!$A$97),"")</f>
        <v/>
      </c>
      <c r="AE38" s="436"/>
      <c r="AF38" s="436" t="e">
        <f>IF(AND('Mapa final'!#REF!="Alta",'Mapa final'!#REF!="Moderado"),CONCATENATE("R",'Mapa final'!#REF!),"")</f>
        <v>#REF!</v>
      </c>
      <c r="AG38" s="436"/>
      <c r="AH38" s="436" t="str">
        <f>IF(AND('Mapa final'!$K$100="Alta",'Mapa final'!$O$100="Moderado"),CONCATENATE("R",'Mapa final'!$A$100),"")</f>
        <v>R32</v>
      </c>
      <c r="AI38" s="436"/>
      <c r="AJ38" s="436" t="str">
        <f>IF(AND('Mapa final'!$K$103="Alta",'Mapa final'!$O$103="Moderado"),CONCATENATE("R",'Mapa final'!$A$103),"")</f>
        <v/>
      </c>
      <c r="AK38" s="436"/>
      <c r="AL38" s="436" t="str">
        <f>IF(AND('Mapa final'!$K$106="Alta",'Mapa final'!$O$106="Moderado"),CONCATENATE("R",'Mapa final'!$A$106),"")</f>
        <v/>
      </c>
      <c r="AM38" s="475"/>
      <c r="AN38" s="476" t="str">
        <f>IF(AND('Mapa final'!$K$97="Alta",'Mapa final'!$O$97="Mayor"),CONCATENATE("R",'Mapa final'!$A$97),"")</f>
        <v/>
      </c>
      <c r="AO38" s="436"/>
      <c r="AP38" s="436" t="e">
        <f>IF(AND('Mapa final'!#REF!="Alta",'Mapa final'!#REF!="Mayor"),CONCATENATE("R",'Mapa final'!#REF!),"")</f>
        <v>#REF!</v>
      </c>
      <c r="AQ38" s="436"/>
      <c r="AR38" s="436" t="str">
        <f>IF(AND('Mapa final'!$K$100="Alta",'Mapa final'!$O$100="Mayor"),CONCATENATE("R",'Mapa final'!$A$100),"")</f>
        <v/>
      </c>
      <c r="AS38" s="436"/>
      <c r="AT38" s="436" t="str">
        <f>IF(AND('Mapa final'!$K$103="Alta",'Mapa final'!$O$103="Mayor"),CONCATENATE("R",'Mapa final'!$A$103),"")</f>
        <v/>
      </c>
      <c r="AU38" s="436"/>
      <c r="AV38" s="436" t="str">
        <f>IF(AND('Mapa final'!$K$106="Alta",'Mapa final'!$O$106="Mayor"),CONCATENATE("R",'Mapa final'!$A$106),"")</f>
        <v/>
      </c>
      <c r="AW38" s="475"/>
      <c r="AX38" s="467" t="str">
        <f>IF(AND('Mapa final'!$K$97="Alta",'Mapa final'!$O$97="Catastrófico"),CONCATENATE("R",'Mapa final'!$A$97),"")</f>
        <v/>
      </c>
      <c r="AY38" s="465"/>
      <c r="AZ38" s="465" t="e">
        <f>IF(AND('Mapa final'!#REF!="Alta",'Mapa final'!#REF!="Catastrófico"),CONCATENATE("R",'Mapa final'!#REF!),"")</f>
        <v>#REF!</v>
      </c>
      <c r="BA38" s="465"/>
      <c r="BB38" s="465" t="str">
        <f>IF(AND('Mapa final'!$K$100="Alta",'Mapa final'!$O$100="Catastrófico"),CONCATENATE("R",'Mapa final'!$A$100),"")</f>
        <v/>
      </c>
      <c r="BC38" s="465"/>
      <c r="BD38" s="465" t="str">
        <f>IF(AND('Mapa final'!$K$103="Alta",'Mapa final'!$O$103="Catastrófico"),CONCATENATE("R",'Mapa final'!$A$103),"")</f>
        <v/>
      </c>
      <c r="BE38" s="465"/>
      <c r="BF38" s="465" t="str">
        <f>IF(AND('Mapa final'!$K$106="Alta",'Mapa final'!$O$106="Catastrófico"),CONCATENATE("R",'Mapa final'!$A$106),"")</f>
        <v/>
      </c>
      <c r="BG38" s="466"/>
      <c r="BH38" s="55"/>
      <c r="BI38" s="498"/>
      <c r="BJ38" s="499"/>
      <c r="BK38" s="499"/>
      <c r="BL38" s="499"/>
      <c r="BM38" s="499"/>
      <c r="BN38" s="500"/>
      <c r="BO38" s="55"/>
      <c r="BP38" s="55"/>
      <c r="BQ38" s="55"/>
      <c r="BR38" s="55"/>
      <c r="BS38" s="55"/>
      <c r="BT38" s="55"/>
      <c r="BU38" s="55"/>
      <c r="BV38" s="55"/>
      <c r="BW38" s="55"/>
      <c r="BX38" s="55"/>
      <c r="BY38" s="55"/>
      <c r="BZ38" s="55"/>
      <c r="CA38" s="55"/>
      <c r="CB38" s="55"/>
      <c r="CC38" s="55"/>
      <c r="CD38" s="55"/>
      <c r="CE38" s="55"/>
      <c r="CF38" s="55"/>
      <c r="CG38" s="55"/>
      <c r="CH38" s="55"/>
      <c r="CI38" s="55"/>
      <c r="CJ38" s="55"/>
      <c r="CK38" s="55"/>
      <c r="CL38" s="55"/>
      <c r="CM38" s="55"/>
      <c r="CN38" s="55"/>
      <c r="CO38" s="55"/>
      <c r="CP38" s="55"/>
      <c r="CQ38" s="55"/>
      <c r="CR38" s="55"/>
      <c r="CS38" s="55"/>
      <c r="CT38" s="55"/>
      <c r="CU38" s="55"/>
      <c r="CV38" s="55"/>
    </row>
    <row r="39" spans="1:100" ht="15" customHeight="1" x14ac:dyDescent="0.25">
      <c r="A39" s="55"/>
      <c r="B39" s="301"/>
      <c r="C39" s="301"/>
      <c r="D39" s="302"/>
      <c r="E39" s="454"/>
      <c r="F39" s="455"/>
      <c r="G39" s="455"/>
      <c r="H39" s="455"/>
      <c r="I39" s="455"/>
      <c r="J39" s="443"/>
      <c r="K39" s="444"/>
      <c r="L39" s="444"/>
      <c r="M39" s="444"/>
      <c r="N39" s="444"/>
      <c r="O39" s="444"/>
      <c r="P39" s="444"/>
      <c r="Q39" s="444"/>
      <c r="R39" s="444"/>
      <c r="S39" s="447"/>
      <c r="T39" s="443"/>
      <c r="U39" s="444"/>
      <c r="V39" s="444"/>
      <c r="W39" s="444"/>
      <c r="X39" s="444"/>
      <c r="Y39" s="444"/>
      <c r="Z39" s="444"/>
      <c r="AA39" s="444"/>
      <c r="AB39" s="444"/>
      <c r="AC39" s="447"/>
      <c r="AD39" s="476"/>
      <c r="AE39" s="436"/>
      <c r="AF39" s="436"/>
      <c r="AG39" s="436"/>
      <c r="AH39" s="436"/>
      <c r="AI39" s="436"/>
      <c r="AJ39" s="436"/>
      <c r="AK39" s="436"/>
      <c r="AL39" s="436"/>
      <c r="AM39" s="475"/>
      <c r="AN39" s="476"/>
      <c r="AO39" s="436"/>
      <c r="AP39" s="436"/>
      <c r="AQ39" s="436"/>
      <c r="AR39" s="436"/>
      <c r="AS39" s="436"/>
      <c r="AT39" s="436"/>
      <c r="AU39" s="436"/>
      <c r="AV39" s="436"/>
      <c r="AW39" s="475"/>
      <c r="AX39" s="467"/>
      <c r="AY39" s="465"/>
      <c r="AZ39" s="465"/>
      <c r="BA39" s="465"/>
      <c r="BB39" s="465"/>
      <c r="BC39" s="465"/>
      <c r="BD39" s="465"/>
      <c r="BE39" s="465"/>
      <c r="BF39" s="465"/>
      <c r="BG39" s="466"/>
      <c r="BH39" s="55"/>
      <c r="BI39" s="498"/>
      <c r="BJ39" s="499"/>
      <c r="BK39" s="499"/>
      <c r="BL39" s="499"/>
      <c r="BM39" s="499"/>
      <c r="BN39" s="500"/>
      <c r="BO39" s="55"/>
      <c r="BP39" s="55"/>
      <c r="BQ39" s="55"/>
      <c r="BR39" s="55"/>
      <c r="BS39" s="55"/>
      <c r="BT39" s="55"/>
      <c r="BU39" s="55"/>
      <c r="BV39" s="55"/>
      <c r="BW39" s="55"/>
      <c r="BX39" s="55"/>
      <c r="BY39" s="55"/>
      <c r="BZ39" s="55"/>
      <c r="CA39" s="55"/>
      <c r="CB39" s="55"/>
      <c r="CC39" s="55"/>
      <c r="CD39" s="55"/>
      <c r="CE39" s="55"/>
      <c r="CF39" s="55"/>
      <c r="CG39" s="55"/>
      <c r="CH39" s="55"/>
      <c r="CI39" s="55"/>
      <c r="CJ39" s="55"/>
      <c r="CK39" s="55"/>
      <c r="CL39" s="55"/>
      <c r="CM39" s="55"/>
      <c r="CN39" s="55"/>
      <c r="CO39" s="55"/>
      <c r="CP39" s="55"/>
      <c r="CQ39" s="55"/>
      <c r="CR39" s="55"/>
      <c r="CS39" s="55"/>
      <c r="CT39" s="55"/>
      <c r="CU39" s="55"/>
      <c r="CV39" s="55"/>
    </row>
    <row r="40" spans="1:100" ht="15" customHeight="1" x14ac:dyDescent="0.25">
      <c r="A40" s="55"/>
      <c r="B40" s="301"/>
      <c r="C40" s="301"/>
      <c r="D40" s="302"/>
      <c r="E40" s="454"/>
      <c r="F40" s="455"/>
      <c r="G40" s="455"/>
      <c r="H40" s="455"/>
      <c r="I40" s="455"/>
      <c r="J40" s="443" t="str">
        <f>IF(AND('Mapa final'!$K$109="Alta",'Mapa final'!$O$109="Leve"),CONCATENATE("R",'Mapa final'!$A$109),"")</f>
        <v/>
      </c>
      <c r="K40" s="444"/>
      <c r="L40" s="444" t="str">
        <f>IF(AND('Mapa final'!$K$112="Alta",'Mapa final'!$O$112="Leve"),CONCATENATE("R",'Mapa final'!$A$112),"")</f>
        <v/>
      </c>
      <c r="M40" s="444"/>
      <c r="N40" s="444" t="str">
        <f>IF(AND('Mapa final'!$K$115="Alta",'Mapa final'!$O$115="Leve"),CONCATENATE("R",'Mapa final'!$A$115),"")</f>
        <v/>
      </c>
      <c r="O40" s="444"/>
      <c r="P40" s="444" t="str">
        <f>IF(AND('Mapa final'!$K$118="Alta",'Mapa final'!$O$118="Leve"),CONCATENATE("R",'Mapa final'!$A$118),"")</f>
        <v/>
      </c>
      <c r="Q40" s="444"/>
      <c r="R40" s="444" t="str">
        <f>IF(AND('Mapa final'!$K$121="Alta",'Mapa final'!$O$121="Leve"),CONCATENATE("R",'Mapa final'!$A$121),"")</f>
        <v/>
      </c>
      <c r="S40" s="447"/>
      <c r="T40" s="443" t="str">
        <f>IF(AND('Mapa final'!$K$109="Alta",'Mapa final'!$O$109="Menor"),CONCATENATE("R",'Mapa final'!$A$109),"")</f>
        <v/>
      </c>
      <c r="U40" s="444"/>
      <c r="V40" s="444" t="str">
        <f>IF(AND('Mapa final'!$K$112="Alta",'Mapa final'!$O$112="Menor"),CONCATENATE("R",'Mapa final'!$A$112),"")</f>
        <v/>
      </c>
      <c r="W40" s="444"/>
      <c r="X40" s="444" t="str">
        <f>IF(AND('Mapa final'!$K$115="Alta",'Mapa final'!$O$115="Menor"),CONCATENATE("R",'Mapa final'!$A$115),"")</f>
        <v/>
      </c>
      <c r="Y40" s="444"/>
      <c r="Z40" s="444" t="str">
        <f>IF(AND('Mapa final'!$K$118="Alta",'Mapa final'!$O$118="Menor"),CONCATENATE("R",'Mapa final'!$A$118),"")</f>
        <v/>
      </c>
      <c r="AA40" s="444"/>
      <c r="AB40" s="444" t="str">
        <f>IF(AND('Mapa final'!$K$121="Alta",'Mapa final'!$O$121="Menor"),CONCATENATE("R",'Mapa final'!$A$121),"")</f>
        <v/>
      </c>
      <c r="AC40" s="447"/>
      <c r="AD40" s="476" t="str">
        <f>IF(AND('Mapa final'!$K$109="Alta",'Mapa final'!$O$109="Moderado"),CONCATENATE("R",'Mapa final'!$A$109),"")</f>
        <v/>
      </c>
      <c r="AE40" s="436"/>
      <c r="AF40" s="436" t="str">
        <f>IF(AND('Mapa final'!$K$112="Alta",'Mapa final'!$O$112="Moderado"),CONCATENATE("R",'Mapa final'!$A$112),"")</f>
        <v/>
      </c>
      <c r="AG40" s="436"/>
      <c r="AH40" s="436" t="str">
        <f>IF(AND('Mapa final'!$K$115="Alta",'Mapa final'!$O$115="Moderado"),CONCATENATE("R",'Mapa final'!$A$115),"")</f>
        <v/>
      </c>
      <c r="AI40" s="436"/>
      <c r="AJ40" s="436" t="str">
        <f>IF(AND('Mapa final'!$K$118="Alta",'Mapa final'!$O$118="Moderado"),CONCATENATE("R",'Mapa final'!$A$118),"")</f>
        <v>R38</v>
      </c>
      <c r="AK40" s="436"/>
      <c r="AL40" s="436" t="str">
        <f>IF(AND('Mapa final'!$K$121="Alta",'Mapa final'!$O$121="Moderado"),CONCATENATE("R",'Mapa final'!$A$121),"")</f>
        <v/>
      </c>
      <c r="AM40" s="475"/>
      <c r="AN40" s="476" t="str">
        <f>IF(AND('Mapa final'!$K$109="Alta",'Mapa final'!$O$109="Mayor"),CONCATENATE("R",'Mapa final'!$A$109),"")</f>
        <v/>
      </c>
      <c r="AO40" s="436"/>
      <c r="AP40" s="436" t="str">
        <f>IF(AND('Mapa final'!$K$112="Alta",'Mapa final'!$O$112="Mayor"),CONCATENATE("R",'Mapa final'!$A$112),"")</f>
        <v/>
      </c>
      <c r="AQ40" s="436"/>
      <c r="AR40" s="436" t="str">
        <f>IF(AND('Mapa final'!$K$115="Alta",'Mapa final'!$O$115="Mayor"),CONCATENATE("R",'Mapa final'!$A$115),"")</f>
        <v/>
      </c>
      <c r="AS40" s="436"/>
      <c r="AT40" s="436" t="str">
        <f>IF(AND('Mapa final'!$K$118="Alta",'Mapa final'!$O$118="Mayor"),CONCATENATE("R",'Mapa final'!$A$118),"")</f>
        <v/>
      </c>
      <c r="AU40" s="436"/>
      <c r="AV40" s="436" t="str">
        <f>IF(AND('Mapa final'!$K$121="Alta",'Mapa final'!$O$121="Mayor"),CONCATENATE("R",'Mapa final'!$A$121),"")</f>
        <v/>
      </c>
      <c r="AW40" s="475"/>
      <c r="AX40" s="467" t="str">
        <f>IF(AND('Mapa final'!$K$109="Alta",'Mapa final'!$O$109="Catastrófico"),CONCATENATE("R",'Mapa final'!$A$109),"")</f>
        <v/>
      </c>
      <c r="AY40" s="465"/>
      <c r="AZ40" s="465" t="str">
        <f>IF(AND('Mapa final'!$K$112="Alta",'Mapa final'!$O$112="Catastrófico"),CONCATENATE("R",'Mapa final'!$A$112),"")</f>
        <v/>
      </c>
      <c r="BA40" s="465"/>
      <c r="BB40" s="465" t="str">
        <f>IF(AND('Mapa final'!$K$115="Alta",'Mapa final'!$O$115="Catastrófico"),CONCATENATE("R",'Mapa final'!$A$115),"")</f>
        <v/>
      </c>
      <c r="BC40" s="465"/>
      <c r="BD40" s="465" t="str">
        <f>IF(AND('Mapa final'!$K$118="Alta",'Mapa final'!$O$118="Catastrófico"),CONCATENATE("R",'Mapa final'!$A$118),"")</f>
        <v/>
      </c>
      <c r="BE40" s="465"/>
      <c r="BF40" s="465" t="str">
        <f>IF(AND('Mapa final'!$K$121="Alta",'Mapa final'!$O$121="Catastrófico"),CONCATENATE("R",'Mapa final'!$A$121),"")</f>
        <v/>
      </c>
      <c r="BG40" s="466"/>
      <c r="BH40" s="55"/>
      <c r="BI40" s="498"/>
      <c r="BJ40" s="499"/>
      <c r="BK40" s="499"/>
      <c r="BL40" s="499"/>
      <c r="BM40" s="499"/>
      <c r="BN40" s="500"/>
      <c r="BO40" s="55"/>
      <c r="BP40" s="55"/>
      <c r="BQ40" s="55"/>
      <c r="BR40" s="55"/>
      <c r="BS40" s="55"/>
      <c r="BT40" s="55"/>
      <c r="BU40" s="55"/>
      <c r="BV40" s="55"/>
      <c r="BW40" s="55"/>
      <c r="BX40" s="55"/>
      <c r="BY40" s="55"/>
      <c r="BZ40" s="55"/>
      <c r="CA40" s="55"/>
      <c r="CB40" s="55"/>
      <c r="CC40" s="55"/>
      <c r="CD40" s="55"/>
      <c r="CE40" s="55"/>
      <c r="CF40" s="55"/>
      <c r="CG40" s="55"/>
      <c r="CH40" s="55"/>
      <c r="CI40" s="55"/>
      <c r="CJ40" s="55"/>
      <c r="CK40" s="55"/>
      <c r="CL40" s="55"/>
      <c r="CM40" s="55"/>
      <c r="CN40" s="55"/>
      <c r="CO40" s="55"/>
      <c r="CP40" s="55"/>
      <c r="CQ40" s="55"/>
      <c r="CR40" s="55"/>
      <c r="CS40" s="55"/>
      <c r="CT40" s="55"/>
      <c r="CU40" s="55"/>
      <c r="CV40" s="55"/>
    </row>
    <row r="41" spans="1:100" ht="15" customHeight="1" x14ac:dyDescent="0.25">
      <c r="A41" s="55"/>
      <c r="B41" s="301"/>
      <c r="C41" s="301"/>
      <c r="D41" s="302"/>
      <c r="E41" s="454"/>
      <c r="F41" s="455"/>
      <c r="G41" s="455"/>
      <c r="H41" s="455"/>
      <c r="I41" s="455"/>
      <c r="J41" s="443"/>
      <c r="K41" s="444"/>
      <c r="L41" s="444"/>
      <c r="M41" s="444"/>
      <c r="N41" s="444"/>
      <c r="O41" s="444"/>
      <c r="P41" s="444"/>
      <c r="Q41" s="444"/>
      <c r="R41" s="444"/>
      <c r="S41" s="447"/>
      <c r="T41" s="443"/>
      <c r="U41" s="444"/>
      <c r="V41" s="444"/>
      <c r="W41" s="444"/>
      <c r="X41" s="444"/>
      <c r="Y41" s="444"/>
      <c r="Z41" s="444"/>
      <c r="AA41" s="444"/>
      <c r="AB41" s="444"/>
      <c r="AC41" s="447"/>
      <c r="AD41" s="476"/>
      <c r="AE41" s="436"/>
      <c r="AF41" s="436"/>
      <c r="AG41" s="436"/>
      <c r="AH41" s="436"/>
      <c r="AI41" s="436"/>
      <c r="AJ41" s="436"/>
      <c r="AK41" s="436"/>
      <c r="AL41" s="436"/>
      <c r="AM41" s="475"/>
      <c r="AN41" s="476"/>
      <c r="AO41" s="436"/>
      <c r="AP41" s="436"/>
      <c r="AQ41" s="436"/>
      <c r="AR41" s="436"/>
      <c r="AS41" s="436"/>
      <c r="AT41" s="436"/>
      <c r="AU41" s="436"/>
      <c r="AV41" s="436"/>
      <c r="AW41" s="475"/>
      <c r="AX41" s="467"/>
      <c r="AY41" s="465"/>
      <c r="AZ41" s="465"/>
      <c r="BA41" s="465"/>
      <c r="BB41" s="465"/>
      <c r="BC41" s="465"/>
      <c r="BD41" s="465"/>
      <c r="BE41" s="465"/>
      <c r="BF41" s="465"/>
      <c r="BG41" s="466"/>
      <c r="BH41" s="55"/>
      <c r="BI41" s="498"/>
      <c r="BJ41" s="499"/>
      <c r="BK41" s="499"/>
      <c r="BL41" s="499"/>
      <c r="BM41" s="499"/>
      <c r="BN41" s="500"/>
      <c r="BO41" s="55"/>
      <c r="BP41" s="55"/>
      <c r="BQ41" s="55"/>
      <c r="BR41" s="55"/>
      <c r="BS41" s="55"/>
      <c r="BT41" s="55"/>
      <c r="BU41" s="55"/>
      <c r="BV41" s="55"/>
      <c r="BW41" s="55"/>
      <c r="BX41" s="55"/>
      <c r="BY41" s="55"/>
      <c r="BZ41" s="55"/>
      <c r="CA41" s="55"/>
      <c r="CB41" s="55"/>
      <c r="CC41" s="55"/>
      <c r="CD41" s="55"/>
      <c r="CE41" s="55"/>
      <c r="CF41" s="55"/>
      <c r="CG41" s="55"/>
      <c r="CH41" s="55"/>
      <c r="CI41" s="55"/>
      <c r="CJ41" s="55"/>
      <c r="CK41" s="55"/>
      <c r="CL41" s="55"/>
      <c r="CM41" s="55"/>
      <c r="CN41" s="55"/>
      <c r="CO41" s="55"/>
      <c r="CP41" s="55"/>
      <c r="CQ41" s="55"/>
      <c r="CR41" s="55"/>
      <c r="CS41" s="55"/>
      <c r="CT41" s="55"/>
      <c r="CU41" s="55"/>
      <c r="CV41" s="55"/>
    </row>
    <row r="42" spans="1:100" ht="15" customHeight="1" x14ac:dyDescent="0.25">
      <c r="A42" s="55"/>
      <c r="B42" s="301"/>
      <c r="C42" s="301"/>
      <c r="D42" s="302"/>
      <c r="E42" s="454"/>
      <c r="F42" s="455"/>
      <c r="G42" s="455"/>
      <c r="H42" s="455"/>
      <c r="I42" s="455"/>
      <c r="J42" s="443" t="str">
        <f>IF(AND('Mapa final'!$K$124="Alta",'Mapa final'!$O$124="Leve"),CONCATENATE("R",'Mapa final'!$A$124),"")</f>
        <v/>
      </c>
      <c r="K42" s="444"/>
      <c r="L42" s="444" t="str">
        <f>IF(AND('Mapa final'!$K$127="Alta",'Mapa final'!$O$127="Leve"),CONCATENATE("R",'Mapa final'!$A$127),"")</f>
        <v/>
      </c>
      <c r="M42" s="444"/>
      <c r="N42" s="444" t="str">
        <f>IF(AND('Mapa final'!$K$130="Alta",'Mapa final'!$O$130="Leve"),CONCATENATE("R",'Mapa final'!$A$130),"")</f>
        <v/>
      </c>
      <c r="O42" s="444"/>
      <c r="P42" s="444" t="str">
        <f>IF(AND('Mapa final'!$K$133="Alta",'Mapa final'!$O$133="Leve"),CONCATENATE("R",'Mapa final'!$A$133),"")</f>
        <v/>
      </c>
      <c r="Q42" s="444"/>
      <c r="R42" s="444" t="str">
        <f>IF(AND('Mapa final'!$K$136="Alta",'Mapa final'!$O$136="Leve"),CONCATENATE("R",'Mapa final'!$A$136),"")</f>
        <v/>
      </c>
      <c r="S42" s="447"/>
      <c r="T42" s="443" t="str">
        <f>IF(AND('Mapa final'!$K$124="Alta",'Mapa final'!$O$124="Menor"),CONCATENATE("R",'Mapa final'!$A$124),"")</f>
        <v/>
      </c>
      <c r="U42" s="444"/>
      <c r="V42" s="444" t="str">
        <f>IF(AND('Mapa final'!$K$127="Alta",'Mapa final'!$O$127="Menor"),CONCATENATE("R",'Mapa final'!$A$127),"")</f>
        <v/>
      </c>
      <c r="W42" s="444"/>
      <c r="X42" s="444" t="str">
        <f>IF(AND('Mapa final'!$K$130="Alta",'Mapa final'!$O$130="Menor"),CONCATENATE("R",'Mapa final'!$A$130),"")</f>
        <v/>
      </c>
      <c r="Y42" s="444"/>
      <c r="Z42" s="444" t="str">
        <f>IF(AND('Mapa final'!$K$133="Alta",'Mapa final'!$O$133="Menor"),CONCATENATE("R",'Mapa final'!$A$133),"")</f>
        <v/>
      </c>
      <c r="AA42" s="444"/>
      <c r="AB42" s="444" t="str">
        <f>IF(AND('Mapa final'!$K$136="Alta",'Mapa final'!$O$136="Menor"),CONCATENATE("R",'Mapa final'!$A$136),"")</f>
        <v/>
      </c>
      <c r="AC42" s="447"/>
      <c r="AD42" s="476" t="str">
        <f>IF(AND('Mapa final'!$K$124="Alta",'Mapa final'!$O$124="Moderado"),CONCATENATE("R",'Mapa final'!$A$124),"")</f>
        <v/>
      </c>
      <c r="AE42" s="436"/>
      <c r="AF42" s="436" t="str">
        <f>IF(AND('Mapa final'!$K$127="Alta",'Mapa final'!$O$127="Moderado"),CONCATENATE("R",'Mapa final'!$A$127),"")</f>
        <v/>
      </c>
      <c r="AG42" s="436"/>
      <c r="AH42" s="436" t="str">
        <f>IF(AND('Mapa final'!$K$130="Alta",'Mapa final'!$O$130="Moderado"),CONCATENATE("R",'Mapa final'!$A$130),"")</f>
        <v/>
      </c>
      <c r="AI42" s="436"/>
      <c r="AJ42" s="436" t="str">
        <f>IF(AND('Mapa final'!$K$133="Alta",'Mapa final'!$O$133="Moderado"),CONCATENATE("R",'Mapa final'!$A$133),"")</f>
        <v/>
      </c>
      <c r="AK42" s="436"/>
      <c r="AL42" s="436" t="str">
        <f>IF(AND('Mapa final'!$K$136="Alta",'Mapa final'!$O$136="Moderado"),CONCATENATE("R",'Mapa final'!$A$136),"")</f>
        <v/>
      </c>
      <c r="AM42" s="475"/>
      <c r="AN42" s="476" t="str">
        <f>IF(AND('Mapa final'!$K$124="Alta",'Mapa final'!$O$124="Mayor"),CONCATENATE("R",'Mapa final'!$A$124),"")</f>
        <v/>
      </c>
      <c r="AO42" s="436"/>
      <c r="AP42" s="436" t="str">
        <f>IF(AND('Mapa final'!$K$127="Alta",'Mapa final'!$O$127="Mayor"),CONCATENATE("R",'Mapa final'!$A$127),"")</f>
        <v/>
      </c>
      <c r="AQ42" s="436"/>
      <c r="AR42" s="436" t="str">
        <f>IF(AND('Mapa final'!$K$130="Alta",'Mapa final'!$O$130="Mayor"),CONCATENATE("R",'Mapa final'!$A$130),"")</f>
        <v/>
      </c>
      <c r="AS42" s="436"/>
      <c r="AT42" s="436" t="str">
        <f>IF(AND('Mapa final'!$K$133="Alta",'Mapa final'!$O$133="Mayor"),CONCATENATE("R",'Mapa final'!$A$133),"")</f>
        <v/>
      </c>
      <c r="AU42" s="436"/>
      <c r="AV42" s="436" t="str">
        <f>IF(AND('Mapa final'!$K$136="Alta",'Mapa final'!$O$136="Mayor"),CONCATENATE("R",'Mapa final'!$A$136),"")</f>
        <v/>
      </c>
      <c r="AW42" s="475"/>
      <c r="AX42" s="467" t="str">
        <f>IF(AND('Mapa final'!$K$124="Alta",'Mapa final'!$O$124="Catastrófico"),CONCATENATE("R",'Mapa final'!$A$124),"")</f>
        <v/>
      </c>
      <c r="AY42" s="465"/>
      <c r="AZ42" s="465" t="str">
        <f>IF(AND('Mapa final'!$K$127="Alta",'Mapa final'!$O$127="Catastrófico"),CONCATENATE("R",'Mapa final'!$A$127),"")</f>
        <v/>
      </c>
      <c r="BA42" s="465"/>
      <c r="BB42" s="465" t="str">
        <f>IF(AND('Mapa final'!$K$130="Alta",'Mapa final'!$O$130="Catastrófico"),CONCATENATE("R",'Mapa final'!$A$130),"")</f>
        <v/>
      </c>
      <c r="BC42" s="465"/>
      <c r="BD42" s="465" t="str">
        <f>IF(AND('Mapa final'!$K$133="Alta",'Mapa final'!$O$133="Catastrófico"),CONCATENATE("R",'Mapa final'!$A$133),"")</f>
        <v/>
      </c>
      <c r="BE42" s="465"/>
      <c r="BF42" s="465" t="str">
        <f>IF(AND('Mapa final'!$K$136="Alta",'Mapa final'!$O$136="Catastrófico"),CONCATENATE("R",'Mapa final'!$A$136),"")</f>
        <v/>
      </c>
      <c r="BG42" s="466"/>
      <c r="BH42" s="55"/>
      <c r="BI42" s="498"/>
      <c r="BJ42" s="499"/>
      <c r="BK42" s="499"/>
      <c r="BL42" s="499"/>
      <c r="BM42" s="499"/>
      <c r="BN42" s="500"/>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c r="CT42" s="55"/>
      <c r="CU42" s="55"/>
      <c r="CV42" s="55"/>
    </row>
    <row r="43" spans="1:100" ht="15" customHeight="1" x14ac:dyDescent="0.25">
      <c r="A43" s="55"/>
      <c r="B43" s="301"/>
      <c r="C43" s="301"/>
      <c r="D43" s="302"/>
      <c r="E43" s="454"/>
      <c r="F43" s="455"/>
      <c r="G43" s="455"/>
      <c r="H43" s="455"/>
      <c r="I43" s="455"/>
      <c r="J43" s="443"/>
      <c r="K43" s="444"/>
      <c r="L43" s="444"/>
      <c r="M43" s="444"/>
      <c r="N43" s="444"/>
      <c r="O43" s="444"/>
      <c r="P43" s="444"/>
      <c r="Q43" s="444"/>
      <c r="R43" s="444"/>
      <c r="S43" s="447"/>
      <c r="T43" s="443"/>
      <c r="U43" s="444"/>
      <c r="V43" s="444"/>
      <c r="W43" s="444"/>
      <c r="X43" s="444"/>
      <c r="Y43" s="444"/>
      <c r="Z43" s="444"/>
      <c r="AA43" s="444"/>
      <c r="AB43" s="444"/>
      <c r="AC43" s="447"/>
      <c r="AD43" s="476"/>
      <c r="AE43" s="436"/>
      <c r="AF43" s="436"/>
      <c r="AG43" s="436"/>
      <c r="AH43" s="436"/>
      <c r="AI43" s="436"/>
      <c r="AJ43" s="436"/>
      <c r="AK43" s="436"/>
      <c r="AL43" s="436"/>
      <c r="AM43" s="475"/>
      <c r="AN43" s="476"/>
      <c r="AO43" s="436"/>
      <c r="AP43" s="436"/>
      <c r="AQ43" s="436"/>
      <c r="AR43" s="436"/>
      <c r="AS43" s="436"/>
      <c r="AT43" s="436"/>
      <c r="AU43" s="436"/>
      <c r="AV43" s="436"/>
      <c r="AW43" s="475"/>
      <c r="AX43" s="467"/>
      <c r="AY43" s="465"/>
      <c r="AZ43" s="465"/>
      <c r="BA43" s="465"/>
      <c r="BB43" s="465"/>
      <c r="BC43" s="465"/>
      <c r="BD43" s="465"/>
      <c r="BE43" s="465"/>
      <c r="BF43" s="465"/>
      <c r="BG43" s="466"/>
      <c r="BH43" s="55"/>
      <c r="BI43" s="498"/>
      <c r="BJ43" s="499"/>
      <c r="BK43" s="499"/>
      <c r="BL43" s="499"/>
      <c r="BM43" s="499"/>
      <c r="BN43" s="500"/>
      <c r="BO43" s="55"/>
      <c r="BP43" s="55"/>
      <c r="BQ43" s="55"/>
      <c r="BR43" s="55"/>
      <c r="BS43" s="55"/>
      <c r="BT43" s="55"/>
      <c r="BU43" s="55"/>
      <c r="BV43" s="55"/>
      <c r="BW43" s="55"/>
      <c r="BX43" s="55"/>
      <c r="BY43" s="55"/>
      <c r="BZ43" s="55"/>
      <c r="CA43" s="55"/>
      <c r="CB43" s="55"/>
      <c r="CC43" s="55"/>
      <c r="CD43" s="55"/>
      <c r="CE43" s="55"/>
      <c r="CF43" s="55"/>
      <c r="CG43" s="55"/>
      <c r="CH43" s="55"/>
      <c r="CI43" s="55"/>
      <c r="CJ43" s="55"/>
      <c r="CK43" s="55"/>
      <c r="CL43" s="55"/>
      <c r="CM43" s="55"/>
      <c r="CN43" s="55"/>
      <c r="CO43" s="55"/>
      <c r="CP43" s="55"/>
      <c r="CQ43" s="55"/>
      <c r="CR43" s="55"/>
      <c r="CS43" s="55"/>
      <c r="CT43" s="55"/>
      <c r="CU43" s="55"/>
      <c r="CV43" s="55"/>
    </row>
    <row r="44" spans="1:100" ht="15" customHeight="1" x14ac:dyDescent="0.25">
      <c r="A44" s="55"/>
      <c r="B44" s="301"/>
      <c r="C44" s="301"/>
      <c r="D44" s="302"/>
      <c r="E44" s="454"/>
      <c r="F44" s="455"/>
      <c r="G44" s="455"/>
      <c r="H44" s="455"/>
      <c r="I44" s="455"/>
      <c r="J44" s="443" t="str">
        <f>IF(AND('Mapa final'!$K$139="Alta",'Mapa final'!$O$139="Leve"),CONCATENATE("R",'Mapa final'!$A$139),"")</f>
        <v/>
      </c>
      <c r="K44" s="444"/>
      <c r="L44" s="444" t="str">
        <f>IF(AND('Mapa final'!$K$142="Alta",'Mapa final'!$O$142="Leve"),CONCATENATE("R",'Mapa final'!$A$142),"")</f>
        <v/>
      </c>
      <c r="M44" s="444"/>
      <c r="N44" s="444" t="str">
        <f>IF(AND('Mapa final'!$K$145="Alta",'Mapa final'!$O$145="Leve"),CONCATENATE("R",'Mapa final'!$A$145),"")</f>
        <v/>
      </c>
      <c r="O44" s="444"/>
      <c r="P44" s="444" t="str">
        <f>IF(AND('Mapa final'!$K$148="Alta",'Mapa final'!$O$148="Leve"),CONCATENATE("R",'Mapa final'!$A$148),"")</f>
        <v/>
      </c>
      <c r="Q44" s="444"/>
      <c r="R44" s="444" t="str">
        <f>IF(AND('Mapa final'!$K$151="Alta",'Mapa final'!$O$151="Leve"),CONCATENATE("R",'Mapa final'!$A$151),"")</f>
        <v/>
      </c>
      <c r="S44" s="447"/>
      <c r="T44" s="443" t="str">
        <f>IF(AND('Mapa final'!$K$139="Alta",'Mapa final'!$O$139="Menor"),CONCATENATE("R",'Mapa final'!$A$139),"")</f>
        <v/>
      </c>
      <c r="U44" s="444"/>
      <c r="V44" s="444" t="str">
        <f>IF(AND('Mapa final'!$K$142="Alta",'Mapa final'!$O$142="Menor"),CONCATENATE("R",'Mapa final'!$A$142),"")</f>
        <v/>
      </c>
      <c r="W44" s="444"/>
      <c r="X44" s="444" t="str">
        <f>IF(AND('Mapa final'!$K$145="Alta",'Mapa final'!$O$145="Menor"),CONCATENATE("R",'Mapa final'!$A$145),"")</f>
        <v/>
      </c>
      <c r="Y44" s="444"/>
      <c r="Z44" s="444" t="str">
        <f>IF(AND('Mapa final'!$K$148="Alta",'Mapa final'!$O$148="Menor"),CONCATENATE("R",'Mapa final'!$A$148),"")</f>
        <v/>
      </c>
      <c r="AA44" s="444"/>
      <c r="AB44" s="444" t="str">
        <f>IF(AND('Mapa final'!$K$151="Alta",'Mapa final'!$O$151="Menor"),CONCATENATE("R",'Mapa final'!$A$151),"")</f>
        <v/>
      </c>
      <c r="AC44" s="447"/>
      <c r="AD44" s="476" t="str">
        <f>IF(AND('Mapa final'!$K$139="Alta",'Mapa final'!$O$139="Moderado"),CONCATENATE("R",'Mapa final'!$A$139),"")</f>
        <v/>
      </c>
      <c r="AE44" s="436"/>
      <c r="AF44" s="436" t="str">
        <f>IF(AND('Mapa final'!$K$142="Alta",'Mapa final'!$O$142="Moderado"),CONCATENATE("R",'Mapa final'!$A$142),"")</f>
        <v/>
      </c>
      <c r="AG44" s="436"/>
      <c r="AH44" s="436" t="str">
        <f>IF(AND('Mapa final'!$K$145="Alta",'Mapa final'!$O$145="Moderado"),CONCATENATE("R",'Mapa final'!$A$145),"")</f>
        <v/>
      </c>
      <c r="AI44" s="436"/>
      <c r="AJ44" s="436" t="str">
        <f>IF(AND('Mapa final'!$K$148="Alta",'Mapa final'!$O$148="Moderado"),CONCATENATE("R",'Mapa final'!$A$148),"")</f>
        <v/>
      </c>
      <c r="AK44" s="436"/>
      <c r="AL44" s="436" t="str">
        <f>IF(AND('Mapa final'!$K$151="Alta",'Mapa final'!$O$151="Moderado"),CONCATENATE("R",'Mapa final'!$A$151),"")</f>
        <v/>
      </c>
      <c r="AM44" s="475"/>
      <c r="AN44" s="476" t="str">
        <f>IF(AND('Mapa final'!$K$139="Alta",'Mapa final'!$O$139="Mayor"),CONCATENATE("R",'Mapa final'!$A$139),"")</f>
        <v/>
      </c>
      <c r="AO44" s="436"/>
      <c r="AP44" s="436" t="str">
        <f>IF(AND('Mapa final'!$K$142="Alta",'Mapa final'!$O$142="Mayor"),CONCATENATE("R",'Mapa final'!$A$142),"")</f>
        <v/>
      </c>
      <c r="AQ44" s="436"/>
      <c r="AR44" s="436" t="str">
        <f>IF(AND('Mapa final'!$K$145="Alta",'Mapa final'!$O$145="Mayor"),CONCATENATE("R",'Mapa final'!$A$145),"")</f>
        <v/>
      </c>
      <c r="AS44" s="436"/>
      <c r="AT44" s="436" t="str">
        <f>IF(AND('Mapa final'!$K$148="Alta",'Mapa final'!$O$148="Mayor"),CONCATENATE("R",'Mapa final'!$A$148),"")</f>
        <v/>
      </c>
      <c r="AU44" s="436"/>
      <c r="AV44" s="436" t="str">
        <f>IF(AND('Mapa final'!$K$151="Alta",'Mapa final'!$O$151="Mayor"),CONCATENATE("R",'Mapa final'!$A$151),"")</f>
        <v/>
      </c>
      <c r="AW44" s="475"/>
      <c r="AX44" s="467" t="str">
        <f>IF(AND('Mapa final'!$K$139="Alta",'Mapa final'!$O$139="Catastrófico"),CONCATENATE("R",'Mapa final'!$A$139),"")</f>
        <v/>
      </c>
      <c r="AY44" s="465"/>
      <c r="AZ44" s="465" t="str">
        <f>IF(AND('Mapa final'!$K$142="Alta",'Mapa final'!$O$142="Catastrófico"),CONCATENATE("R",'Mapa final'!$A$142),"")</f>
        <v/>
      </c>
      <c r="BA44" s="465"/>
      <c r="BB44" s="465" t="str">
        <f>IF(AND('Mapa final'!$K$145="Alta",'Mapa final'!$O$145="Catastrófico"),CONCATENATE("R",'Mapa final'!$A$145),"")</f>
        <v/>
      </c>
      <c r="BC44" s="465"/>
      <c r="BD44" s="465" t="str">
        <f>IF(AND('Mapa final'!$K$148="Alta",'Mapa final'!$O$148="Catastrófico"),CONCATENATE("R",'Mapa final'!$A$148),"")</f>
        <v/>
      </c>
      <c r="BE44" s="465"/>
      <c r="BF44" s="465" t="str">
        <f>IF(AND('Mapa final'!$K$151="Alta",'Mapa final'!$O$151="Catastrófico"),CONCATENATE("R",'Mapa final'!$A$151),"")</f>
        <v/>
      </c>
      <c r="BG44" s="466"/>
      <c r="BH44" s="55"/>
      <c r="BI44" s="498"/>
      <c r="BJ44" s="499"/>
      <c r="BK44" s="499"/>
      <c r="BL44" s="499"/>
      <c r="BM44" s="499"/>
      <c r="BN44" s="500"/>
      <c r="BO44" s="55"/>
      <c r="BP44" s="55"/>
      <c r="BQ44" s="55"/>
      <c r="BR44" s="55"/>
      <c r="BS44" s="55"/>
      <c r="BT44" s="55"/>
      <c r="BU44" s="55"/>
      <c r="BV44" s="55"/>
      <c r="BW44" s="55"/>
      <c r="BX44" s="55"/>
      <c r="BY44" s="55"/>
      <c r="BZ44" s="55"/>
      <c r="CA44" s="55"/>
      <c r="CB44" s="55"/>
      <c r="CC44" s="55"/>
      <c r="CD44" s="55"/>
      <c r="CE44" s="55"/>
      <c r="CF44" s="55"/>
      <c r="CG44" s="55"/>
      <c r="CH44" s="55"/>
      <c r="CI44" s="55"/>
      <c r="CJ44" s="55"/>
      <c r="CK44" s="55"/>
      <c r="CL44" s="55"/>
      <c r="CM44" s="55"/>
      <c r="CN44" s="55"/>
      <c r="CO44" s="55"/>
      <c r="CP44" s="55"/>
      <c r="CQ44" s="55"/>
      <c r="CR44" s="55"/>
      <c r="CS44" s="55"/>
      <c r="CT44" s="55"/>
      <c r="CU44" s="55"/>
      <c r="CV44" s="55"/>
    </row>
    <row r="45" spans="1:100" ht="15" customHeight="1" thickBot="1" x14ac:dyDescent="0.3">
      <c r="A45" s="55"/>
      <c r="B45" s="301"/>
      <c r="C45" s="301"/>
      <c r="D45" s="302"/>
      <c r="E45" s="454"/>
      <c r="F45" s="455"/>
      <c r="G45" s="455"/>
      <c r="H45" s="455"/>
      <c r="I45" s="455"/>
      <c r="J45" s="445"/>
      <c r="K45" s="446"/>
      <c r="L45" s="446"/>
      <c r="M45" s="446"/>
      <c r="N45" s="446"/>
      <c r="O45" s="446"/>
      <c r="P45" s="446"/>
      <c r="Q45" s="446"/>
      <c r="R45" s="446"/>
      <c r="S45" s="448"/>
      <c r="T45" s="445"/>
      <c r="U45" s="446"/>
      <c r="V45" s="446"/>
      <c r="W45" s="446"/>
      <c r="X45" s="446"/>
      <c r="Y45" s="446"/>
      <c r="Z45" s="446"/>
      <c r="AA45" s="446"/>
      <c r="AB45" s="446"/>
      <c r="AC45" s="448"/>
      <c r="AD45" s="477"/>
      <c r="AE45" s="474"/>
      <c r="AF45" s="474"/>
      <c r="AG45" s="474"/>
      <c r="AH45" s="474"/>
      <c r="AI45" s="474"/>
      <c r="AJ45" s="474"/>
      <c r="AK45" s="474"/>
      <c r="AL45" s="474"/>
      <c r="AM45" s="478"/>
      <c r="AN45" s="477"/>
      <c r="AO45" s="474"/>
      <c r="AP45" s="474"/>
      <c r="AQ45" s="474"/>
      <c r="AR45" s="474"/>
      <c r="AS45" s="474"/>
      <c r="AT45" s="474"/>
      <c r="AU45" s="474"/>
      <c r="AV45" s="474"/>
      <c r="AW45" s="478"/>
      <c r="AX45" s="468"/>
      <c r="AY45" s="469"/>
      <c r="AZ45" s="469"/>
      <c r="BA45" s="469"/>
      <c r="BB45" s="469"/>
      <c r="BC45" s="469"/>
      <c r="BD45" s="469"/>
      <c r="BE45" s="469"/>
      <c r="BF45" s="469"/>
      <c r="BG45" s="470"/>
      <c r="BH45" s="55"/>
      <c r="BI45" s="498"/>
      <c r="BJ45" s="499"/>
      <c r="BK45" s="499"/>
      <c r="BL45" s="499"/>
      <c r="BM45" s="499"/>
      <c r="BN45" s="500"/>
      <c r="BO45" s="55"/>
      <c r="BP45" s="55"/>
      <c r="BQ45" s="55"/>
      <c r="BR45" s="55"/>
      <c r="BS45" s="55"/>
      <c r="BT45" s="55"/>
      <c r="BU45" s="55"/>
      <c r="BV45" s="55"/>
      <c r="BW45" s="55"/>
      <c r="BX45" s="55"/>
      <c r="BY45" s="55"/>
      <c r="BZ45" s="55"/>
      <c r="CA45" s="55"/>
      <c r="CB45" s="55"/>
      <c r="CC45" s="55"/>
      <c r="CD45" s="55"/>
      <c r="CE45" s="55"/>
      <c r="CF45" s="55"/>
      <c r="CG45" s="55"/>
      <c r="CH45" s="55"/>
      <c r="CI45" s="55"/>
      <c r="CJ45" s="55"/>
      <c r="CK45" s="55"/>
      <c r="CL45" s="55"/>
      <c r="CM45" s="55"/>
      <c r="CN45" s="55"/>
      <c r="CO45" s="55"/>
      <c r="CP45" s="55"/>
      <c r="CQ45" s="55"/>
      <c r="CR45" s="55"/>
      <c r="CS45" s="55"/>
      <c r="CT45" s="55"/>
      <c r="CU45" s="55"/>
      <c r="CV45" s="55"/>
    </row>
    <row r="46" spans="1:100" ht="15" customHeight="1" x14ac:dyDescent="0.25">
      <c r="A46" s="55"/>
      <c r="B46" s="301"/>
      <c r="C46" s="301"/>
      <c r="D46" s="302"/>
      <c r="E46" s="451" t="s">
        <v>108</v>
      </c>
      <c r="F46" s="452"/>
      <c r="G46" s="452"/>
      <c r="H46" s="452"/>
      <c r="I46" s="452"/>
      <c r="J46" s="463" t="str">
        <f>IF(AND('Mapa final'!$K$7="Media",'Mapa final'!$O$7="Leve"),CONCATENATE("R",'Mapa final'!$A$7),"")</f>
        <v/>
      </c>
      <c r="K46" s="449"/>
      <c r="L46" s="449" t="str">
        <f>IF(AND('Mapa final'!$K$10="Media",'Mapa final'!$O$10="Leve"),CONCATENATE("R",'Mapa final'!$A$10),"")</f>
        <v/>
      </c>
      <c r="M46" s="449"/>
      <c r="N46" s="449" t="str">
        <f>IF(AND('Mapa final'!$K$13="Media",'Mapa final'!$O$13="Leve"),CONCATENATE("R",'Mapa final'!$A$13),"")</f>
        <v/>
      </c>
      <c r="O46" s="449"/>
      <c r="P46" s="449" t="e">
        <f>IF(AND('Mapa final'!#REF!="Media",'Mapa final'!#REF!="Leve"),CONCATENATE("R",'Mapa final'!#REF!),"")</f>
        <v>#REF!</v>
      </c>
      <c r="Q46" s="449"/>
      <c r="R46" s="449" t="str">
        <f>IF(AND('Mapa final'!$K$16="Media",'Mapa final'!$O$16="Leve"),CONCATENATE("R",'Mapa final'!$A$16),"")</f>
        <v/>
      </c>
      <c r="S46" s="464"/>
      <c r="T46" s="463" t="str">
        <f>IF(AND('Mapa final'!$K$7="Media",'Mapa final'!$O$7="Menor"),CONCATENATE("R",'Mapa final'!$A$7),"")</f>
        <v/>
      </c>
      <c r="U46" s="449"/>
      <c r="V46" s="449" t="str">
        <f>IF(AND('Mapa final'!$K$10="Media",'Mapa final'!$O$10="Menor"),CONCATENATE("R",'Mapa final'!$A$10),"")</f>
        <v/>
      </c>
      <c r="W46" s="449"/>
      <c r="X46" s="449" t="str">
        <f>IF(AND('Mapa final'!$K$13="Media",'Mapa final'!$O$13="Menor"),CONCATENATE("R",'Mapa final'!$A$13),"")</f>
        <v/>
      </c>
      <c r="Y46" s="449"/>
      <c r="Z46" s="449" t="e">
        <f>IF(AND('Mapa final'!#REF!="Media",'Mapa final'!#REF!="Menor"),CONCATENATE("R",'Mapa final'!#REF!),"")</f>
        <v>#REF!</v>
      </c>
      <c r="AA46" s="449"/>
      <c r="AB46" s="449" t="str">
        <f>IF(AND('Mapa final'!$K$16="Media",'Mapa final'!$O$16="Menor"),CONCATENATE("R",'Mapa final'!$A$16),"")</f>
        <v/>
      </c>
      <c r="AC46" s="464"/>
      <c r="AD46" s="463" t="str">
        <f>IF(AND('Mapa final'!$K$7="Media",'Mapa final'!$O$7="Moderado"),CONCATENATE("R",'Mapa final'!$A$7),"")</f>
        <v/>
      </c>
      <c r="AE46" s="449"/>
      <c r="AF46" s="449" t="str">
        <f>IF(AND('Mapa final'!$K$10="Media",'Mapa final'!$O$10="Moderado"),CONCATENATE("R",'Mapa final'!$A$10),"")</f>
        <v>R2</v>
      </c>
      <c r="AG46" s="449"/>
      <c r="AH46" s="449" t="str">
        <f>IF(AND('Mapa final'!$K$13="Media",'Mapa final'!$O$13="Moderado"),CONCATENATE("R",'Mapa final'!$A$13),"")</f>
        <v/>
      </c>
      <c r="AI46" s="449"/>
      <c r="AJ46" s="449" t="e">
        <f>IF(AND('Mapa final'!#REF!="Media",'Mapa final'!#REF!="Moderado"),CONCATENATE("R",'Mapa final'!#REF!),"")</f>
        <v>#REF!</v>
      </c>
      <c r="AK46" s="449"/>
      <c r="AL46" s="449" t="str">
        <f>IF(AND('Mapa final'!$K$16="Media",'Mapa final'!$O$16="Moderado"),CONCATENATE("R",'Mapa final'!$A$16),"")</f>
        <v>R4</v>
      </c>
      <c r="AM46" s="464"/>
      <c r="AN46" s="479" t="str">
        <f>IF(AND('Mapa final'!$K$7="Media",'Mapa final'!$O$7="Mayor"),CONCATENATE("R",'Mapa final'!$A$7),"")</f>
        <v/>
      </c>
      <c r="AO46" s="480"/>
      <c r="AP46" s="480" t="str">
        <f>IF(AND('Mapa final'!$K$10="Media",'Mapa final'!$O$10="Mayor"),CONCATENATE("R",'Mapa final'!$A$10),"")</f>
        <v/>
      </c>
      <c r="AQ46" s="480"/>
      <c r="AR46" s="480" t="str">
        <f>IF(AND('Mapa final'!$K$13="Media",'Mapa final'!$O$13="Mayor"),CONCATENATE("R",'Mapa final'!$A$13),"")</f>
        <v/>
      </c>
      <c r="AS46" s="480"/>
      <c r="AT46" s="480" t="e">
        <f>IF(AND('Mapa final'!#REF!="Media",'Mapa final'!#REF!="Mayor"),CONCATENATE("R",'Mapa final'!#REF!),"")</f>
        <v>#REF!</v>
      </c>
      <c r="AU46" s="480"/>
      <c r="AV46" s="480" t="str">
        <f>IF(AND('Mapa final'!$K$16="Media",'Mapa final'!$O$16="Mayor"),CONCATENATE("R",'Mapa final'!$A$16),"")</f>
        <v/>
      </c>
      <c r="AW46" s="481"/>
      <c r="AX46" s="471" t="str">
        <f>IF(AND('Mapa final'!$K$7="Media",'Mapa final'!$O$7="Catastrófico"),CONCATENATE("R",'Mapa final'!$A$7),"")</f>
        <v/>
      </c>
      <c r="AY46" s="472"/>
      <c r="AZ46" s="472" t="str">
        <f>IF(AND('Mapa final'!$K$10="Media",'Mapa final'!$O$10="Catastrófico"),CONCATENATE("R",'Mapa final'!$A$10),"")</f>
        <v/>
      </c>
      <c r="BA46" s="472"/>
      <c r="BB46" s="472" t="str">
        <f>IF(AND('Mapa final'!$K$13="Media",'Mapa final'!$O$13="Catastrófico"),CONCATENATE("R",'Mapa final'!$A$13),"")</f>
        <v/>
      </c>
      <c r="BC46" s="472"/>
      <c r="BD46" s="472" t="e">
        <f>IF(AND('Mapa final'!#REF!="Media",'Mapa final'!#REF!="Catastrófico"),CONCATENATE("R",'Mapa final'!#REF!),"")</f>
        <v>#REF!</v>
      </c>
      <c r="BE46" s="472"/>
      <c r="BF46" s="472" t="str">
        <f>IF(AND('Mapa final'!$K$16="Media",'Mapa final'!$O$16="Catastrófico"),CONCATENATE("R",'Mapa final'!$A$16),"")</f>
        <v/>
      </c>
      <c r="BG46" s="473"/>
      <c r="BH46" s="55"/>
      <c r="BI46" s="498"/>
      <c r="BJ46" s="499"/>
      <c r="BK46" s="499"/>
      <c r="BL46" s="499"/>
      <c r="BM46" s="499"/>
      <c r="BN46" s="500"/>
      <c r="BO46" s="55"/>
      <c r="BP46" s="55"/>
      <c r="BQ46" s="55"/>
      <c r="BR46" s="55"/>
      <c r="BS46" s="55"/>
      <c r="BT46" s="55"/>
      <c r="BU46" s="55"/>
      <c r="BV46" s="55"/>
      <c r="BW46" s="55"/>
      <c r="BX46" s="55"/>
      <c r="BY46" s="55"/>
      <c r="BZ46" s="55"/>
      <c r="CA46" s="55"/>
      <c r="CB46" s="55"/>
      <c r="CC46" s="55"/>
      <c r="CD46" s="55"/>
      <c r="CE46" s="55"/>
      <c r="CF46" s="55"/>
      <c r="CG46" s="55"/>
      <c r="CH46" s="55"/>
      <c r="CI46" s="55"/>
      <c r="CJ46" s="55"/>
      <c r="CK46" s="55"/>
      <c r="CL46" s="55"/>
      <c r="CM46" s="55"/>
      <c r="CN46" s="55"/>
      <c r="CO46" s="55"/>
      <c r="CP46" s="55"/>
      <c r="CQ46" s="55"/>
      <c r="CR46" s="55"/>
      <c r="CS46" s="55"/>
      <c r="CT46" s="55"/>
      <c r="CU46" s="55"/>
      <c r="CV46" s="55"/>
    </row>
    <row r="47" spans="1:100" ht="15" customHeight="1" x14ac:dyDescent="0.25">
      <c r="A47" s="55"/>
      <c r="B47" s="301"/>
      <c r="C47" s="301"/>
      <c r="D47" s="302"/>
      <c r="E47" s="454"/>
      <c r="F47" s="455"/>
      <c r="G47" s="455"/>
      <c r="H47" s="455"/>
      <c r="I47" s="455"/>
      <c r="J47" s="443"/>
      <c r="K47" s="444"/>
      <c r="L47" s="444"/>
      <c r="M47" s="444"/>
      <c r="N47" s="444"/>
      <c r="O47" s="444"/>
      <c r="P47" s="444"/>
      <c r="Q47" s="444"/>
      <c r="R47" s="444"/>
      <c r="S47" s="447"/>
      <c r="T47" s="443"/>
      <c r="U47" s="444"/>
      <c r="V47" s="444"/>
      <c r="W47" s="444"/>
      <c r="X47" s="444"/>
      <c r="Y47" s="444"/>
      <c r="Z47" s="444"/>
      <c r="AA47" s="444"/>
      <c r="AB47" s="444"/>
      <c r="AC47" s="447"/>
      <c r="AD47" s="443"/>
      <c r="AE47" s="444"/>
      <c r="AF47" s="444"/>
      <c r="AG47" s="444"/>
      <c r="AH47" s="444"/>
      <c r="AI47" s="444"/>
      <c r="AJ47" s="444"/>
      <c r="AK47" s="444"/>
      <c r="AL47" s="444"/>
      <c r="AM47" s="447"/>
      <c r="AN47" s="476"/>
      <c r="AO47" s="436"/>
      <c r="AP47" s="436"/>
      <c r="AQ47" s="436"/>
      <c r="AR47" s="436"/>
      <c r="AS47" s="436"/>
      <c r="AT47" s="436"/>
      <c r="AU47" s="436"/>
      <c r="AV47" s="436"/>
      <c r="AW47" s="475"/>
      <c r="AX47" s="467"/>
      <c r="AY47" s="465"/>
      <c r="AZ47" s="465"/>
      <c r="BA47" s="465"/>
      <c r="BB47" s="465"/>
      <c r="BC47" s="465"/>
      <c r="BD47" s="465"/>
      <c r="BE47" s="465"/>
      <c r="BF47" s="465"/>
      <c r="BG47" s="466"/>
      <c r="BH47" s="55"/>
      <c r="BI47" s="498"/>
      <c r="BJ47" s="499"/>
      <c r="BK47" s="499"/>
      <c r="BL47" s="499"/>
      <c r="BM47" s="499"/>
      <c r="BN47" s="500"/>
      <c r="BO47" s="55"/>
      <c r="BP47" s="55"/>
      <c r="BQ47" s="55"/>
      <c r="BR47" s="55"/>
      <c r="BS47" s="55"/>
      <c r="BT47" s="55"/>
      <c r="BU47" s="55"/>
      <c r="BV47" s="55"/>
      <c r="BW47" s="55"/>
      <c r="BX47" s="55"/>
      <c r="BY47" s="55"/>
      <c r="BZ47" s="55"/>
      <c r="CA47" s="55"/>
      <c r="CB47" s="55"/>
      <c r="CC47" s="55"/>
      <c r="CD47" s="55"/>
      <c r="CE47" s="55"/>
      <c r="CF47" s="55"/>
      <c r="CG47" s="55"/>
      <c r="CH47" s="55"/>
      <c r="CI47" s="55"/>
      <c r="CJ47" s="55"/>
      <c r="CK47" s="55"/>
      <c r="CL47" s="55"/>
      <c r="CM47" s="55"/>
      <c r="CN47" s="55"/>
      <c r="CO47" s="55"/>
      <c r="CP47" s="55"/>
      <c r="CQ47" s="55"/>
      <c r="CR47" s="55"/>
      <c r="CS47" s="55"/>
      <c r="CT47" s="55"/>
      <c r="CU47" s="55"/>
      <c r="CV47" s="55"/>
    </row>
    <row r="48" spans="1:100" ht="15" customHeight="1" x14ac:dyDescent="0.25">
      <c r="A48" s="55"/>
      <c r="B48" s="301"/>
      <c r="C48" s="301"/>
      <c r="D48" s="302"/>
      <c r="E48" s="454"/>
      <c r="F48" s="455"/>
      <c r="G48" s="455"/>
      <c r="H48" s="455"/>
      <c r="I48" s="455"/>
      <c r="J48" s="443" t="str">
        <f>IF(AND('Mapa final'!$K$19="Media",'Mapa final'!$O$19="Leve"),CONCATENATE("R",'Mapa final'!$A$19),"")</f>
        <v/>
      </c>
      <c r="K48" s="444"/>
      <c r="L48" s="444" t="str">
        <f>IF(AND('Mapa final'!$K$22="Media",'Mapa final'!$O$22="Leve"),CONCATENATE("R",'Mapa final'!$A$22),"")</f>
        <v/>
      </c>
      <c r="M48" s="444"/>
      <c r="N48" s="444" t="str">
        <f>IF(AND('Mapa final'!$K$25="Media",'Mapa final'!$O$25="Leve"),CONCATENATE("R",'Mapa final'!$A$25),"")</f>
        <v/>
      </c>
      <c r="O48" s="444"/>
      <c r="P48" s="444" t="str">
        <f>IF(AND('Mapa final'!$K$28="Media",'Mapa final'!$O$28="Leve"),CONCATENATE("R",'Mapa final'!$A$28),"")</f>
        <v/>
      </c>
      <c r="Q48" s="444"/>
      <c r="R48" s="444" t="str">
        <f>IF(AND('Mapa final'!$K$31="Media",'Mapa final'!$O$31="Leve"),CONCATENATE("R",'Mapa final'!$A$31),"")</f>
        <v/>
      </c>
      <c r="S48" s="447"/>
      <c r="T48" s="443" t="str">
        <f>IF(AND('Mapa final'!$K$19="Media",'Mapa final'!$O$19="Menor"),CONCATENATE("R",'Mapa final'!$A$19),"")</f>
        <v/>
      </c>
      <c r="U48" s="444"/>
      <c r="V48" s="444" t="str">
        <f>IF(AND('Mapa final'!$K$22="Media",'Mapa final'!$O$22="Menor"),CONCATENATE("R",'Mapa final'!$A$22),"")</f>
        <v/>
      </c>
      <c r="W48" s="444"/>
      <c r="X48" s="444" t="str">
        <f>IF(AND('Mapa final'!$K$25="Media",'Mapa final'!$O$25="Menor"),CONCATENATE("R",'Mapa final'!$A$25),"")</f>
        <v/>
      </c>
      <c r="Y48" s="444"/>
      <c r="Z48" s="444" t="str">
        <f>IF(AND('Mapa final'!$K$28="Media",'Mapa final'!$O$28="Menor"),CONCATENATE("R",'Mapa final'!$A$28),"")</f>
        <v/>
      </c>
      <c r="AA48" s="444"/>
      <c r="AB48" s="444" t="str">
        <f>IF(AND('Mapa final'!$K$31="Media",'Mapa final'!$O$31="Menor"),CONCATENATE("R",'Mapa final'!$A$31),"")</f>
        <v/>
      </c>
      <c r="AC48" s="447"/>
      <c r="AD48" s="443" t="str">
        <f>IF(AND('Mapa final'!$K$19="Media",'Mapa final'!$O$19="Moderado"),CONCATENATE("R",'Mapa final'!$A$19),"")</f>
        <v/>
      </c>
      <c r="AE48" s="444"/>
      <c r="AF48" s="444" t="str">
        <f>IF(AND('Mapa final'!$K$22="Media",'Mapa final'!$O$22="Moderado"),CONCATENATE("R",'Mapa final'!$A$22),"")</f>
        <v/>
      </c>
      <c r="AG48" s="444"/>
      <c r="AH48" s="444" t="str">
        <f>IF(AND('Mapa final'!$K$25="Media",'Mapa final'!$O$25="Moderado"),CONCATENATE("R",'Mapa final'!$A$25),"")</f>
        <v/>
      </c>
      <c r="AI48" s="444"/>
      <c r="AJ48" s="444" t="str">
        <f>IF(AND('Mapa final'!$K$28="Media",'Mapa final'!$O$28="Moderado"),CONCATENATE("R",'Mapa final'!$A$28),"")</f>
        <v/>
      </c>
      <c r="AK48" s="444"/>
      <c r="AL48" s="444" t="str">
        <f>IF(AND('Mapa final'!$K$31="Media",'Mapa final'!$O$31="Moderado"),CONCATENATE("R",'Mapa final'!$A$31),"")</f>
        <v/>
      </c>
      <c r="AM48" s="447"/>
      <c r="AN48" s="476" t="str">
        <f>IF(AND('Mapa final'!$K$19="Media",'Mapa final'!$O$19="Mayor"),CONCATENATE("R",'Mapa final'!$A$19),"")</f>
        <v/>
      </c>
      <c r="AO48" s="436"/>
      <c r="AP48" s="436" t="str">
        <f>IF(AND('Mapa final'!$K$22="Media",'Mapa final'!$O$22="Mayor"),CONCATENATE("R",'Mapa final'!$A$22),"")</f>
        <v/>
      </c>
      <c r="AQ48" s="436"/>
      <c r="AR48" s="436" t="str">
        <f>IF(AND('Mapa final'!$K$25="Media",'Mapa final'!$O$25="Mayor"),CONCATENATE("R",'Mapa final'!$A$25),"")</f>
        <v/>
      </c>
      <c r="AS48" s="436"/>
      <c r="AT48" s="436" t="str">
        <f>IF(AND('Mapa final'!$K$28="Media",'Mapa final'!$O$28="Mayor"),CONCATENATE("R",'Mapa final'!$A$28),"")</f>
        <v/>
      </c>
      <c r="AU48" s="436"/>
      <c r="AV48" s="436" t="str">
        <f>IF(AND('Mapa final'!$K$31="Media",'Mapa final'!$O$31="Mayor"),CONCATENATE("R",'Mapa final'!$A$31),"")</f>
        <v/>
      </c>
      <c r="AW48" s="475"/>
      <c r="AX48" s="467" t="str">
        <f>IF(AND('Mapa final'!$K$19="Media",'Mapa final'!$O$19="Catastrófico"),CONCATENATE("R",'Mapa final'!$A$19),"")</f>
        <v/>
      </c>
      <c r="AY48" s="465"/>
      <c r="AZ48" s="465" t="str">
        <f>IF(AND('Mapa final'!$K$22="Media",'Mapa final'!$O$22="Catastrófico"),CONCATENATE("R",'Mapa final'!$A$22),"")</f>
        <v/>
      </c>
      <c r="BA48" s="465"/>
      <c r="BB48" s="465" t="str">
        <f>IF(AND('Mapa final'!$K$25="Media",'Mapa final'!$O$25="Catastrófico"),CONCATENATE("R",'Mapa final'!$A$25),"")</f>
        <v/>
      </c>
      <c r="BC48" s="465"/>
      <c r="BD48" s="465" t="str">
        <f>IF(AND('Mapa final'!$K$28="Media",'Mapa final'!$O$28="Catastrófico"),CONCATENATE("R",'Mapa final'!$A$28),"")</f>
        <v/>
      </c>
      <c r="BE48" s="465"/>
      <c r="BF48" s="465" t="str">
        <f>IF(AND('Mapa final'!$K$31="Media",'Mapa final'!$O$31="Catastrófico"),CONCATENATE("R",'Mapa final'!$A$31),"")</f>
        <v/>
      </c>
      <c r="BG48" s="466"/>
      <c r="BH48" s="55"/>
      <c r="BI48" s="498"/>
      <c r="BJ48" s="499"/>
      <c r="BK48" s="499"/>
      <c r="BL48" s="499"/>
      <c r="BM48" s="499"/>
      <c r="BN48" s="500"/>
      <c r="BO48" s="55"/>
      <c r="BP48" s="55"/>
      <c r="BQ48" s="55"/>
      <c r="BR48" s="55"/>
      <c r="BS48" s="55"/>
      <c r="BT48" s="55"/>
      <c r="BU48" s="55"/>
      <c r="BV48" s="55"/>
      <c r="BW48" s="55"/>
      <c r="BX48" s="55"/>
      <c r="BY48" s="55"/>
      <c r="BZ48" s="55"/>
      <c r="CA48" s="55"/>
      <c r="CB48" s="55"/>
      <c r="CC48" s="55"/>
      <c r="CD48" s="55"/>
      <c r="CE48" s="55"/>
      <c r="CF48" s="55"/>
      <c r="CG48" s="55"/>
      <c r="CH48" s="55"/>
      <c r="CI48" s="55"/>
      <c r="CJ48" s="55"/>
      <c r="CK48" s="55"/>
      <c r="CL48" s="55"/>
      <c r="CM48" s="55"/>
      <c r="CN48" s="55"/>
      <c r="CO48" s="55"/>
      <c r="CP48" s="55"/>
      <c r="CQ48" s="55"/>
      <c r="CR48" s="55"/>
      <c r="CS48" s="55"/>
      <c r="CT48" s="55"/>
      <c r="CU48" s="55"/>
      <c r="CV48" s="55"/>
    </row>
    <row r="49" spans="1:100" ht="15" customHeight="1" x14ac:dyDescent="0.25">
      <c r="A49" s="55"/>
      <c r="B49" s="301"/>
      <c r="C49" s="301"/>
      <c r="D49" s="302"/>
      <c r="E49" s="454"/>
      <c r="F49" s="455"/>
      <c r="G49" s="455"/>
      <c r="H49" s="455"/>
      <c r="I49" s="455"/>
      <c r="J49" s="443"/>
      <c r="K49" s="444"/>
      <c r="L49" s="444"/>
      <c r="M49" s="444"/>
      <c r="N49" s="444"/>
      <c r="O49" s="444"/>
      <c r="P49" s="444"/>
      <c r="Q49" s="444"/>
      <c r="R49" s="444"/>
      <c r="S49" s="447"/>
      <c r="T49" s="443"/>
      <c r="U49" s="444"/>
      <c r="V49" s="444"/>
      <c r="W49" s="444"/>
      <c r="X49" s="444"/>
      <c r="Y49" s="444"/>
      <c r="Z49" s="444"/>
      <c r="AA49" s="444"/>
      <c r="AB49" s="444"/>
      <c r="AC49" s="447"/>
      <c r="AD49" s="443"/>
      <c r="AE49" s="444"/>
      <c r="AF49" s="444"/>
      <c r="AG49" s="444"/>
      <c r="AH49" s="444"/>
      <c r="AI49" s="444"/>
      <c r="AJ49" s="444"/>
      <c r="AK49" s="444"/>
      <c r="AL49" s="444"/>
      <c r="AM49" s="447"/>
      <c r="AN49" s="476"/>
      <c r="AO49" s="436"/>
      <c r="AP49" s="436"/>
      <c r="AQ49" s="436"/>
      <c r="AR49" s="436"/>
      <c r="AS49" s="436"/>
      <c r="AT49" s="436"/>
      <c r="AU49" s="436"/>
      <c r="AV49" s="436"/>
      <c r="AW49" s="475"/>
      <c r="AX49" s="467"/>
      <c r="AY49" s="465"/>
      <c r="AZ49" s="465"/>
      <c r="BA49" s="465"/>
      <c r="BB49" s="465"/>
      <c r="BC49" s="465"/>
      <c r="BD49" s="465"/>
      <c r="BE49" s="465"/>
      <c r="BF49" s="465"/>
      <c r="BG49" s="466"/>
      <c r="BH49" s="55"/>
      <c r="BI49" s="498"/>
      <c r="BJ49" s="499"/>
      <c r="BK49" s="499"/>
      <c r="BL49" s="499"/>
      <c r="BM49" s="499"/>
      <c r="BN49" s="500"/>
      <c r="BO49" s="55"/>
      <c r="BP49" s="55"/>
      <c r="BQ49" s="55"/>
      <c r="BR49" s="55"/>
      <c r="BS49" s="55"/>
      <c r="BT49" s="55"/>
      <c r="BU49" s="55"/>
      <c r="BV49" s="55"/>
      <c r="BW49" s="55"/>
      <c r="BX49" s="55"/>
      <c r="BY49" s="55"/>
      <c r="BZ49" s="55"/>
      <c r="CA49" s="55"/>
      <c r="CB49" s="55"/>
      <c r="CC49" s="55"/>
      <c r="CD49" s="55"/>
      <c r="CE49" s="55"/>
      <c r="CF49" s="55"/>
      <c r="CG49" s="55"/>
      <c r="CH49" s="55"/>
      <c r="CI49" s="55"/>
      <c r="CJ49" s="55"/>
      <c r="CK49" s="55"/>
      <c r="CL49" s="55"/>
      <c r="CM49" s="55"/>
      <c r="CN49" s="55"/>
      <c r="CO49" s="55"/>
      <c r="CP49" s="55"/>
      <c r="CQ49" s="55"/>
      <c r="CR49" s="55"/>
      <c r="CS49" s="55"/>
      <c r="CT49" s="55"/>
      <c r="CU49" s="55"/>
      <c r="CV49" s="55"/>
    </row>
    <row r="50" spans="1:100" ht="15" customHeight="1" x14ac:dyDescent="0.25">
      <c r="A50" s="55"/>
      <c r="B50" s="301"/>
      <c r="C50" s="301"/>
      <c r="D50" s="302"/>
      <c r="E50" s="454"/>
      <c r="F50" s="455"/>
      <c r="G50" s="455"/>
      <c r="H50" s="455"/>
      <c r="I50" s="455"/>
      <c r="J50" s="443" t="str">
        <f>IF(AND('Mapa final'!$K$34="Media",'Mapa final'!$O$34="Leve"),CONCATENATE("R",'Mapa final'!$A$34),"")</f>
        <v/>
      </c>
      <c r="K50" s="444"/>
      <c r="L50" s="444" t="str">
        <f>IF(AND('Mapa final'!$K$37="Media",'Mapa final'!$O$37="Leve"),CONCATENATE("R",'Mapa final'!$A$37),"")</f>
        <v/>
      </c>
      <c r="M50" s="444"/>
      <c r="N50" s="444" t="str">
        <f>IF(AND('Mapa final'!$K$40="Media",'Mapa final'!$O$40="Leve"),CONCATENATE("R",'Mapa final'!$A$40),"")</f>
        <v/>
      </c>
      <c r="O50" s="444"/>
      <c r="P50" s="444" t="str">
        <f>IF(AND('Mapa final'!$K$43="Media",'Mapa final'!$O$43="Leve"),CONCATENATE("R",'Mapa final'!$A$43),"")</f>
        <v/>
      </c>
      <c r="Q50" s="444"/>
      <c r="R50" s="444" t="str">
        <f>IF(AND('Mapa final'!$K$46="Media",'Mapa final'!$O$46="Leve"),CONCATENATE("R",'Mapa final'!$A$46),"")</f>
        <v/>
      </c>
      <c r="S50" s="447"/>
      <c r="T50" s="443" t="str">
        <f>IF(AND('Mapa final'!$K$34="Media",'Mapa final'!$O$34="Menor"),CONCATENATE("R",'Mapa final'!$A$34),"")</f>
        <v/>
      </c>
      <c r="U50" s="444"/>
      <c r="V50" s="444" t="str">
        <f>IF(AND('Mapa final'!$K$37="Media",'Mapa final'!$O$37="Menor"),CONCATENATE("R",'Mapa final'!$A$37),"")</f>
        <v/>
      </c>
      <c r="W50" s="444"/>
      <c r="X50" s="444" t="str">
        <f>IF(AND('Mapa final'!$K$40="Media",'Mapa final'!$O$40="Menor"),CONCATENATE("R",'Mapa final'!$A$40),"")</f>
        <v/>
      </c>
      <c r="Y50" s="444"/>
      <c r="Z50" s="444" t="str">
        <f>IF(AND('Mapa final'!$K$43="Media",'Mapa final'!$O$43="Menor"),CONCATENATE("R",'Mapa final'!$A$43),"")</f>
        <v/>
      </c>
      <c r="AA50" s="444"/>
      <c r="AB50" s="444" t="str">
        <f>IF(AND('Mapa final'!$K$46="Media",'Mapa final'!$O$46="Menor"),CONCATENATE("R",'Mapa final'!$A$46),"")</f>
        <v/>
      </c>
      <c r="AC50" s="447"/>
      <c r="AD50" s="443" t="str">
        <f>IF(AND('Mapa final'!$K$34="Media",'Mapa final'!$O$34="Moderado"),CONCATENATE("R",'Mapa final'!$A$34),"")</f>
        <v/>
      </c>
      <c r="AE50" s="444"/>
      <c r="AF50" s="444" t="str">
        <f>IF(AND('Mapa final'!$K$37="Media",'Mapa final'!$O$37="Moderado"),CONCATENATE("R",'Mapa final'!$A$37),"")</f>
        <v/>
      </c>
      <c r="AG50" s="444"/>
      <c r="AH50" s="444" t="str">
        <f>IF(AND('Mapa final'!$K$40="Media",'Mapa final'!$O$40="Moderado"),CONCATENATE("R",'Mapa final'!$A$40),"")</f>
        <v/>
      </c>
      <c r="AI50" s="444"/>
      <c r="AJ50" s="444" t="str">
        <f>IF(AND('Mapa final'!$K$43="Media",'Mapa final'!$O$43="Moderado"),CONCATENATE("R",'Mapa final'!$A$43),"")</f>
        <v/>
      </c>
      <c r="AK50" s="444"/>
      <c r="AL50" s="444" t="str">
        <f>IF(AND('Mapa final'!$K$46="Media",'Mapa final'!$O$46="Moderado"),CONCATENATE("R",'Mapa final'!$A$46),"")</f>
        <v/>
      </c>
      <c r="AM50" s="447"/>
      <c r="AN50" s="476" t="str">
        <f>IF(AND('Mapa final'!$K$34="Media",'Mapa final'!$O$34="Mayor"),CONCATENATE("R",'Mapa final'!$A$34),"")</f>
        <v/>
      </c>
      <c r="AO50" s="436"/>
      <c r="AP50" s="436" t="str">
        <f>IF(AND('Mapa final'!$K$37="Media",'Mapa final'!$O$37="Mayor"),CONCATENATE("R",'Mapa final'!$A$37),"")</f>
        <v/>
      </c>
      <c r="AQ50" s="436"/>
      <c r="AR50" s="436" t="str">
        <f>IF(AND('Mapa final'!$K$40="Media",'Mapa final'!$O$40="Mayor"),CONCATENATE("R",'Mapa final'!$A$40),"")</f>
        <v/>
      </c>
      <c r="AS50" s="436"/>
      <c r="AT50" s="436" t="str">
        <f>IF(AND('Mapa final'!$K$43="Media",'Mapa final'!$O$43="Mayor"),CONCATENATE("R",'Mapa final'!$A$43),"")</f>
        <v/>
      </c>
      <c r="AU50" s="436"/>
      <c r="AV50" s="436" t="str">
        <f>IF(AND('Mapa final'!$K$46="Media",'Mapa final'!$O$46="Mayor"),CONCATENATE("R",'Mapa final'!$A$46),"")</f>
        <v/>
      </c>
      <c r="AW50" s="475"/>
      <c r="AX50" s="467" t="str">
        <f>IF(AND('Mapa final'!$K$34="Media",'Mapa final'!$O$34="Catastrófico"),CONCATENATE("R",'Mapa final'!$A$34),"")</f>
        <v/>
      </c>
      <c r="AY50" s="465"/>
      <c r="AZ50" s="465" t="str">
        <f>IF(AND('Mapa final'!$K$37="Media",'Mapa final'!$O$37="Catastrófico"),CONCATENATE("R",'Mapa final'!$A$37),"")</f>
        <v/>
      </c>
      <c r="BA50" s="465"/>
      <c r="BB50" s="465" t="str">
        <f>IF(AND('Mapa final'!$K$40="Media",'Mapa final'!$O$40="Catastrófico"),CONCATENATE("R",'Mapa final'!$A$40),"")</f>
        <v/>
      </c>
      <c r="BC50" s="465"/>
      <c r="BD50" s="465" t="str">
        <f>IF(AND('Mapa final'!$K$43="Media",'Mapa final'!$O$43="Catastrófico"),CONCATENATE("R",'Mapa final'!$A$43),"")</f>
        <v/>
      </c>
      <c r="BE50" s="465"/>
      <c r="BF50" s="465" t="str">
        <f>IF(AND('Mapa final'!$K$46="Media",'Mapa final'!$O$46="Catastrófico"),CONCATENATE("R",'Mapa final'!$A$46),"")</f>
        <v/>
      </c>
      <c r="BG50" s="466"/>
      <c r="BH50" s="55"/>
      <c r="BI50" s="498"/>
      <c r="BJ50" s="499"/>
      <c r="BK50" s="499"/>
      <c r="BL50" s="499"/>
      <c r="BM50" s="499"/>
      <c r="BN50" s="500"/>
      <c r="BO50" s="55"/>
      <c r="BP50" s="55"/>
      <c r="BQ50" s="55"/>
      <c r="BR50" s="55"/>
      <c r="BS50" s="55"/>
      <c r="BT50" s="55"/>
      <c r="BU50" s="55"/>
      <c r="BV50" s="55"/>
      <c r="BW50" s="55"/>
      <c r="BX50" s="55"/>
      <c r="BY50" s="55"/>
      <c r="BZ50" s="55"/>
      <c r="CA50" s="55"/>
      <c r="CB50" s="55"/>
      <c r="CC50" s="55"/>
      <c r="CD50" s="55"/>
      <c r="CE50" s="55"/>
      <c r="CF50" s="55"/>
      <c r="CG50" s="55"/>
      <c r="CH50" s="55"/>
      <c r="CI50" s="55"/>
      <c r="CJ50" s="55"/>
      <c r="CK50" s="55"/>
      <c r="CL50" s="55"/>
      <c r="CM50" s="55"/>
      <c r="CN50" s="55"/>
      <c r="CO50" s="55"/>
      <c r="CP50" s="55"/>
      <c r="CQ50" s="55"/>
      <c r="CR50" s="55"/>
      <c r="CS50" s="55"/>
      <c r="CT50" s="55"/>
      <c r="CU50" s="55"/>
      <c r="CV50" s="55"/>
    </row>
    <row r="51" spans="1:100" ht="15" customHeight="1" x14ac:dyDescent="0.25">
      <c r="A51" s="55"/>
      <c r="B51" s="301"/>
      <c r="C51" s="301"/>
      <c r="D51" s="302"/>
      <c r="E51" s="454"/>
      <c r="F51" s="455"/>
      <c r="G51" s="455"/>
      <c r="H51" s="455"/>
      <c r="I51" s="455"/>
      <c r="J51" s="443"/>
      <c r="K51" s="444"/>
      <c r="L51" s="444"/>
      <c r="M51" s="444"/>
      <c r="N51" s="444"/>
      <c r="O51" s="444"/>
      <c r="P51" s="444"/>
      <c r="Q51" s="444"/>
      <c r="R51" s="444"/>
      <c r="S51" s="447"/>
      <c r="T51" s="443"/>
      <c r="U51" s="444"/>
      <c r="V51" s="444"/>
      <c r="W51" s="444"/>
      <c r="X51" s="444"/>
      <c r="Y51" s="444"/>
      <c r="Z51" s="444"/>
      <c r="AA51" s="444"/>
      <c r="AB51" s="444"/>
      <c r="AC51" s="447"/>
      <c r="AD51" s="443"/>
      <c r="AE51" s="444"/>
      <c r="AF51" s="444"/>
      <c r="AG51" s="444"/>
      <c r="AH51" s="444"/>
      <c r="AI51" s="444"/>
      <c r="AJ51" s="444"/>
      <c r="AK51" s="444"/>
      <c r="AL51" s="444"/>
      <c r="AM51" s="447"/>
      <c r="AN51" s="476"/>
      <c r="AO51" s="436"/>
      <c r="AP51" s="436"/>
      <c r="AQ51" s="436"/>
      <c r="AR51" s="436"/>
      <c r="AS51" s="436"/>
      <c r="AT51" s="436"/>
      <c r="AU51" s="436"/>
      <c r="AV51" s="436"/>
      <c r="AW51" s="475"/>
      <c r="AX51" s="467"/>
      <c r="AY51" s="465"/>
      <c r="AZ51" s="465"/>
      <c r="BA51" s="465"/>
      <c r="BB51" s="465"/>
      <c r="BC51" s="465"/>
      <c r="BD51" s="465"/>
      <c r="BE51" s="465"/>
      <c r="BF51" s="465"/>
      <c r="BG51" s="466"/>
      <c r="BH51" s="55"/>
      <c r="BI51" s="498"/>
      <c r="BJ51" s="499"/>
      <c r="BK51" s="499"/>
      <c r="BL51" s="499"/>
      <c r="BM51" s="499"/>
      <c r="BN51" s="500"/>
      <c r="BO51" s="55"/>
      <c r="BP51" s="55"/>
      <c r="BQ51" s="55"/>
      <c r="BR51" s="55"/>
      <c r="BS51" s="55"/>
      <c r="BT51" s="55"/>
      <c r="BU51" s="55"/>
      <c r="BV51" s="55"/>
      <c r="BW51" s="55"/>
      <c r="BX51" s="55"/>
      <c r="BY51" s="55"/>
      <c r="BZ51" s="55"/>
      <c r="CA51" s="55"/>
      <c r="CB51" s="55"/>
      <c r="CC51" s="55"/>
      <c r="CD51" s="55"/>
      <c r="CE51" s="55"/>
      <c r="CF51" s="55"/>
      <c r="CG51" s="55"/>
      <c r="CH51" s="55"/>
      <c r="CI51" s="55"/>
      <c r="CJ51" s="55"/>
      <c r="CK51" s="55"/>
      <c r="CL51" s="55"/>
      <c r="CM51" s="55"/>
      <c r="CN51" s="55"/>
      <c r="CO51" s="55"/>
      <c r="CP51" s="55"/>
      <c r="CQ51" s="55"/>
      <c r="CR51" s="55"/>
      <c r="CS51" s="55"/>
      <c r="CT51" s="55"/>
      <c r="CU51" s="55"/>
      <c r="CV51" s="55"/>
    </row>
    <row r="52" spans="1:100" ht="15" customHeight="1" x14ac:dyDescent="0.25">
      <c r="A52" s="55"/>
      <c r="B52" s="301"/>
      <c r="C52" s="301"/>
      <c r="D52" s="302"/>
      <c r="E52" s="454"/>
      <c r="F52" s="455"/>
      <c r="G52" s="455"/>
      <c r="H52" s="455"/>
      <c r="I52" s="455"/>
      <c r="J52" s="443" t="str">
        <f>IF(AND('Mapa final'!$K$49="Media",'Mapa final'!$O$49="Leve"),CONCATENATE("R",'Mapa final'!$A$49),"")</f>
        <v/>
      </c>
      <c r="K52" s="444"/>
      <c r="L52" s="444" t="str">
        <f>IF(AND('Mapa final'!$K$52="Media",'Mapa final'!$O$52="Leve"),CONCATENATE("R",'Mapa final'!$A$52),"")</f>
        <v/>
      </c>
      <c r="M52" s="444"/>
      <c r="N52" s="444" t="str">
        <f>IF(AND('Mapa final'!$K$55="Media",'Mapa final'!$O$55="Leve"),CONCATENATE("R",'Mapa final'!$A$55),"")</f>
        <v/>
      </c>
      <c r="O52" s="444"/>
      <c r="P52" s="444" t="str">
        <f>IF(AND('Mapa final'!$K$58="Media",'Mapa final'!$O$58="Leve"),CONCATENATE("R",'Mapa final'!$A$58),"")</f>
        <v/>
      </c>
      <c r="Q52" s="444"/>
      <c r="R52" s="444" t="str">
        <f>IF(AND('Mapa final'!$K$61="Media",'Mapa final'!$O$61="Leve"),CONCATENATE("R",'Mapa final'!$A$61),"")</f>
        <v/>
      </c>
      <c r="S52" s="447"/>
      <c r="T52" s="443" t="str">
        <f>IF(AND('Mapa final'!$K$49="Media",'Mapa final'!$O$49="Menor"),CONCATENATE("R",'Mapa final'!$A$49),"")</f>
        <v/>
      </c>
      <c r="U52" s="444"/>
      <c r="V52" s="444" t="str">
        <f>IF(AND('Mapa final'!$K$52="Media",'Mapa final'!$O$52="Menor"),CONCATENATE("R",'Mapa final'!$A$52),"")</f>
        <v/>
      </c>
      <c r="W52" s="444"/>
      <c r="X52" s="444" t="str">
        <f>IF(AND('Mapa final'!$K$55="Media",'Mapa final'!$O$55="Menor"),CONCATENATE("R",'Mapa final'!$A$55),"")</f>
        <v/>
      </c>
      <c r="Y52" s="444"/>
      <c r="Z52" s="444" t="str">
        <f>IF(AND('Mapa final'!$K$58="Media",'Mapa final'!$O$58="Menor"),CONCATENATE("R",'Mapa final'!$A$58),"")</f>
        <v/>
      </c>
      <c r="AA52" s="444"/>
      <c r="AB52" s="444" t="str">
        <f>IF(AND('Mapa final'!$K$61="Media",'Mapa final'!$O$61="Menor"),CONCATENATE("R",'Mapa final'!$A$61),"")</f>
        <v/>
      </c>
      <c r="AC52" s="447"/>
      <c r="AD52" s="443" t="str">
        <f>IF(AND('Mapa final'!$K$49="Media",'Mapa final'!$O$49="Moderado"),CONCATENATE("R",'Mapa final'!$A$49),"")</f>
        <v>R15</v>
      </c>
      <c r="AE52" s="444"/>
      <c r="AF52" s="444" t="str">
        <f>IF(AND('Mapa final'!$K$52="Media",'Mapa final'!$O$52="Moderado"),CONCATENATE("R",'Mapa final'!$A$52),"")</f>
        <v/>
      </c>
      <c r="AG52" s="444"/>
      <c r="AH52" s="444" t="str">
        <f>IF(AND('Mapa final'!$K$55="Media",'Mapa final'!$O$55="Moderado"),CONCATENATE("R",'Mapa final'!$A$55),"")</f>
        <v>R17</v>
      </c>
      <c r="AI52" s="444"/>
      <c r="AJ52" s="444" t="str">
        <f>IF(AND('Mapa final'!$K$58="Media",'Mapa final'!$O$58="Moderado"),CONCATENATE("R",'Mapa final'!$A$58),"")</f>
        <v>R18</v>
      </c>
      <c r="AK52" s="444"/>
      <c r="AL52" s="444" t="str">
        <f>IF(AND('Mapa final'!$K$61="Media",'Mapa final'!$O$61="Moderado"),CONCATENATE("R",'Mapa final'!$A$61),"")</f>
        <v/>
      </c>
      <c r="AM52" s="447"/>
      <c r="AN52" s="476" t="str">
        <f>IF(AND('Mapa final'!$K$49="Media",'Mapa final'!$O$49="Mayor"),CONCATENATE("R",'Mapa final'!$A$49),"")</f>
        <v/>
      </c>
      <c r="AO52" s="436"/>
      <c r="AP52" s="436" t="str">
        <f>IF(AND('Mapa final'!$K$52="Media",'Mapa final'!$O$52="Mayor"),CONCATENATE("R",'Mapa final'!$A$52),"")</f>
        <v/>
      </c>
      <c r="AQ52" s="436"/>
      <c r="AR52" s="436" t="str">
        <f>IF(AND('Mapa final'!$K$55="Media",'Mapa final'!$O$55="Mayor"),CONCATENATE("R",'Mapa final'!$A$55),"")</f>
        <v/>
      </c>
      <c r="AS52" s="436"/>
      <c r="AT52" s="436" t="str">
        <f>IF(AND('Mapa final'!$K$58="Media",'Mapa final'!$O$58="Mayor"),CONCATENATE("R",'Mapa final'!$A$58),"")</f>
        <v/>
      </c>
      <c r="AU52" s="436"/>
      <c r="AV52" s="436" t="str">
        <f>IF(AND('Mapa final'!$K$61="Media",'Mapa final'!$O$61="Mayor"),CONCATENATE("R",'Mapa final'!$A$61),"")</f>
        <v>R19</v>
      </c>
      <c r="AW52" s="475"/>
      <c r="AX52" s="467" t="str">
        <f>IF(AND('Mapa final'!$K$49="Media",'Mapa final'!$O$49="Catastrófico"),CONCATENATE("R",'Mapa final'!$A$49),"")</f>
        <v/>
      </c>
      <c r="AY52" s="465"/>
      <c r="AZ52" s="465" t="str">
        <f>IF(AND('Mapa final'!$K$52="Media",'Mapa final'!$O$52="Catastrófico"),CONCATENATE("R",'Mapa final'!$A$52),"")</f>
        <v/>
      </c>
      <c r="BA52" s="465"/>
      <c r="BB52" s="465" t="str">
        <f>IF(AND('Mapa final'!$K$55="Media",'Mapa final'!$O$55="Catastrófico"),CONCATENATE("R",'Mapa final'!$A$55),"")</f>
        <v/>
      </c>
      <c r="BC52" s="465"/>
      <c r="BD52" s="465" t="str">
        <f>IF(AND('Mapa final'!$K$58="Media",'Mapa final'!$O$58="Catastrófico"),CONCATENATE("R",'Mapa final'!$A$58),"")</f>
        <v/>
      </c>
      <c r="BE52" s="465"/>
      <c r="BF52" s="465" t="str">
        <f>IF(AND('Mapa final'!$K$61="Media",'Mapa final'!$O$61="Catastrófico"),CONCATENATE("R",'Mapa final'!$A$61),"")</f>
        <v/>
      </c>
      <c r="BG52" s="466"/>
      <c r="BH52" s="55"/>
      <c r="BI52" s="498"/>
      <c r="BJ52" s="499"/>
      <c r="BK52" s="499"/>
      <c r="BL52" s="499"/>
      <c r="BM52" s="499"/>
      <c r="BN52" s="500"/>
      <c r="BO52" s="55"/>
      <c r="BP52" s="55"/>
      <c r="BQ52" s="55"/>
      <c r="BR52" s="55"/>
      <c r="BS52" s="55"/>
      <c r="BT52" s="55"/>
      <c r="BU52" s="55"/>
      <c r="BV52" s="55"/>
      <c r="BW52" s="55"/>
      <c r="BX52" s="55"/>
      <c r="BY52" s="55"/>
      <c r="BZ52" s="55"/>
      <c r="CA52" s="55"/>
      <c r="CB52" s="55"/>
      <c r="CC52" s="55"/>
      <c r="CD52" s="55"/>
      <c r="CE52" s="55"/>
      <c r="CF52" s="55"/>
      <c r="CG52" s="55"/>
      <c r="CH52" s="55"/>
      <c r="CI52" s="55"/>
      <c r="CJ52" s="55"/>
      <c r="CK52" s="55"/>
      <c r="CL52" s="55"/>
      <c r="CM52" s="55"/>
      <c r="CN52" s="55"/>
      <c r="CO52" s="55"/>
      <c r="CP52" s="55"/>
      <c r="CQ52" s="55"/>
      <c r="CR52" s="55"/>
      <c r="CS52" s="55"/>
      <c r="CT52" s="55"/>
      <c r="CU52" s="55"/>
      <c r="CV52" s="55"/>
    </row>
    <row r="53" spans="1:100" ht="15" customHeight="1" thickBot="1" x14ac:dyDescent="0.3">
      <c r="A53" s="55"/>
      <c r="B53" s="301"/>
      <c r="C53" s="301"/>
      <c r="D53" s="302"/>
      <c r="E53" s="454"/>
      <c r="F53" s="455"/>
      <c r="G53" s="455"/>
      <c r="H53" s="455"/>
      <c r="I53" s="455"/>
      <c r="J53" s="443"/>
      <c r="K53" s="444"/>
      <c r="L53" s="444"/>
      <c r="M53" s="444"/>
      <c r="N53" s="444"/>
      <c r="O53" s="444"/>
      <c r="P53" s="444"/>
      <c r="Q53" s="444"/>
      <c r="R53" s="444"/>
      <c r="S53" s="447"/>
      <c r="T53" s="443"/>
      <c r="U53" s="444"/>
      <c r="V53" s="444"/>
      <c r="W53" s="444"/>
      <c r="X53" s="444"/>
      <c r="Y53" s="444"/>
      <c r="Z53" s="444"/>
      <c r="AA53" s="444"/>
      <c r="AB53" s="444"/>
      <c r="AC53" s="447"/>
      <c r="AD53" s="443"/>
      <c r="AE53" s="444"/>
      <c r="AF53" s="444"/>
      <c r="AG53" s="444"/>
      <c r="AH53" s="444"/>
      <c r="AI53" s="444"/>
      <c r="AJ53" s="444"/>
      <c r="AK53" s="444"/>
      <c r="AL53" s="444"/>
      <c r="AM53" s="447"/>
      <c r="AN53" s="476"/>
      <c r="AO53" s="436"/>
      <c r="AP53" s="436"/>
      <c r="AQ53" s="436"/>
      <c r="AR53" s="436"/>
      <c r="AS53" s="436"/>
      <c r="AT53" s="436"/>
      <c r="AU53" s="436"/>
      <c r="AV53" s="436"/>
      <c r="AW53" s="475"/>
      <c r="AX53" s="467"/>
      <c r="AY53" s="465"/>
      <c r="AZ53" s="465"/>
      <c r="BA53" s="465"/>
      <c r="BB53" s="465"/>
      <c r="BC53" s="465"/>
      <c r="BD53" s="465"/>
      <c r="BE53" s="465"/>
      <c r="BF53" s="465"/>
      <c r="BG53" s="466"/>
      <c r="BH53" s="55"/>
      <c r="BI53" s="501"/>
      <c r="BJ53" s="502"/>
      <c r="BK53" s="502"/>
      <c r="BL53" s="502"/>
      <c r="BM53" s="502"/>
      <c r="BN53" s="503"/>
      <c r="BO53" s="55"/>
      <c r="BP53" s="55"/>
      <c r="BQ53" s="55"/>
      <c r="BR53" s="55"/>
      <c r="BS53" s="55"/>
      <c r="BT53" s="55"/>
      <c r="BU53" s="55"/>
      <c r="BV53" s="55"/>
      <c r="BW53" s="55"/>
      <c r="BX53" s="55"/>
      <c r="BY53" s="55"/>
      <c r="BZ53" s="55"/>
      <c r="CA53" s="55"/>
      <c r="CB53" s="55"/>
      <c r="CC53" s="55"/>
      <c r="CD53" s="55"/>
      <c r="CE53" s="55"/>
      <c r="CF53" s="55"/>
      <c r="CG53" s="55"/>
      <c r="CH53" s="55"/>
      <c r="CI53" s="55"/>
      <c r="CJ53" s="55"/>
      <c r="CK53" s="55"/>
      <c r="CL53" s="55"/>
      <c r="CM53" s="55"/>
      <c r="CN53" s="55"/>
      <c r="CO53" s="55"/>
      <c r="CP53" s="55"/>
      <c r="CQ53" s="55"/>
      <c r="CR53" s="55"/>
      <c r="CS53" s="55"/>
      <c r="CT53" s="55"/>
      <c r="CU53" s="55"/>
      <c r="CV53" s="55"/>
    </row>
    <row r="54" spans="1:100" ht="15" customHeight="1" x14ac:dyDescent="0.25">
      <c r="A54" s="55"/>
      <c r="B54" s="301"/>
      <c r="C54" s="301"/>
      <c r="D54" s="302"/>
      <c r="E54" s="454"/>
      <c r="F54" s="455"/>
      <c r="G54" s="455"/>
      <c r="H54" s="455"/>
      <c r="I54" s="455"/>
      <c r="J54" s="443" t="str">
        <f>IF(AND('Mapa final'!$K$64="Media",'Mapa final'!$O$64="Leve"),CONCATENATE("R",'Mapa final'!$A$64),"")</f>
        <v/>
      </c>
      <c r="K54" s="444"/>
      <c r="L54" s="444" t="str">
        <f>IF(AND('Mapa final'!$K$67="Media",'Mapa final'!$O$67="Leve"),CONCATENATE("R",'Mapa final'!$A$67),"")</f>
        <v/>
      </c>
      <c r="M54" s="444"/>
      <c r="N54" s="444" t="str">
        <f>IF(AND('Mapa final'!$K$73="Media",'Mapa final'!$O$73="Leve"),CONCATENATE("R",'Mapa final'!$A$73),"")</f>
        <v/>
      </c>
      <c r="O54" s="444"/>
      <c r="P54" s="444" t="str">
        <f>IF(AND('Mapa final'!$K$76="Media",'Mapa final'!$O$76="Leve"),CONCATENATE("R",'Mapa final'!$A$76),"")</f>
        <v/>
      </c>
      <c r="Q54" s="444"/>
      <c r="R54" s="444" t="str">
        <f>IF(AND('Mapa final'!$K$79="Media",'Mapa final'!$O$79="Leve"),CONCATENATE("R",'Mapa final'!$A$79),"")</f>
        <v/>
      </c>
      <c r="S54" s="447"/>
      <c r="T54" s="443" t="str">
        <f>IF(AND('Mapa final'!$K$64="Media",'Mapa final'!$O$64="Menor"),CONCATENATE("R",'Mapa final'!$A$64),"")</f>
        <v/>
      </c>
      <c r="U54" s="444"/>
      <c r="V54" s="444" t="str">
        <f>IF(AND('Mapa final'!$K$67="Media",'Mapa final'!$O$67="Menor"),CONCATENATE("R",'Mapa final'!$A$67),"")</f>
        <v/>
      </c>
      <c r="W54" s="444"/>
      <c r="X54" s="444" t="str">
        <f>IF(AND('Mapa final'!$K$73="Media",'Mapa final'!$O$73="Menor"),CONCATENATE("R",'Mapa final'!$A$73),"")</f>
        <v/>
      </c>
      <c r="Y54" s="444"/>
      <c r="Z54" s="444" t="str">
        <f>IF(AND('Mapa final'!$K$76="Media",'Mapa final'!$O$76="Menor"),CONCATENATE("R",'Mapa final'!$A$76),"")</f>
        <v/>
      </c>
      <c r="AA54" s="444"/>
      <c r="AB54" s="444" t="str">
        <f>IF(AND('Mapa final'!$K$79="Media",'Mapa final'!$O$79="Menor"),CONCATENATE("R",'Mapa final'!$A$79),"")</f>
        <v/>
      </c>
      <c r="AC54" s="447"/>
      <c r="AD54" s="443" t="str">
        <f>IF(AND('Mapa final'!$K$64="Media",'Mapa final'!$O$64="Moderado"),CONCATENATE("R",'Mapa final'!$A$64),"")</f>
        <v/>
      </c>
      <c r="AE54" s="444"/>
      <c r="AF54" s="444" t="str">
        <f>IF(AND('Mapa final'!$K$67="Media",'Mapa final'!$O$67="Moderado"),CONCATENATE("R",'Mapa final'!$A$67),"")</f>
        <v/>
      </c>
      <c r="AG54" s="444"/>
      <c r="AH54" s="444" t="str">
        <f>IF(AND('Mapa final'!$K$73="Media",'Mapa final'!$O$73="Moderado"),CONCATENATE("R",'Mapa final'!$A$73),"")</f>
        <v/>
      </c>
      <c r="AI54" s="444"/>
      <c r="AJ54" s="444" t="str">
        <f>IF(AND('Mapa final'!$K$76="Media",'Mapa final'!$O$76="Moderado"),CONCATENATE("R",'Mapa final'!$A$76),"")</f>
        <v/>
      </c>
      <c r="AK54" s="444"/>
      <c r="AL54" s="444" t="str">
        <f>IF(AND('Mapa final'!$K$79="Media",'Mapa final'!$O$79="Moderado"),CONCATENATE("R",'Mapa final'!$A$79),"")</f>
        <v/>
      </c>
      <c r="AM54" s="447"/>
      <c r="AN54" s="476" t="str">
        <f>IF(AND('Mapa final'!$K$64="Media",'Mapa final'!$O$64="Mayor"),CONCATENATE("R",'Mapa final'!$A$64),"")</f>
        <v/>
      </c>
      <c r="AO54" s="436"/>
      <c r="AP54" s="436" t="str">
        <f>IF(AND('Mapa final'!$K$67="Media",'Mapa final'!$O$67="Mayor"),CONCATENATE("R",'Mapa final'!$A$67),"")</f>
        <v/>
      </c>
      <c r="AQ54" s="436"/>
      <c r="AR54" s="436" t="str">
        <f>IF(AND('Mapa final'!$K$73="Media",'Mapa final'!$O$73="Mayor"),CONCATENATE("R",'Mapa final'!$A$73),"")</f>
        <v>R23</v>
      </c>
      <c r="AS54" s="436"/>
      <c r="AT54" s="436" t="str">
        <f>IF(AND('Mapa final'!$K$76="Media",'Mapa final'!$O$76="Mayor"),CONCATENATE("R",'Mapa final'!$A$76),"")</f>
        <v/>
      </c>
      <c r="AU54" s="436"/>
      <c r="AV54" s="436" t="str">
        <f>IF(AND('Mapa final'!$K$79="Media",'Mapa final'!$O$79="Mayor"),CONCATENATE("R",'Mapa final'!$A$79),"")</f>
        <v/>
      </c>
      <c r="AW54" s="475"/>
      <c r="AX54" s="467" t="str">
        <f>IF(AND('Mapa final'!$K$64="Media",'Mapa final'!$O$64="Catastrófico"),CONCATENATE("R",'Mapa final'!$A$64),"")</f>
        <v/>
      </c>
      <c r="AY54" s="465"/>
      <c r="AZ54" s="465" t="str">
        <f>IF(AND('Mapa final'!$K$67="Media",'Mapa final'!$O$67="Catastrófico"),CONCATENATE("R",'Mapa final'!$A$67),"")</f>
        <v/>
      </c>
      <c r="BA54" s="465"/>
      <c r="BB54" s="465" t="str">
        <f>IF(AND('Mapa final'!$K$73="Media",'Mapa final'!$O$73="Catastrófico"),CONCATENATE("R",'Mapa final'!$A$73),"")</f>
        <v/>
      </c>
      <c r="BC54" s="465"/>
      <c r="BD54" s="465" t="str">
        <f>IF(AND('Mapa final'!$K$76="Media",'Mapa final'!$O$76="Catastrófico"),CONCATENATE("R",'Mapa final'!$A$76),"")</f>
        <v/>
      </c>
      <c r="BE54" s="465"/>
      <c r="BF54" s="465" t="str">
        <f>IF(AND('Mapa final'!$K$79="Media",'Mapa final'!$O$79="Catastrófico"),CONCATENATE("R",'Mapa final'!$A$79),"")</f>
        <v/>
      </c>
      <c r="BG54" s="466"/>
      <c r="BH54" s="55"/>
      <c r="BI54" s="504" t="s">
        <v>75</v>
      </c>
      <c r="BJ54" s="505"/>
      <c r="BK54" s="505"/>
      <c r="BL54" s="505"/>
      <c r="BM54" s="505"/>
      <c r="BN54" s="506"/>
      <c r="BO54" s="55"/>
      <c r="BP54" s="55"/>
      <c r="BQ54" s="55"/>
      <c r="BR54" s="55"/>
      <c r="BS54" s="55"/>
      <c r="BT54" s="55"/>
      <c r="BU54" s="55"/>
      <c r="BV54" s="55"/>
      <c r="BW54" s="55"/>
      <c r="BX54" s="55"/>
      <c r="BY54" s="55"/>
      <c r="BZ54" s="55"/>
      <c r="CA54" s="55"/>
      <c r="CB54" s="55"/>
      <c r="CC54" s="55"/>
      <c r="CD54" s="55"/>
      <c r="CE54" s="55"/>
      <c r="CF54" s="55"/>
      <c r="CG54" s="55"/>
      <c r="CH54" s="55"/>
      <c r="CI54" s="55"/>
      <c r="CJ54" s="55"/>
      <c r="CK54" s="55"/>
      <c r="CL54" s="55"/>
      <c r="CM54" s="55"/>
      <c r="CN54" s="55"/>
      <c r="CO54" s="55"/>
      <c r="CP54" s="55"/>
      <c r="CQ54" s="55"/>
      <c r="CR54" s="55"/>
      <c r="CS54" s="55"/>
      <c r="CT54" s="55"/>
      <c r="CU54" s="55"/>
      <c r="CV54" s="55"/>
    </row>
    <row r="55" spans="1:100" ht="15" customHeight="1" x14ac:dyDescent="0.25">
      <c r="A55" s="55"/>
      <c r="B55" s="301"/>
      <c r="C55" s="301"/>
      <c r="D55" s="302"/>
      <c r="E55" s="454"/>
      <c r="F55" s="455"/>
      <c r="G55" s="455"/>
      <c r="H55" s="455"/>
      <c r="I55" s="455"/>
      <c r="J55" s="443"/>
      <c r="K55" s="444"/>
      <c r="L55" s="444"/>
      <c r="M55" s="444"/>
      <c r="N55" s="444"/>
      <c r="O55" s="444"/>
      <c r="P55" s="444"/>
      <c r="Q55" s="444"/>
      <c r="R55" s="444"/>
      <c r="S55" s="447"/>
      <c r="T55" s="443"/>
      <c r="U55" s="444"/>
      <c r="V55" s="444"/>
      <c r="W55" s="444"/>
      <c r="X55" s="444"/>
      <c r="Y55" s="444"/>
      <c r="Z55" s="444"/>
      <c r="AA55" s="444"/>
      <c r="AB55" s="444"/>
      <c r="AC55" s="447"/>
      <c r="AD55" s="443"/>
      <c r="AE55" s="444"/>
      <c r="AF55" s="444"/>
      <c r="AG55" s="444"/>
      <c r="AH55" s="444"/>
      <c r="AI55" s="444"/>
      <c r="AJ55" s="444"/>
      <c r="AK55" s="444"/>
      <c r="AL55" s="444"/>
      <c r="AM55" s="447"/>
      <c r="AN55" s="476"/>
      <c r="AO55" s="436"/>
      <c r="AP55" s="436"/>
      <c r="AQ55" s="436"/>
      <c r="AR55" s="436"/>
      <c r="AS55" s="436"/>
      <c r="AT55" s="436"/>
      <c r="AU55" s="436"/>
      <c r="AV55" s="436"/>
      <c r="AW55" s="475"/>
      <c r="AX55" s="467"/>
      <c r="AY55" s="465"/>
      <c r="AZ55" s="465"/>
      <c r="BA55" s="465"/>
      <c r="BB55" s="465"/>
      <c r="BC55" s="465"/>
      <c r="BD55" s="465"/>
      <c r="BE55" s="465"/>
      <c r="BF55" s="465"/>
      <c r="BG55" s="466"/>
      <c r="BH55" s="55"/>
      <c r="BI55" s="507"/>
      <c r="BJ55" s="508"/>
      <c r="BK55" s="508"/>
      <c r="BL55" s="508"/>
      <c r="BM55" s="508"/>
      <c r="BN55" s="509"/>
      <c r="BO55" s="55"/>
      <c r="BP55" s="55"/>
      <c r="BQ55" s="55"/>
      <c r="BR55" s="55"/>
      <c r="BS55" s="55"/>
      <c r="BT55" s="55"/>
      <c r="BU55" s="55"/>
      <c r="BV55" s="55"/>
      <c r="BW55" s="55"/>
      <c r="BX55" s="55"/>
      <c r="BY55" s="55"/>
      <c r="BZ55" s="55"/>
      <c r="CA55" s="55"/>
      <c r="CB55" s="55"/>
      <c r="CC55" s="55"/>
      <c r="CD55" s="55"/>
      <c r="CE55" s="55"/>
      <c r="CF55" s="55"/>
      <c r="CG55" s="55"/>
      <c r="CH55" s="55"/>
      <c r="CI55" s="55"/>
      <c r="CJ55" s="55"/>
      <c r="CK55" s="55"/>
      <c r="CL55" s="55"/>
      <c r="CM55" s="55"/>
      <c r="CN55" s="55"/>
      <c r="CO55" s="55"/>
      <c r="CP55" s="55"/>
      <c r="CQ55" s="55"/>
      <c r="CR55" s="55"/>
      <c r="CS55" s="55"/>
      <c r="CT55" s="55"/>
      <c r="CU55" s="55"/>
      <c r="CV55" s="55"/>
    </row>
    <row r="56" spans="1:100" ht="15" customHeight="1" x14ac:dyDescent="0.25">
      <c r="A56" s="55"/>
      <c r="B56" s="301"/>
      <c r="C56" s="301"/>
      <c r="D56" s="302"/>
      <c r="E56" s="454"/>
      <c r="F56" s="455"/>
      <c r="G56" s="455"/>
      <c r="H56" s="455"/>
      <c r="I56" s="455"/>
      <c r="J56" s="443" t="str">
        <f>IF(AND('Mapa final'!$K$82="Media",'Mapa final'!$O$82="Leve"),CONCATENATE("R",'Mapa final'!$A$82),"")</f>
        <v/>
      </c>
      <c r="K56" s="444"/>
      <c r="L56" s="444" t="str">
        <f>IF(AND('Mapa final'!$K$85="Media",'Mapa final'!$O$85="Leve"),CONCATENATE("R",'Mapa final'!$A$85),"")</f>
        <v/>
      </c>
      <c r="M56" s="444"/>
      <c r="N56" s="444" t="str">
        <f>IF(AND('Mapa final'!$K$88="Media",'Mapa final'!$O$88="Leve"),CONCATENATE("R",'Mapa final'!$A$88),"")</f>
        <v/>
      </c>
      <c r="O56" s="444"/>
      <c r="P56" s="444" t="str">
        <f>IF(AND('Mapa final'!$K$91="Media",'Mapa final'!$O$91="Leve"),CONCATENATE("R",'Mapa final'!$A$91),"")</f>
        <v/>
      </c>
      <c r="Q56" s="444"/>
      <c r="R56" s="444" t="str">
        <f>IF(AND('Mapa final'!$K$94="Media",'Mapa final'!$O$94="Leve"),CONCATENATE("R",'Mapa final'!$A$94),"")</f>
        <v/>
      </c>
      <c r="S56" s="447"/>
      <c r="T56" s="443" t="str">
        <f>IF(AND('Mapa final'!$K$82="Media",'Mapa final'!$O$82="Menor"),CONCATENATE("R",'Mapa final'!$A$82),"")</f>
        <v/>
      </c>
      <c r="U56" s="444"/>
      <c r="V56" s="444" t="str">
        <f>IF(AND('Mapa final'!$K$85="Media",'Mapa final'!$O$85="Menor"),CONCATENATE("R",'Mapa final'!$A$85),"")</f>
        <v/>
      </c>
      <c r="W56" s="444"/>
      <c r="X56" s="444" t="str">
        <f>IF(AND('Mapa final'!$K$88="Media",'Mapa final'!$O$88="Menor"),CONCATENATE("R",'Mapa final'!$A$88),"")</f>
        <v/>
      </c>
      <c r="Y56" s="444"/>
      <c r="Z56" s="444" t="str">
        <f>IF(AND('Mapa final'!$K$91="Media",'Mapa final'!$O$91="Menor"),CONCATENATE("R",'Mapa final'!$A$91),"")</f>
        <v/>
      </c>
      <c r="AA56" s="444"/>
      <c r="AB56" s="444" t="str">
        <f>IF(AND('Mapa final'!$K$94="Media",'Mapa final'!$O$94="Menor"),CONCATENATE("R",'Mapa final'!$A$94),"")</f>
        <v/>
      </c>
      <c r="AC56" s="447"/>
      <c r="AD56" s="443" t="str">
        <f>IF(AND('Mapa final'!$K$82="Media",'Mapa final'!$O$82="Moderado"),CONCATENATE("R",'Mapa final'!$A$82),"")</f>
        <v/>
      </c>
      <c r="AE56" s="444"/>
      <c r="AF56" s="444" t="str">
        <f>IF(AND('Mapa final'!$K$85="Media",'Mapa final'!$O$85="Moderado"),CONCATENATE("R",'Mapa final'!$A$85),"")</f>
        <v/>
      </c>
      <c r="AG56" s="444"/>
      <c r="AH56" s="444" t="str">
        <f>IF(AND('Mapa final'!$K$88="Media",'Mapa final'!$O$88="Moderado"),CONCATENATE("R",'Mapa final'!$A$88),"")</f>
        <v/>
      </c>
      <c r="AI56" s="444"/>
      <c r="AJ56" s="444" t="str">
        <f>IF(AND('Mapa final'!$K$91="Media",'Mapa final'!$O$91="Moderado"),CONCATENATE("R",'Mapa final'!$A$91),"")</f>
        <v/>
      </c>
      <c r="AK56" s="444"/>
      <c r="AL56" s="444" t="str">
        <f>IF(AND('Mapa final'!$K$94="Media",'Mapa final'!$O$94="Moderado"),CONCATENATE("R",'Mapa final'!$A$94),"")</f>
        <v/>
      </c>
      <c r="AM56" s="447"/>
      <c r="AN56" s="476" t="str">
        <f>IF(AND('Mapa final'!$K$82="Media",'Mapa final'!$O$82="Mayor"),CONCATENATE("R",'Mapa final'!$A$82),"")</f>
        <v/>
      </c>
      <c r="AO56" s="436"/>
      <c r="AP56" s="436" t="str">
        <f>IF(AND('Mapa final'!$K$85="Media",'Mapa final'!$O$85="Mayor"),CONCATENATE("R",'Mapa final'!$A$85),"")</f>
        <v/>
      </c>
      <c r="AQ56" s="436"/>
      <c r="AR56" s="436" t="str">
        <f>IF(AND('Mapa final'!$K$88="Media",'Mapa final'!$O$88="Mayor"),CONCATENATE("R",'Mapa final'!$A$88),"")</f>
        <v>R28</v>
      </c>
      <c r="AS56" s="436"/>
      <c r="AT56" s="436" t="str">
        <f>IF(AND('Mapa final'!$K$91="Media",'Mapa final'!$O$91="Mayor"),CONCATENATE("R",'Mapa final'!$A$91),"")</f>
        <v>R29</v>
      </c>
      <c r="AU56" s="436"/>
      <c r="AV56" s="436" t="str">
        <f>IF(AND('Mapa final'!$K$94="Media",'Mapa final'!$O$94="Mayor"),CONCATENATE("R",'Mapa final'!$A$94),"")</f>
        <v/>
      </c>
      <c r="AW56" s="475"/>
      <c r="AX56" s="467" t="str">
        <f>IF(AND('Mapa final'!$K$82="Media",'Mapa final'!$O$82="Catastrófico"),CONCATENATE("R",'Mapa final'!$A$82),"")</f>
        <v/>
      </c>
      <c r="AY56" s="465"/>
      <c r="AZ56" s="465" t="str">
        <f>IF(AND('Mapa final'!$K$85="Media",'Mapa final'!$O$85="Catastrófico"),CONCATENATE("R",'Mapa final'!$A$85),"")</f>
        <v/>
      </c>
      <c r="BA56" s="465"/>
      <c r="BB56" s="465" t="str">
        <f>IF(AND('Mapa final'!$K$88="Media",'Mapa final'!$O$88="Catastrófico"),CONCATENATE("R",'Mapa final'!$A$88),"")</f>
        <v/>
      </c>
      <c r="BC56" s="465"/>
      <c r="BD56" s="465" t="str">
        <f>IF(AND('Mapa final'!$K$91="Media",'Mapa final'!$O$91="Catastrófico"),CONCATENATE("R",'Mapa final'!$A$91),"")</f>
        <v/>
      </c>
      <c r="BE56" s="465"/>
      <c r="BF56" s="465" t="str">
        <f>IF(AND('Mapa final'!$K$94="Media",'Mapa final'!$O$94="Catastrófico"),CONCATENATE("R",'Mapa final'!$A$94),"")</f>
        <v/>
      </c>
      <c r="BG56" s="466"/>
      <c r="BH56" s="55"/>
      <c r="BI56" s="507"/>
      <c r="BJ56" s="508"/>
      <c r="BK56" s="508"/>
      <c r="BL56" s="508"/>
      <c r="BM56" s="508"/>
      <c r="BN56" s="509"/>
      <c r="BO56" s="55"/>
      <c r="BP56" s="55"/>
      <c r="BQ56" s="55"/>
      <c r="BR56" s="55"/>
      <c r="BS56" s="55"/>
      <c r="BT56" s="55"/>
      <c r="BU56" s="55"/>
      <c r="BV56" s="55"/>
      <c r="BW56" s="55"/>
      <c r="BX56" s="55"/>
      <c r="BY56" s="55"/>
      <c r="BZ56" s="55"/>
      <c r="CA56" s="55"/>
      <c r="CB56" s="55"/>
      <c r="CC56" s="55"/>
      <c r="CD56" s="55"/>
      <c r="CE56" s="55"/>
      <c r="CF56" s="55"/>
      <c r="CG56" s="55"/>
      <c r="CH56" s="55"/>
      <c r="CI56" s="55"/>
      <c r="CJ56" s="55"/>
      <c r="CK56" s="55"/>
      <c r="CL56" s="55"/>
      <c r="CM56" s="55"/>
      <c r="CN56" s="55"/>
      <c r="CO56" s="55"/>
      <c r="CP56" s="55"/>
      <c r="CQ56" s="55"/>
      <c r="CR56" s="55"/>
      <c r="CS56" s="55"/>
      <c r="CT56" s="55"/>
      <c r="CU56" s="55"/>
      <c r="CV56" s="55"/>
    </row>
    <row r="57" spans="1:100" ht="15" customHeight="1" x14ac:dyDescent="0.25">
      <c r="A57" s="55"/>
      <c r="B57" s="301"/>
      <c r="C57" s="301"/>
      <c r="D57" s="302"/>
      <c r="E57" s="454"/>
      <c r="F57" s="455"/>
      <c r="G57" s="455"/>
      <c r="H57" s="455"/>
      <c r="I57" s="455"/>
      <c r="J57" s="443"/>
      <c r="K57" s="444"/>
      <c r="L57" s="444"/>
      <c r="M57" s="444"/>
      <c r="N57" s="444"/>
      <c r="O57" s="444"/>
      <c r="P57" s="444"/>
      <c r="Q57" s="444"/>
      <c r="R57" s="444"/>
      <c r="S57" s="447"/>
      <c r="T57" s="443"/>
      <c r="U57" s="444"/>
      <c r="V57" s="444"/>
      <c r="W57" s="444"/>
      <c r="X57" s="444"/>
      <c r="Y57" s="444"/>
      <c r="Z57" s="444"/>
      <c r="AA57" s="444"/>
      <c r="AB57" s="444"/>
      <c r="AC57" s="447"/>
      <c r="AD57" s="443"/>
      <c r="AE57" s="444"/>
      <c r="AF57" s="444"/>
      <c r="AG57" s="444"/>
      <c r="AH57" s="444"/>
      <c r="AI57" s="444"/>
      <c r="AJ57" s="444"/>
      <c r="AK57" s="444"/>
      <c r="AL57" s="444"/>
      <c r="AM57" s="447"/>
      <c r="AN57" s="476"/>
      <c r="AO57" s="436"/>
      <c r="AP57" s="436"/>
      <c r="AQ57" s="436"/>
      <c r="AR57" s="436"/>
      <c r="AS57" s="436"/>
      <c r="AT57" s="436"/>
      <c r="AU57" s="436"/>
      <c r="AV57" s="436"/>
      <c r="AW57" s="475"/>
      <c r="AX57" s="467"/>
      <c r="AY57" s="465"/>
      <c r="AZ57" s="465"/>
      <c r="BA57" s="465"/>
      <c r="BB57" s="465"/>
      <c r="BC57" s="465"/>
      <c r="BD57" s="465"/>
      <c r="BE57" s="465"/>
      <c r="BF57" s="465"/>
      <c r="BG57" s="466"/>
      <c r="BH57" s="55"/>
      <c r="BI57" s="507"/>
      <c r="BJ57" s="508"/>
      <c r="BK57" s="508"/>
      <c r="BL57" s="508"/>
      <c r="BM57" s="508"/>
      <c r="BN57" s="509"/>
      <c r="BO57" s="55"/>
      <c r="BP57" s="55"/>
      <c r="BQ57" s="55"/>
      <c r="BR57" s="55"/>
      <c r="BS57" s="55"/>
      <c r="BT57" s="55"/>
      <c r="BU57" s="55"/>
      <c r="BV57" s="55"/>
      <c r="BW57" s="55"/>
      <c r="BX57" s="55"/>
      <c r="BY57" s="55"/>
      <c r="BZ57" s="55"/>
      <c r="CA57" s="55"/>
      <c r="CB57" s="55"/>
      <c r="CC57" s="55"/>
      <c r="CD57" s="55"/>
      <c r="CE57" s="55"/>
      <c r="CF57" s="55"/>
      <c r="CG57" s="55"/>
      <c r="CH57" s="55"/>
      <c r="CI57" s="55"/>
      <c r="CJ57" s="55"/>
      <c r="CK57" s="55"/>
      <c r="CL57" s="55"/>
      <c r="CM57" s="55"/>
      <c r="CN57" s="55"/>
      <c r="CO57" s="55"/>
      <c r="CP57" s="55"/>
      <c r="CQ57" s="55"/>
      <c r="CR57" s="55"/>
      <c r="CS57" s="55"/>
      <c r="CT57" s="55"/>
      <c r="CU57" s="55"/>
      <c r="CV57" s="55"/>
    </row>
    <row r="58" spans="1:100" ht="15" customHeight="1" x14ac:dyDescent="0.25">
      <c r="A58" s="55"/>
      <c r="B58" s="301"/>
      <c r="C58" s="301"/>
      <c r="D58" s="302"/>
      <c r="E58" s="454"/>
      <c r="F58" s="455"/>
      <c r="G58" s="455"/>
      <c r="H58" s="455"/>
      <c r="I58" s="455"/>
      <c r="J58" s="443" t="str">
        <f>IF(AND('Mapa final'!$K$97="Media",'Mapa final'!$O$97="Leve"),CONCATENATE("R",'Mapa final'!$A$97),"")</f>
        <v/>
      </c>
      <c r="K58" s="444"/>
      <c r="L58" s="444" t="e">
        <f>IF(AND('Mapa final'!#REF!="Media",'Mapa final'!#REF!="Leve"),CONCATENATE("R",'Mapa final'!#REF!),"")</f>
        <v>#REF!</v>
      </c>
      <c r="M58" s="444"/>
      <c r="N58" s="444" t="str">
        <f>IF(AND('Mapa final'!$K$100="Media",'Mapa final'!$O$100="Leve"),CONCATENATE("R",'Mapa final'!$A$100),"")</f>
        <v/>
      </c>
      <c r="O58" s="444"/>
      <c r="P58" s="444" t="str">
        <f>IF(AND('Mapa final'!$K$103="Media",'Mapa final'!$O$103="Leve"),CONCATENATE("R",'Mapa final'!$A$103),"")</f>
        <v/>
      </c>
      <c r="Q58" s="444"/>
      <c r="R58" s="444" t="str">
        <f>IF(AND('Mapa final'!$K$106="Media",'Mapa final'!$O$106="Leve"),CONCATENATE("R",'Mapa final'!$A$106),"")</f>
        <v/>
      </c>
      <c r="S58" s="447"/>
      <c r="T58" s="443" t="str">
        <f>IF(AND('Mapa final'!$K$97="Media",'Mapa final'!$O$97="Menor"),CONCATENATE("R",'Mapa final'!$A$97),"")</f>
        <v/>
      </c>
      <c r="U58" s="444"/>
      <c r="V58" s="444" t="e">
        <f>IF(AND('Mapa final'!#REF!="Media",'Mapa final'!#REF!="Menor"),CONCATENATE("R",'Mapa final'!#REF!),"")</f>
        <v>#REF!</v>
      </c>
      <c r="W58" s="444"/>
      <c r="X58" s="444" t="str">
        <f>IF(AND('Mapa final'!$K$100="Media",'Mapa final'!$O$100="Menor"),CONCATENATE("R",'Mapa final'!$A$100),"")</f>
        <v/>
      </c>
      <c r="Y58" s="444"/>
      <c r="Z58" s="444" t="str">
        <f>IF(AND('Mapa final'!$K$103="Media",'Mapa final'!$O$103="Menor"),CONCATENATE("R",'Mapa final'!$A$103),"")</f>
        <v/>
      </c>
      <c r="AA58" s="444"/>
      <c r="AB58" s="444" t="str">
        <f>IF(AND('Mapa final'!$K$106="Media",'Mapa final'!$O$106="Menor"),CONCATENATE("R",'Mapa final'!$A$106),"")</f>
        <v/>
      </c>
      <c r="AC58" s="447"/>
      <c r="AD58" s="443" t="str">
        <f>IF(AND('Mapa final'!$K$97="Media",'Mapa final'!$O$97="Moderado"),CONCATENATE("R",'Mapa final'!$A$97),"")</f>
        <v/>
      </c>
      <c r="AE58" s="444"/>
      <c r="AF58" s="444" t="e">
        <f>IF(AND('Mapa final'!#REF!="Media",'Mapa final'!#REF!="Moderado"),CONCATENATE("R",'Mapa final'!#REF!),"")</f>
        <v>#REF!</v>
      </c>
      <c r="AG58" s="444"/>
      <c r="AH58" s="444" t="str">
        <f>IF(AND('Mapa final'!$K$100="Media",'Mapa final'!$O$100="Moderado"),CONCATENATE("R",'Mapa final'!$A$100),"")</f>
        <v/>
      </c>
      <c r="AI58" s="444"/>
      <c r="AJ58" s="444" t="str">
        <f>IF(AND('Mapa final'!$K$103="Media",'Mapa final'!$O$103="Moderado"),CONCATENATE("R",'Mapa final'!$A$103),"")</f>
        <v>R33</v>
      </c>
      <c r="AK58" s="444"/>
      <c r="AL58" s="444" t="str">
        <f>IF(AND('Mapa final'!$K$106="Media",'Mapa final'!$O$106="Moderado"),CONCATENATE("R",'Mapa final'!$A$106),"")</f>
        <v>R34</v>
      </c>
      <c r="AM58" s="447"/>
      <c r="AN58" s="476" t="str">
        <f>IF(AND('Mapa final'!$K$97="Media",'Mapa final'!$O$97="Mayor"),CONCATENATE("R",'Mapa final'!$A$97),"")</f>
        <v/>
      </c>
      <c r="AO58" s="436"/>
      <c r="AP58" s="436" t="e">
        <f>IF(AND('Mapa final'!#REF!="Media",'Mapa final'!#REF!="Mayor"),CONCATENATE("R",'Mapa final'!#REF!),"")</f>
        <v>#REF!</v>
      </c>
      <c r="AQ58" s="436"/>
      <c r="AR58" s="436" t="str">
        <f>IF(AND('Mapa final'!$K$100="Media",'Mapa final'!$O$100="Mayor"),CONCATENATE("R",'Mapa final'!$A$100),"")</f>
        <v/>
      </c>
      <c r="AS58" s="436"/>
      <c r="AT58" s="436" t="str">
        <f>IF(AND('Mapa final'!$K$103="Media",'Mapa final'!$O$103="Mayor"),CONCATENATE("R",'Mapa final'!$A$103),"")</f>
        <v/>
      </c>
      <c r="AU58" s="436"/>
      <c r="AV58" s="436" t="str">
        <f>IF(AND('Mapa final'!$K$106="Media",'Mapa final'!$O$106="Mayor"),CONCATENATE("R",'Mapa final'!$A$106),"")</f>
        <v/>
      </c>
      <c r="AW58" s="475"/>
      <c r="AX58" s="467" t="str">
        <f>IF(AND('Mapa final'!$K$97="Media",'Mapa final'!$O$97="Catastrófico"),CONCATENATE("R",'Mapa final'!$A$97),"")</f>
        <v/>
      </c>
      <c r="AY58" s="465"/>
      <c r="AZ58" s="465" t="e">
        <f>IF(AND('Mapa final'!#REF!="Media",'Mapa final'!#REF!="Catastrófico"),CONCATENATE("R",'Mapa final'!#REF!),"")</f>
        <v>#REF!</v>
      </c>
      <c r="BA58" s="465"/>
      <c r="BB58" s="465" t="str">
        <f>IF(AND('Mapa final'!$K$100="Media",'Mapa final'!$O$100="Catastrófico"),CONCATENATE("R",'Mapa final'!$A$100),"")</f>
        <v/>
      </c>
      <c r="BC58" s="465"/>
      <c r="BD58" s="465" t="str">
        <f>IF(AND('Mapa final'!$K$103="Media",'Mapa final'!$O$103="Catastrófico"),CONCATENATE("R",'Mapa final'!$A$103),"")</f>
        <v/>
      </c>
      <c r="BE58" s="465"/>
      <c r="BF58" s="465" t="str">
        <f>IF(AND('Mapa final'!$K$106="Media",'Mapa final'!$O$106="Catastrófico"),CONCATENATE("R",'Mapa final'!$A$106),"")</f>
        <v/>
      </c>
      <c r="BG58" s="466"/>
      <c r="BH58" s="55"/>
      <c r="BI58" s="507"/>
      <c r="BJ58" s="508"/>
      <c r="BK58" s="508"/>
      <c r="BL58" s="508"/>
      <c r="BM58" s="508"/>
      <c r="BN58" s="509"/>
      <c r="BO58" s="55"/>
      <c r="BP58" s="55"/>
      <c r="BQ58" s="55"/>
      <c r="BR58" s="55"/>
      <c r="BS58" s="55"/>
      <c r="BT58" s="55"/>
      <c r="BU58" s="55"/>
      <c r="BV58" s="55"/>
      <c r="BW58" s="55"/>
      <c r="BX58" s="55"/>
      <c r="BY58" s="55"/>
      <c r="BZ58" s="55"/>
      <c r="CA58" s="55"/>
      <c r="CB58" s="55"/>
      <c r="CC58" s="55"/>
      <c r="CD58" s="55"/>
      <c r="CE58" s="55"/>
      <c r="CF58" s="55"/>
      <c r="CG58" s="55"/>
      <c r="CH58" s="55"/>
      <c r="CI58" s="55"/>
      <c r="CJ58" s="55"/>
      <c r="CK58" s="55"/>
      <c r="CL58" s="55"/>
      <c r="CM58" s="55"/>
      <c r="CN58" s="55"/>
      <c r="CO58" s="55"/>
      <c r="CP58" s="55"/>
      <c r="CQ58" s="55"/>
      <c r="CR58" s="55"/>
      <c r="CS58" s="55"/>
      <c r="CT58" s="55"/>
      <c r="CU58" s="55"/>
      <c r="CV58" s="55"/>
    </row>
    <row r="59" spans="1:100" ht="15" customHeight="1" x14ac:dyDescent="0.25">
      <c r="A59" s="55"/>
      <c r="B59" s="301"/>
      <c r="C59" s="301"/>
      <c r="D59" s="302"/>
      <c r="E59" s="454"/>
      <c r="F59" s="455"/>
      <c r="G59" s="455"/>
      <c r="H59" s="455"/>
      <c r="I59" s="455"/>
      <c r="J59" s="443"/>
      <c r="K59" s="444"/>
      <c r="L59" s="444"/>
      <c r="M59" s="444"/>
      <c r="N59" s="444"/>
      <c r="O59" s="444"/>
      <c r="P59" s="444"/>
      <c r="Q59" s="444"/>
      <c r="R59" s="444"/>
      <c r="S59" s="447"/>
      <c r="T59" s="443"/>
      <c r="U59" s="444"/>
      <c r="V59" s="444"/>
      <c r="W59" s="444"/>
      <c r="X59" s="444"/>
      <c r="Y59" s="444"/>
      <c r="Z59" s="444"/>
      <c r="AA59" s="444"/>
      <c r="AB59" s="444"/>
      <c r="AC59" s="447"/>
      <c r="AD59" s="443"/>
      <c r="AE59" s="444"/>
      <c r="AF59" s="444"/>
      <c r="AG59" s="444"/>
      <c r="AH59" s="444"/>
      <c r="AI59" s="444"/>
      <c r="AJ59" s="444"/>
      <c r="AK59" s="444"/>
      <c r="AL59" s="444"/>
      <c r="AM59" s="447"/>
      <c r="AN59" s="476"/>
      <c r="AO59" s="436"/>
      <c r="AP59" s="436"/>
      <c r="AQ59" s="436"/>
      <c r="AR59" s="436"/>
      <c r="AS59" s="436"/>
      <c r="AT59" s="436"/>
      <c r="AU59" s="436"/>
      <c r="AV59" s="436"/>
      <c r="AW59" s="475"/>
      <c r="AX59" s="467"/>
      <c r="AY59" s="465"/>
      <c r="AZ59" s="465"/>
      <c r="BA59" s="465"/>
      <c r="BB59" s="465"/>
      <c r="BC59" s="465"/>
      <c r="BD59" s="465"/>
      <c r="BE59" s="465"/>
      <c r="BF59" s="465"/>
      <c r="BG59" s="466"/>
      <c r="BH59" s="55"/>
      <c r="BI59" s="507"/>
      <c r="BJ59" s="508"/>
      <c r="BK59" s="508"/>
      <c r="BL59" s="508"/>
      <c r="BM59" s="508"/>
      <c r="BN59" s="509"/>
      <c r="BO59" s="55"/>
      <c r="BP59" s="55"/>
      <c r="BQ59" s="55"/>
      <c r="BR59" s="55"/>
      <c r="BS59" s="55"/>
      <c r="BT59" s="55"/>
      <c r="BU59" s="55"/>
      <c r="BV59" s="55"/>
      <c r="BW59" s="55"/>
      <c r="BX59" s="55"/>
      <c r="BY59" s="55"/>
      <c r="BZ59" s="55"/>
      <c r="CA59" s="55"/>
      <c r="CB59" s="55"/>
      <c r="CC59" s="55"/>
      <c r="CD59" s="55"/>
      <c r="CE59" s="55"/>
      <c r="CF59" s="55"/>
      <c r="CG59" s="55"/>
      <c r="CH59" s="55"/>
      <c r="CI59" s="55"/>
      <c r="CJ59" s="55"/>
      <c r="CK59" s="55"/>
      <c r="CL59" s="55"/>
      <c r="CM59" s="55"/>
      <c r="CN59" s="55"/>
      <c r="CO59" s="55"/>
      <c r="CP59" s="55"/>
      <c r="CQ59" s="55"/>
      <c r="CR59" s="55"/>
      <c r="CS59" s="55"/>
      <c r="CT59" s="55"/>
      <c r="CU59" s="55"/>
      <c r="CV59" s="55"/>
    </row>
    <row r="60" spans="1:100" ht="15" customHeight="1" x14ac:dyDescent="0.25">
      <c r="A60" s="55"/>
      <c r="B60" s="301"/>
      <c r="C60" s="301"/>
      <c r="D60" s="302"/>
      <c r="E60" s="454"/>
      <c r="F60" s="455"/>
      <c r="G60" s="455"/>
      <c r="H60" s="455"/>
      <c r="I60" s="455"/>
      <c r="J60" s="443" t="str">
        <f>IF(AND('Mapa final'!$K$109="Media",'Mapa final'!$O$109="Leve"),CONCATENATE("R",'Mapa final'!$A$109),"")</f>
        <v/>
      </c>
      <c r="K60" s="444"/>
      <c r="L60" s="444" t="str">
        <f>IF(AND('Mapa final'!$K$112="Media",'Mapa final'!$O$112="Leve"),CONCATENATE("R",'Mapa final'!$A$112),"")</f>
        <v/>
      </c>
      <c r="M60" s="444"/>
      <c r="N60" s="444" t="str">
        <f>IF(AND('Mapa final'!$K$115="Media",'Mapa final'!$O$115="Leve"),CONCATENATE("R",'Mapa final'!$A$115),"")</f>
        <v/>
      </c>
      <c r="O60" s="444"/>
      <c r="P60" s="444" t="str">
        <f>IF(AND('Mapa final'!$K$118="Media",'Mapa final'!$O$118="Leve"),CONCATENATE("R",'Mapa final'!$A$118),"")</f>
        <v/>
      </c>
      <c r="Q60" s="444"/>
      <c r="R60" s="444" t="str">
        <f>IF(AND('Mapa final'!$K$121="Media",'Mapa final'!$O$121="Leve"),CONCATENATE("R",'Mapa final'!$A$121),"")</f>
        <v/>
      </c>
      <c r="S60" s="447"/>
      <c r="T60" s="443" t="str">
        <f>IF(AND('Mapa final'!$K$109="Media",'Mapa final'!$O$109="Menor"),CONCATENATE("R",'Mapa final'!$A$109),"")</f>
        <v/>
      </c>
      <c r="U60" s="444"/>
      <c r="V60" s="444" t="str">
        <f>IF(AND('Mapa final'!$K$112="Media",'Mapa final'!$O$112="Menor"),CONCATENATE("R",'Mapa final'!$A$112),"")</f>
        <v>R36</v>
      </c>
      <c r="W60" s="444"/>
      <c r="X60" s="444" t="str">
        <f>IF(AND('Mapa final'!$K$115="Media",'Mapa final'!$O$115="Menor"),CONCATENATE("R",'Mapa final'!$A$115),"")</f>
        <v/>
      </c>
      <c r="Y60" s="444"/>
      <c r="Z60" s="444" t="str">
        <f>IF(AND('Mapa final'!$K$118="Media",'Mapa final'!$O$118="Menor"),CONCATENATE("R",'Mapa final'!$A$118),"")</f>
        <v/>
      </c>
      <c r="AA60" s="444"/>
      <c r="AB60" s="444" t="str">
        <f>IF(AND('Mapa final'!$K$121="Media",'Mapa final'!$O$121="Menor"),CONCATENATE("R",'Mapa final'!$A$121),"")</f>
        <v/>
      </c>
      <c r="AC60" s="447"/>
      <c r="AD60" s="443" t="str">
        <f>IF(AND('Mapa final'!$K$109="Media",'Mapa final'!$O$109="Moderado"),CONCATENATE("R",'Mapa final'!$A$109),"")</f>
        <v/>
      </c>
      <c r="AE60" s="444"/>
      <c r="AF60" s="444" t="str">
        <f>IF(AND('Mapa final'!$K$112="Media",'Mapa final'!$O$112="Moderado"),CONCATENATE("R",'Mapa final'!$A$112),"")</f>
        <v/>
      </c>
      <c r="AG60" s="444"/>
      <c r="AH60" s="444" t="str">
        <f>IF(AND('Mapa final'!$K$115="Media",'Mapa final'!$O$115="Moderado"),CONCATENATE("R",'Mapa final'!$A$115),"")</f>
        <v/>
      </c>
      <c r="AI60" s="444"/>
      <c r="AJ60" s="444" t="str">
        <f>IF(AND('Mapa final'!$K$118="Media",'Mapa final'!$O$118="Moderado"),CONCATENATE("R",'Mapa final'!$A$118),"")</f>
        <v/>
      </c>
      <c r="AK60" s="444"/>
      <c r="AL60" s="444" t="str">
        <f>IF(AND('Mapa final'!$K$121="Media",'Mapa final'!$O$121="Moderado"),CONCATENATE("R",'Mapa final'!$A$121),"")</f>
        <v>R39</v>
      </c>
      <c r="AM60" s="447"/>
      <c r="AN60" s="476" t="str">
        <f>IF(AND('Mapa final'!$K$109="Media",'Mapa final'!$O$109="Mayor"),CONCATENATE("R",'Mapa final'!$A$109),"")</f>
        <v>R35</v>
      </c>
      <c r="AO60" s="436"/>
      <c r="AP60" s="436" t="str">
        <f>IF(AND('Mapa final'!$K$112="Media",'Mapa final'!$O$112="Mayor"),CONCATENATE("R",'Mapa final'!$A$112),"")</f>
        <v/>
      </c>
      <c r="AQ60" s="436"/>
      <c r="AR60" s="436" t="str">
        <f>IF(AND('Mapa final'!$K$115="Media",'Mapa final'!$O$115="Mayor"),CONCATENATE("R",'Mapa final'!$A$115),"")</f>
        <v/>
      </c>
      <c r="AS60" s="436"/>
      <c r="AT60" s="436" t="str">
        <f>IF(AND('Mapa final'!$K$118="Media",'Mapa final'!$O$118="Mayor"),CONCATENATE("R",'Mapa final'!$A$118),"")</f>
        <v/>
      </c>
      <c r="AU60" s="436"/>
      <c r="AV60" s="436" t="str">
        <f>IF(AND('Mapa final'!$K$121="Media",'Mapa final'!$O$121="Mayor"),CONCATENATE("R",'Mapa final'!$A$121),"")</f>
        <v/>
      </c>
      <c r="AW60" s="475"/>
      <c r="AX60" s="467" t="str">
        <f>IF(AND('Mapa final'!$K$109="Media",'Mapa final'!$O$109="Catastrófico"),CONCATENATE("R",'Mapa final'!$A$109),"")</f>
        <v/>
      </c>
      <c r="AY60" s="465"/>
      <c r="AZ60" s="465" t="str">
        <f>IF(AND('Mapa final'!$K$112="Media",'Mapa final'!$O$112="Catastrófico"),CONCATENATE("R",'Mapa final'!$A$112),"")</f>
        <v/>
      </c>
      <c r="BA60" s="465"/>
      <c r="BB60" s="465" t="str">
        <f>IF(AND('Mapa final'!$K$115="Media",'Mapa final'!$O$115="Catastrófico"),CONCATENATE("R",'Mapa final'!$A$115),"")</f>
        <v/>
      </c>
      <c r="BC60" s="465"/>
      <c r="BD60" s="465" t="str">
        <f>IF(AND('Mapa final'!$K$118="Media",'Mapa final'!$O$118="Catastrófico"),CONCATENATE("R",'Mapa final'!$A$118),"")</f>
        <v/>
      </c>
      <c r="BE60" s="465"/>
      <c r="BF60" s="465" t="str">
        <f>IF(AND('Mapa final'!$K$121="Media",'Mapa final'!$O$121="Catastrófico"),CONCATENATE("R",'Mapa final'!$A$121),"")</f>
        <v/>
      </c>
      <c r="BG60" s="466"/>
      <c r="BH60" s="55"/>
      <c r="BI60" s="507"/>
      <c r="BJ60" s="508"/>
      <c r="BK60" s="508"/>
      <c r="BL60" s="508"/>
      <c r="BM60" s="508"/>
      <c r="BN60" s="509"/>
      <c r="BO60" s="55"/>
      <c r="BP60" s="55"/>
      <c r="BQ60" s="55"/>
      <c r="BR60" s="55"/>
      <c r="BS60" s="55"/>
      <c r="BT60" s="55"/>
      <c r="BU60" s="55"/>
      <c r="BV60" s="55"/>
      <c r="BW60" s="55"/>
      <c r="BX60" s="55"/>
      <c r="BY60" s="55"/>
      <c r="BZ60" s="55"/>
      <c r="CA60" s="55"/>
      <c r="CB60" s="55"/>
      <c r="CC60" s="55"/>
      <c r="CD60" s="55"/>
      <c r="CE60" s="55"/>
      <c r="CF60" s="55"/>
      <c r="CG60" s="55"/>
      <c r="CH60" s="55"/>
      <c r="CI60" s="55"/>
      <c r="CJ60" s="55"/>
      <c r="CK60" s="55"/>
      <c r="CL60" s="55"/>
      <c r="CM60" s="55"/>
      <c r="CN60" s="55"/>
      <c r="CO60" s="55"/>
      <c r="CP60" s="55"/>
      <c r="CQ60" s="55"/>
      <c r="CR60" s="55"/>
      <c r="CS60" s="55"/>
      <c r="CT60" s="55"/>
      <c r="CU60" s="55"/>
      <c r="CV60" s="55"/>
    </row>
    <row r="61" spans="1:100" ht="15" customHeight="1" x14ac:dyDescent="0.25">
      <c r="A61" s="55"/>
      <c r="B61" s="301"/>
      <c r="C61" s="301"/>
      <c r="D61" s="302"/>
      <c r="E61" s="454"/>
      <c r="F61" s="455"/>
      <c r="G61" s="455"/>
      <c r="H61" s="455"/>
      <c r="I61" s="455"/>
      <c r="J61" s="443"/>
      <c r="K61" s="444"/>
      <c r="L61" s="444"/>
      <c r="M61" s="444"/>
      <c r="N61" s="444"/>
      <c r="O61" s="444"/>
      <c r="P61" s="444"/>
      <c r="Q61" s="444"/>
      <c r="R61" s="444"/>
      <c r="S61" s="447"/>
      <c r="T61" s="443"/>
      <c r="U61" s="444"/>
      <c r="V61" s="444"/>
      <c r="W61" s="444"/>
      <c r="X61" s="444"/>
      <c r="Y61" s="444"/>
      <c r="Z61" s="444"/>
      <c r="AA61" s="444"/>
      <c r="AB61" s="444"/>
      <c r="AC61" s="447"/>
      <c r="AD61" s="443"/>
      <c r="AE61" s="444"/>
      <c r="AF61" s="444"/>
      <c r="AG61" s="444"/>
      <c r="AH61" s="444"/>
      <c r="AI61" s="444"/>
      <c r="AJ61" s="444"/>
      <c r="AK61" s="444"/>
      <c r="AL61" s="444"/>
      <c r="AM61" s="447"/>
      <c r="AN61" s="476"/>
      <c r="AO61" s="436"/>
      <c r="AP61" s="436"/>
      <c r="AQ61" s="436"/>
      <c r="AR61" s="436"/>
      <c r="AS61" s="436"/>
      <c r="AT61" s="436"/>
      <c r="AU61" s="436"/>
      <c r="AV61" s="436"/>
      <c r="AW61" s="475"/>
      <c r="AX61" s="467"/>
      <c r="AY61" s="465"/>
      <c r="AZ61" s="465"/>
      <c r="BA61" s="465"/>
      <c r="BB61" s="465"/>
      <c r="BC61" s="465"/>
      <c r="BD61" s="465"/>
      <c r="BE61" s="465"/>
      <c r="BF61" s="465"/>
      <c r="BG61" s="466"/>
      <c r="BH61" s="55"/>
      <c r="BI61" s="507"/>
      <c r="BJ61" s="508"/>
      <c r="BK61" s="508"/>
      <c r="BL61" s="508"/>
      <c r="BM61" s="508"/>
      <c r="BN61" s="509"/>
      <c r="BO61" s="55"/>
      <c r="BP61" s="55"/>
      <c r="BQ61" s="55"/>
      <c r="BR61" s="55"/>
      <c r="BS61" s="55"/>
      <c r="BT61" s="55"/>
      <c r="BU61" s="55"/>
      <c r="BV61" s="55"/>
      <c r="BW61" s="55"/>
      <c r="BX61" s="55"/>
      <c r="BY61" s="55"/>
      <c r="BZ61" s="55"/>
      <c r="CA61" s="55"/>
      <c r="CB61" s="55"/>
      <c r="CC61" s="55"/>
      <c r="CD61" s="55"/>
      <c r="CE61" s="55"/>
      <c r="CF61" s="55"/>
      <c r="CG61" s="55"/>
      <c r="CH61" s="55"/>
      <c r="CI61" s="55"/>
      <c r="CJ61" s="55"/>
      <c r="CK61" s="55"/>
      <c r="CL61" s="55"/>
      <c r="CM61" s="55"/>
      <c r="CN61" s="55"/>
      <c r="CO61" s="55"/>
      <c r="CP61" s="55"/>
      <c r="CQ61" s="55"/>
      <c r="CR61" s="55"/>
      <c r="CS61" s="55"/>
      <c r="CT61" s="55"/>
      <c r="CU61" s="55"/>
      <c r="CV61" s="55"/>
    </row>
    <row r="62" spans="1:100" ht="15" customHeight="1" x14ac:dyDescent="0.25">
      <c r="A62" s="55"/>
      <c r="B62" s="301"/>
      <c r="C62" s="301"/>
      <c r="D62" s="302"/>
      <c r="E62" s="454"/>
      <c r="F62" s="455"/>
      <c r="G62" s="455"/>
      <c r="H62" s="455"/>
      <c r="I62" s="455"/>
      <c r="J62" s="443" t="str">
        <f>IF(AND('Mapa final'!$K$124="Media",'Mapa final'!$O$124="Leve"),CONCATENATE("R",'Mapa final'!$A$124),"")</f>
        <v/>
      </c>
      <c r="K62" s="444"/>
      <c r="L62" s="444" t="str">
        <f>IF(AND('Mapa final'!$K$127="Media",'Mapa final'!$O$127="Leve"),CONCATENATE("R",'Mapa final'!$A$127),"")</f>
        <v/>
      </c>
      <c r="M62" s="444"/>
      <c r="N62" s="444" t="str">
        <f>IF(AND('Mapa final'!$K$130="Media",'Mapa final'!$O$130="Leve"),CONCATENATE("R",'Mapa final'!$A$130),"")</f>
        <v/>
      </c>
      <c r="O62" s="444"/>
      <c r="P62" s="444" t="str">
        <f>IF(AND('Mapa final'!$K$133="Media",'Mapa final'!$O$133="Leve"),CONCATENATE("R",'Mapa final'!$A$133),"")</f>
        <v/>
      </c>
      <c r="Q62" s="444"/>
      <c r="R62" s="444" t="str">
        <f>IF(AND('Mapa final'!$K$136="Media",'Mapa final'!$O$136="Leve"),CONCATENATE("R",'Mapa final'!$A$136),"")</f>
        <v/>
      </c>
      <c r="S62" s="447"/>
      <c r="T62" s="443" t="str">
        <f>IF(AND('Mapa final'!$K$124="Media",'Mapa final'!$O$124="Menor"),CONCATENATE("R",'Mapa final'!$A$124),"")</f>
        <v/>
      </c>
      <c r="U62" s="444"/>
      <c r="V62" s="444" t="str">
        <f>IF(AND('Mapa final'!$K$127="Media",'Mapa final'!$O$127="Menor"),CONCATENATE("R",'Mapa final'!$A$127),"")</f>
        <v/>
      </c>
      <c r="W62" s="444"/>
      <c r="X62" s="444" t="str">
        <f>IF(AND('Mapa final'!$K$130="Media",'Mapa final'!$O$130="Menor"),CONCATENATE("R",'Mapa final'!$A$130),"")</f>
        <v/>
      </c>
      <c r="Y62" s="444"/>
      <c r="Z62" s="444" t="str">
        <f>IF(AND('Mapa final'!$K$133="Media",'Mapa final'!$O$133="Menor"),CONCATENATE("R",'Mapa final'!$A$133),"")</f>
        <v/>
      </c>
      <c r="AA62" s="444"/>
      <c r="AB62" s="444" t="str">
        <f>IF(AND('Mapa final'!$K$136="Media",'Mapa final'!$O$136="Menor"),CONCATENATE("R",'Mapa final'!$A$136),"")</f>
        <v/>
      </c>
      <c r="AC62" s="447"/>
      <c r="AD62" s="443" t="str">
        <f>IF(AND('Mapa final'!$K$124="Media",'Mapa final'!$O$124="Moderado"),CONCATENATE("R",'Mapa final'!$A$124),"")</f>
        <v>R40</v>
      </c>
      <c r="AE62" s="444"/>
      <c r="AF62" s="444" t="str">
        <f>IF(AND('Mapa final'!$K$127="Media",'Mapa final'!$O$127="Moderado"),CONCATENATE("R",'Mapa final'!$A$127),"")</f>
        <v/>
      </c>
      <c r="AG62" s="444"/>
      <c r="AH62" s="444" t="str">
        <f>IF(AND('Mapa final'!$K$130="Media",'Mapa final'!$O$130="Moderado"),CONCATENATE("R",'Mapa final'!$A$130),"")</f>
        <v/>
      </c>
      <c r="AI62" s="444"/>
      <c r="AJ62" s="444" t="str">
        <f>IF(AND('Mapa final'!$K$133="Media",'Mapa final'!$O$133="Moderado"),CONCATENATE("R",'Mapa final'!$A$133),"")</f>
        <v>R43</v>
      </c>
      <c r="AK62" s="444"/>
      <c r="AL62" s="444" t="str">
        <f>IF(AND('Mapa final'!$K$136="Media",'Mapa final'!$O$136="Moderado"),CONCATENATE("R",'Mapa final'!$A$136),"")</f>
        <v/>
      </c>
      <c r="AM62" s="447"/>
      <c r="AN62" s="476" t="str">
        <f>IF(AND('Mapa final'!$K$124="Media",'Mapa final'!$O$124="Mayor"),CONCATENATE("R",'Mapa final'!$A$124),"")</f>
        <v/>
      </c>
      <c r="AO62" s="436"/>
      <c r="AP62" s="436" t="str">
        <f>IF(AND('Mapa final'!$K$127="Media",'Mapa final'!$O$127="Mayor"),CONCATENATE("R",'Mapa final'!$A$127),"")</f>
        <v/>
      </c>
      <c r="AQ62" s="436"/>
      <c r="AR62" s="436" t="str">
        <f>IF(AND('Mapa final'!$K$130="Media",'Mapa final'!$O$130="Mayor"),CONCATENATE("R",'Mapa final'!$A$130),"")</f>
        <v>R42</v>
      </c>
      <c r="AS62" s="436"/>
      <c r="AT62" s="436" t="str">
        <f>IF(AND('Mapa final'!$K$133="Media",'Mapa final'!$O$133="Mayor"),CONCATENATE("R",'Mapa final'!$A$133),"")</f>
        <v/>
      </c>
      <c r="AU62" s="436"/>
      <c r="AV62" s="436" t="str">
        <f>IF(AND('Mapa final'!$K$136="Media",'Mapa final'!$O$136="Mayor"),CONCATENATE("R",'Mapa final'!$A$136),"")</f>
        <v>R44</v>
      </c>
      <c r="AW62" s="475"/>
      <c r="AX62" s="467" t="str">
        <f>IF(AND('Mapa final'!$K$124="Media",'Mapa final'!$O$124="Catastrófico"),CONCATENATE("R",'Mapa final'!$A$124),"")</f>
        <v/>
      </c>
      <c r="AY62" s="465"/>
      <c r="AZ62" s="465" t="str">
        <f>IF(AND('Mapa final'!$K$127="Media",'Mapa final'!$O$127="Catastrófico"),CONCATENATE("R",'Mapa final'!$A$127),"")</f>
        <v/>
      </c>
      <c r="BA62" s="465"/>
      <c r="BB62" s="465" t="str">
        <f>IF(AND('Mapa final'!$K$130="Media",'Mapa final'!$O$130="Catastrófico"),CONCATENATE("R",'Mapa final'!$A$130),"")</f>
        <v/>
      </c>
      <c r="BC62" s="465"/>
      <c r="BD62" s="465" t="str">
        <f>IF(AND('Mapa final'!$K$133="Media",'Mapa final'!$O$133="Catastrófico"),CONCATENATE("R",'Mapa final'!$A$133),"")</f>
        <v/>
      </c>
      <c r="BE62" s="465"/>
      <c r="BF62" s="465" t="str">
        <f>IF(AND('Mapa final'!$K$136="Media",'Mapa final'!$O$136="Catastrófico"),CONCATENATE("R",'Mapa final'!$A$136),"")</f>
        <v/>
      </c>
      <c r="BG62" s="466"/>
      <c r="BH62" s="55"/>
      <c r="BI62" s="507"/>
      <c r="BJ62" s="508"/>
      <c r="BK62" s="508"/>
      <c r="BL62" s="508"/>
      <c r="BM62" s="508"/>
      <c r="BN62" s="509"/>
      <c r="BO62" s="55"/>
      <c r="BP62" s="55"/>
      <c r="BQ62" s="55"/>
      <c r="BR62" s="55"/>
      <c r="BS62" s="55"/>
      <c r="BT62" s="55"/>
      <c r="BU62" s="55"/>
      <c r="BV62" s="55"/>
      <c r="BW62" s="55"/>
      <c r="BX62" s="55"/>
      <c r="BY62" s="55"/>
      <c r="BZ62" s="55"/>
      <c r="CA62" s="55"/>
      <c r="CB62" s="55"/>
      <c r="CC62" s="55"/>
      <c r="CD62" s="55"/>
      <c r="CE62" s="55"/>
      <c r="CF62" s="55"/>
      <c r="CG62" s="55"/>
      <c r="CH62" s="55"/>
      <c r="CI62" s="55"/>
      <c r="CJ62" s="55"/>
      <c r="CK62" s="55"/>
      <c r="CL62" s="55"/>
      <c r="CM62" s="55"/>
      <c r="CN62" s="55"/>
      <c r="CO62" s="55"/>
      <c r="CP62" s="55"/>
      <c r="CQ62" s="55"/>
      <c r="CR62" s="55"/>
      <c r="CS62" s="55"/>
      <c r="CT62" s="55"/>
      <c r="CU62" s="55"/>
      <c r="CV62" s="55"/>
    </row>
    <row r="63" spans="1:100" ht="15" customHeight="1" x14ac:dyDescent="0.25">
      <c r="A63" s="55"/>
      <c r="B63" s="301"/>
      <c r="C63" s="301"/>
      <c r="D63" s="302"/>
      <c r="E63" s="454"/>
      <c r="F63" s="455"/>
      <c r="G63" s="455"/>
      <c r="H63" s="455"/>
      <c r="I63" s="455"/>
      <c r="J63" s="443"/>
      <c r="K63" s="444"/>
      <c r="L63" s="444"/>
      <c r="M63" s="444"/>
      <c r="N63" s="444"/>
      <c r="O63" s="444"/>
      <c r="P63" s="444"/>
      <c r="Q63" s="444"/>
      <c r="R63" s="444"/>
      <c r="S63" s="447"/>
      <c r="T63" s="443"/>
      <c r="U63" s="444"/>
      <c r="V63" s="444"/>
      <c r="W63" s="444"/>
      <c r="X63" s="444"/>
      <c r="Y63" s="444"/>
      <c r="Z63" s="444"/>
      <c r="AA63" s="444"/>
      <c r="AB63" s="444"/>
      <c r="AC63" s="447"/>
      <c r="AD63" s="443"/>
      <c r="AE63" s="444"/>
      <c r="AF63" s="444"/>
      <c r="AG63" s="444"/>
      <c r="AH63" s="444"/>
      <c r="AI63" s="444"/>
      <c r="AJ63" s="444"/>
      <c r="AK63" s="444"/>
      <c r="AL63" s="444"/>
      <c r="AM63" s="447"/>
      <c r="AN63" s="476"/>
      <c r="AO63" s="436"/>
      <c r="AP63" s="436"/>
      <c r="AQ63" s="436"/>
      <c r="AR63" s="436"/>
      <c r="AS63" s="436"/>
      <c r="AT63" s="436"/>
      <c r="AU63" s="436"/>
      <c r="AV63" s="436"/>
      <c r="AW63" s="475"/>
      <c r="AX63" s="467"/>
      <c r="AY63" s="465"/>
      <c r="AZ63" s="465"/>
      <c r="BA63" s="465"/>
      <c r="BB63" s="465"/>
      <c r="BC63" s="465"/>
      <c r="BD63" s="465"/>
      <c r="BE63" s="465"/>
      <c r="BF63" s="465"/>
      <c r="BG63" s="466"/>
      <c r="BH63" s="55"/>
      <c r="BI63" s="507"/>
      <c r="BJ63" s="508"/>
      <c r="BK63" s="508"/>
      <c r="BL63" s="508"/>
      <c r="BM63" s="508"/>
      <c r="BN63" s="509"/>
      <c r="BO63" s="55"/>
      <c r="BP63" s="55"/>
      <c r="BQ63" s="55"/>
      <c r="BR63" s="55"/>
      <c r="BS63" s="55"/>
      <c r="BT63" s="55"/>
      <c r="BU63" s="55"/>
      <c r="BV63" s="55"/>
      <c r="BW63" s="55"/>
      <c r="BX63" s="55"/>
      <c r="BY63" s="55"/>
      <c r="BZ63" s="55"/>
      <c r="CA63" s="55"/>
      <c r="CB63" s="55"/>
      <c r="CC63" s="55"/>
      <c r="CD63" s="55"/>
      <c r="CE63" s="55"/>
      <c r="CF63" s="55"/>
      <c r="CG63" s="55"/>
      <c r="CH63" s="55"/>
      <c r="CI63" s="55"/>
      <c r="CJ63" s="55"/>
      <c r="CK63" s="55"/>
      <c r="CL63" s="55"/>
      <c r="CM63" s="55"/>
      <c r="CN63" s="55"/>
      <c r="CO63" s="55"/>
      <c r="CP63" s="55"/>
      <c r="CQ63" s="55"/>
      <c r="CR63" s="55"/>
      <c r="CS63" s="55"/>
      <c r="CT63" s="55"/>
      <c r="CU63" s="55"/>
      <c r="CV63" s="55"/>
    </row>
    <row r="64" spans="1:100" ht="15" customHeight="1" x14ac:dyDescent="0.25">
      <c r="A64" s="55"/>
      <c r="B64" s="301"/>
      <c r="C64" s="301"/>
      <c r="D64" s="302"/>
      <c r="E64" s="454"/>
      <c r="F64" s="455"/>
      <c r="G64" s="455"/>
      <c r="H64" s="455"/>
      <c r="I64" s="455"/>
      <c r="J64" s="443" t="str">
        <f>IF(AND('Mapa final'!$K$139="Media",'Mapa final'!$O$139="Leve"),CONCATENATE("R",'Mapa final'!$A$139),"")</f>
        <v/>
      </c>
      <c r="K64" s="444"/>
      <c r="L64" s="444" t="str">
        <f>IF(AND('Mapa final'!$K$142="Media",'Mapa final'!$O$142="Leve"),CONCATENATE("R",'Mapa final'!$A$142),"")</f>
        <v/>
      </c>
      <c r="M64" s="444"/>
      <c r="N64" s="444" t="str">
        <f>IF(AND('Mapa final'!$K$145="Media",'Mapa final'!$O$145="Leve"),CONCATENATE("R",'Mapa final'!$A$145),"")</f>
        <v/>
      </c>
      <c r="O64" s="444"/>
      <c r="P64" s="444" t="str">
        <f>IF(AND('Mapa final'!$K$148="Media",'Mapa final'!$O$148="Leve"),CONCATENATE("R",'Mapa final'!$A$148),"")</f>
        <v/>
      </c>
      <c r="Q64" s="444"/>
      <c r="R64" s="444" t="str">
        <f>IF(AND('Mapa final'!$K$151="Media",'Mapa final'!$O$151="Leve"),CONCATENATE("R",'Mapa final'!$A$151),"")</f>
        <v/>
      </c>
      <c r="S64" s="447"/>
      <c r="T64" s="443" t="str">
        <f>IF(AND('Mapa final'!$K$139="Media",'Mapa final'!$O$139="Menor"),CONCATENATE("R",'Mapa final'!$A$139),"")</f>
        <v/>
      </c>
      <c r="U64" s="444"/>
      <c r="V64" s="444" t="str">
        <f>IF(AND('Mapa final'!$K$142="Media",'Mapa final'!$O$142="Menor"),CONCATENATE("R",'Mapa final'!$A$142),"")</f>
        <v/>
      </c>
      <c r="W64" s="444"/>
      <c r="X64" s="444" t="str">
        <f>IF(AND('Mapa final'!$K$145="Media",'Mapa final'!$O$145="Menor"),CONCATENATE("R",'Mapa final'!$A$145),"")</f>
        <v/>
      </c>
      <c r="Y64" s="444"/>
      <c r="Z64" s="444" t="str">
        <f>IF(AND('Mapa final'!$K$148="Media",'Mapa final'!$O$148="Menor"),CONCATENATE("R",'Mapa final'!$A$148),"")</f>
        <v/>
      </c>
      <c r="AA64" s="444"/>
      <c r="AB64" s="444" t="str">
        <f>IF(AND('Mapa final'!$K$151="Media",'Mapa final'!$O$151="Menor"),CONCATENATE("R",'Mapa final'!$A$151),"")</f>
        <v/>
      </c>
      <c r="AC64" s="447"/>
      <c r="AD64" s="443" t="str">
        <f>IF(AND('Mapa final'!$K$139="Media",'Mapa final'!$O$139="Moderado"),CONCATENATE("R",'Mapa final'!$A$139),"")</f>
        <v/>
      </c>
      <c r="AE64" s="444"/>
      <c r="AF64" s="444" t="str">
        <f>IF(AND('Mapa final'!$K$142="Media",'Mapa final'!$O$142="Moderado"),CONCATENATE("R",'Mapa final'!$A$142),"")</f>
        <v/>
      </c>
      <c r="AG64" s="444"/>
      <c r="AH64" s="444" t="str">
        <f>IF(AND('Mapa final'!$K$145="Media",'Mapa final'!$O$145="Moderado"),CONCATENATE("R",'Mapa final'!$A$145),"")</f>
        <v/>
      </c>
      <c r="AI64" s="444"/>
      <c r="AJ64" s="444" t="str">
        <f>IF(AND('Mapa final'!$K$148="Media",'Mapa final'!$O$148="Moderado"),CONCATENATE("R",'Mapa final'!$A$148),"")</f>
        <v/>
      </c>
      <c r="AK64" s="444"/>
      <c r="AL64" s="444" t="str">
        <f>IF(AND('Mapa final'!$K$151="Media",'Mapa final'!$O$151="Moderado"),CONCATENATE("R",'Mapa final'!$A$151),"")</f>
        <v/>
      </c>
      <c r="AM64" s="447"/>
      <c r="AN64" s="476" t="str">
        <f>IF(AND('Mapa final'!$K$139="Media",'Mapa final'!$O$139="Mayor"),CONCATENATE("R",'Mapa final'!$A$139),"")</f>
        <v/>
      </c>
      <c r="AO64" s="436"/>
      <c r="AP64" s="436" t="str">
        <f>IF(AND('Mapa final'!$K$142="Media",'Mapa final'!$O$142="Mayor"),CONCATENATE("R",'Mapa final'!$A$142),"")</f>
        <v/>
      </c>
      <c r="AQ64" s="436"/>
      <c r="AR64" s="436" t="str">
        <f>IF(AND('Mapa final'!$K$145="Media",'Mapa final'!$O$145="Mayor"),CONCATENATE("R",'Mapa final'!$A$145),"")</f>
        <v/>
      </c>
      <c r="AS64" s="436"/>
      <c r="AT64" s="436" t="str">
        <f>IF(AND('Mapa final'!$K$148="Media",'Mapa final'!$O$148="Mayor"),CONCATENATE("R",'Mapa final'!$A$148),"")</f>
        <v/>
      </c>
      <c r="AU64" s="436"/>
      <c r="AV64" s="436" t="str">
        <f>IF(AND('Mapa final'!$K$151="Media",'Mapa final'!$O$151="Mayor"),CONCATENATE("R",'Mapa final'!$A$151),"")</f>
        <v/>
      </c>
      <c r="AW64" s="475"/>
      <c r="AX64" s="467" t="str">
        <f>IF(AND('Mapa final'!$K$139="Media",'Mapa final'!$O$139="Catastrófico"),CONCATENATE("R",'Mapa final'!$A$139),"")</f>
        <v/>
      </c>
      <c r="AY64" s="465"/>
      <c r="AZ64" s="465" t="str">
        <f>IF(AND('Mapa final'!$K$142="Media",'Mapa final'!$O$142="Catastrófico"),CONCATENATE("R",'Mapa final'!$A$142),"")</f>
        <v/>
      </c>
      <c r="BA64" s="465"/>
      <c r="BB64" s="465" t="str">
        <f>IF(AND('Mapa final'!$K$145="Media",'Mapa final'!$O$145="Catastrófico"),CONCATENATE("R",'Mapa final'!$A$145),"")</f>
        <v/>
      </c>
      <c r="BC64" s="465"/>
      <c r="BD64" s="465" t="str">
        <f>IF(AND('Mapa final'!$K$148="Media",'Mapa final'!$O$148="Catastrófico"),CONCATENATE("R",'Mapa final'!$A$148),"")</f>
        <v/>
      </c>
      <c r="BE64" s="465"/>
      <c r="BF64" s="465" t="str">
        <f>IF(AND('Mapa final'!$K$151="Media",'Mapa final'!$O$151="Catastrófico"),CONCATENATE("R",'Mapa final'!$A$151),"")</f>
        <v/>
      </c>
      <c r="BG64" s="466"/>
      <c r="BH64" s="55"/>
      <c r="BI64" s="507"/>
      <c r="BJ64" s="508"/>
      <c r="BK64" s="508"/>
      <c r="BL64" s="508"/>
      <c r="BM64" s="508"/>
      <c r="BN64" s="509"/>
      <c r="BO64" s="55"/>
      <c r="BP64" s="55"/>
      <c r="BQ64" s="55"/>
      <c r="BR64" s="55"/>
      <c r="BS64" s="55"/>
      <c r="BT64" s="55"/>
      <c r="BU64" s="55"/>
      <c r="BV64" s="55"/>
      <c r="BW64" s="55"/>
      <c r="BX64" s="55"/>
      <c r="BY64" s="55"/>
      <c r="BZ64" s="55"/>
      <c r="CA64" s="55"/>
      <c r="CB64" s="55"/>
      <c r="CC64" s="55"/>
      <c r="CD64" s="55"/>
      <c r="CE64" s="55"/>
      <c r="CF64" s="55"/>
      <c r="CG64" s="55"/>
      <c r="CH64" s="55"/>
      <c r="CI64" s="55"/>
      <c r="CJ64" s="55"/>
      <c r="CK64" s="55"/>
      <c r="CL64" s="55"/>
      <c r="CM64" s="55"/>
      <c r="CN64" s="55"/>
      <c r="CO64" s="55"/>
      <c r="CP64" s="55"/>
      <c r="CQ64" s="55"/>
      <c r="CR64" s="55"/>
      <c r="CS64" s="55"/>
      <c r="CT64" s="55"/>
      <c r="CU64" s="55"/>
      <c r="CV64" s="55"/>
    </row>
    <row r="65" spans="1:100" ht="15.75" customHeight="1" thickBot="1" x14ac:dyDescent="0.3">
      <c r="A65" s="55"/>
      <c r="B65" s="301"/>
      <c r="C65" s="301"/>
      <c r="D65" s="302"/>
      <c r="E65" s="457"/>
      <c r="F65" s="458"/>
      <c r="G65" s="458"/>
      <c r="H65" s="458"/>
      <c r="I65" s="458"/>
      <c r="J65" s="445"/>
      <c r="K65" s="446"/>
      <c r="L65" s="446"/>
      <c r="M65" s="446"/>
      <c r="N65" s="446"/>
      <c r="O65" s="446"/>
      <c r="P65" s="446"/>
      <c r="Q65" s="446"/>
      <c r="R65" s="446"/>
      <c r="S65" s="448"/>
      <c r="T65" s="445"/>
      <c r="U65" s="446"/>
      <c r="V65" s="446"/>
      <c r="W65" s="446"/>
      <c r="X65" s="446"/>
      <c r="Y65" s="446"/>
      <c r="Z65" s="446"/>
      <c r="AA65" s="446"/>
      <c r="AB65" s="446"/>
      <c r="AC65" s="448"/>
      <c r="AD65" s="445"/>
      <c r="AE65" s="446"/>
      <c r="AF65" s="446"/>
      <c r="AG65" s="446"/>
      <c r="AH65" s="446"/>
      <c r="AI65" s="446"/>
      <c r="AJ65" s="446"/>
      <c r="AK65" s="446"/>
      <c r="AL65" s="446"/>
      <c r="AM65" s="448"/>
      <c r="AN65" s="477"/>
      <c r="AO65" s="474"/>
      <c r="AP65" s="474"/>
      <c r="AQ65" s="474"/>
      <c r="AR65" s="474"/>
      <c r="AS65" s="474"/>
      <c r="AT65" s="474"/>
      <c r="AU65" s="474"/>
      <c r="AV65" s="474"/>
      <c r="AW65" s="478"/>
      <c r="AX65" s="468"/>
      <c r="AY65" s="469"/>
      <c r="AZ65" s="469"/>
      <c r="BA65" s="469"/>
      <c r="BB65" s="469"/>
      <c r="BC65" s="469"/>
      <c r="BD65" s="469"/>
      <c r="BE65" s="469"/>
      <c r="BF65" s="469"/>
      <c r="BG65" s="470"/>
      <c r="BH65" s="55"/>
      <c r="BI65" s="507"/>
      <c r="BJ65" s="508"/>
      <c r="BK65" s="508"/>
      <c r="BL65" s="508"/>
      <c r="BM65" s="508"/>
      <c r="BN65" s="509"/>
      <c r="BO65" s="55"/>
      <c r="BP65" s="55"/>
      <c r="BQ65" s="55"/>
      <c r="BR65" s="55"/>
      <c r="BS65" s="55"/>
      <c r="BT65" s="55"/>
      <c r="BU65" s="55"/>
      <c r="BV65" s="55"/>
      <c r="BW65" s="55"/>
      <c r="BX65" s="55"/>
      <c r="BY65" s="55"/>
      <c r="BZ65" s="55"/>
      <c r="CA65" s="55"/>
      <c r="CB65" s="55"/>
      <c r="CC65" s="55"/>
      <c r="CD65" s="55"/>
      <c r="CE65" s="55"/>
      <c r="CF65" s="55"/>
      <c r="CG65" s="55"/>
      <c r="CH65" s="55"/>
      <c r="CI65" s="55"/>
      <c r="CJ65" s="55"/>
      <c r="CK65" s="55"/>
      <c r="CL65" s="55"/>
      <c r="CM65" s="55"/>
      <c r="CN65" s="55"/>
      <c r="CO65" s="55"/>
      <c r="CP65" s="55"/>
      <c r="CQ65" s="55"/>
      <c r="CR65" s="55"/>
      <c r="CS65" s="55"/>
      <c r="CT65" s="55"/>
      <c r="CU65" s="55"/>
      <c r="CV65" s="55"/>
    </row>
    <row r="66" spans="1:100" ht="15" customHeight="1" x14ac:dyDescent="0.25">
      <c r="A66" s="55"/>
      <c r="B66" s="301"/>
      <c r="C66" s="301"/>
      <c r="D66" s="302"/>
      <c r="E66" s="451" t="s">
        <v>105</v>
      </c>
      <c r="F66" s="452"/>
      <c r="G66" s="452"/>
      <c r="H66" s="452"/>
      <c r="I66" s="452"/>
      <c r="J66" s="441" t="str">
        <f>IF(AND('Mapa final'!$K$7="Baja",'Mapa final'!$O$7="Leve"),CONCATENATE("R",'Mapa final'!$A$7),"")</f>
        <v/>
      </c>
      <c r="K66" s="442"/>
      <c r="L66" s="442" t="str">
        <f>IF(AND('Mapa final'!$K$10="Baja",'Mapa final'!$O$10="Leve"),CONCATENATE("R",'Mapa final'!$A$10),"")</f>
        <v/>
      </c>
      <c r="M66" s="442"/>
      <c r="N66" s="442" t="str">
        <f>IF(AND('Mapa final'!$K$13="Baja",'Mapa final'!$O$13="Leve"),CONCATENATE("R",'Mapa final'!$A$13),"")</f>
        <v/>
      </c>
      <c r="O66" s="442"/>
      <c r="P66" s="442" t="e">
        <f>IF(AND('Mapa final'!#REF!="Baja",'Mapa final'!#REF!="Leve"),CONCATENATE("R",'Mapa final'!#REF!),"")</f>
        <v>#REF!</v>
      </c>
      <c r="Q66" s="442"/>
      <c r="R66" s="442" t="str">
        <f>IF(AND('Mapa final'!$K$16="Baja",'Mapa final'!$O$16="Leve"),CONCATENATE("R",'Mapa final'!$A$16),"")</f>
        <v/>
      </c>
      <c r="S66" s="484"/>
      <c r="T66" s="463" t="str">
        <f>IF(AND('Mapa final'!$K$7="Baja",'Mapa final'!$O$7="Menor"),CONCATENATE("R",'Mapa final'!$A$7),"")</f>
        <v/>
      </c>
      <c r="U66" s="449"/>
      <c r="V66" s="449" t="str">
        <f>IF(AND('Mapa final'!$K$10="Baja",'Mapa final'!$O$10="Menor"),CONCATENATE("R",'Mapa final'!$A$10),"")</f>
        <v/>
      </c>
      <c r="W66" s="449"/>
      <c r="X66" s="449" t="str">
        <f>IF(AND('Mapa final'!$K$13="Baja",'Mapa final'!$O$13="Menor"),CONCATENATE("R",'Mapa final'!$A$13),"")</f>
        <v/>
      </c>
      <c r="Y66" s="449"/>
      <c r="Z66" s="449" t="e">
        <f>IF(AND('Mapa final'!#REF!="Baja",'Mapa final'!#REF!="Menor"),CONCATENATE("R",'Mapa final'!#REF!),"")</f>
        <v>#REF!</v>
      </c>
      <c r="AA66" s="449"/>
      <c r="AB66" s="449" t="str">
        <f>IF(AND('Mapa final'!$K$16="Baja",'Mapa final'!$O$16="Menor"),CONCATENATE("R",'Mapa final'!$A$16),"")</f>
        <v/>
      </c>
      <c r="AC66" s="464"/>
      <c r="AD66" s="463" t="str">
        <f>IF(AND('Mapa final'!$K$7="Baja",'Mapa final'!$O$7="Moderado"),CONCATENATE("R",'Mapa final'!$A$7),"")</f>
        <v>R1</v>
      </c>
      <c r="AE66" s="449"/>
      <c r="AF66" s="449" t="str">
        <f>IF(AND('Mapa final'!$K$10="Baja",'Mapa final'!$O$10="Moderado"),CONCATENATE("R",'Mapa final'!$A$10),"")</f>
        <v/>
      </c>
      <c r="AG66" s="449"/>
      <c r="AH66" s="449" t="str">
        <f>IF(AND('Mapa final'!$K$13="Baja",'Mapa final'!$O$13="Moderado"),CONCATENATE("R",'Mapa final'!$A$13),"")</f>
        <v/>
      </c>
      <c r="AI66" s="449"/>
      <c r="AJ66" s="449" t="e">
        <f>IF(AND('Mapa final'!#REF!="Baja",'Mapa final'!#REF!="Moderado"),CONCATENATE("R",'Mapa final'!#REF!),"")</f>
        <v>#REF!</v>
      </c>
      <c r="AK66" s="449"/>
      <c r="AL66" s="449" t="str">
        <f>IF(AND('Mapa final'!$K$16="Baja",'Mapa final'!$O$16="Moderado"),CONCATENATE("R",'Mapa final'!$A$16),"")</f>
        <v/>
      </c>
      <c r="AM66" s="464"/>
      <c r="AN66" s="479" t="str">
        <f>IF(AND('Mapa final'!$K$7="Baja",'Mapa final'!$O$7="Mayor"),CONCATENATE("R",'Mapa final'!$A$7),"")</f>
        <v/>
      </c>
      <c r="AO66" s="480"/>
      <c r="AP66" s="480" t="str">
        <f>IF(AND('Mapa final'!$K$10="Baja",'Mapa final'!$O$10="Mayor"),CONCATENATE("R",'Mapa final'!$A$10),"")</f>
        <v/>
      </c>
      <c r="AQ66" s="480"/>
      <c r="AR66" s="480" t="str">
        <f>IF(AND('Mapa final'!$K$13="Baja",'Mapa final'!$O$13="Mayor"),CONCATENATE("R",'Mapa final'!$A$13),"")</f>
        <v/>
      </c>
      <c r="AS66" s="480"/>
      <c r="AT66" s="480" t="e">
        <f>IF(AND('Mapa final'!#REF!="Baja",'Mapa final'!#REF!="Mayor"),CONCATENATE("R",'Mapa final'!#REF!),"")</f>
        <v>#REF!</v>
      </c>
      <c r="AU66" s="480"/>
      <c r="AV66" s="480" t="str">
        <f>IF(AND('Mapa final'!$K$16="Baja",'Mapa final'!$O$16="Mayor"),CONCATENATE("R",'Mapa final'!$A$16),"")</f>
        <v/>
      </c>
      <c r="AW66" s="481"/>
      <c r="AX66" s="471" t="str">
        <f>IF(AND('Mapa final'!$K$7="Baja",'Mapa final'!$O$7="Catastrófico"),CONCATENATE("R",'Mapa final'!$A$7),"")</f>
        <v/>
      </c>
      <c r="AY66" s="472"/>
      <c r="AZ66" s="472" t="str">
        <f>IF(AND('Mapa final'!$K$10="Baja",'Mapa final'!$O$10="Catastrófico"),CONCATENATE("R",'Mapa final'!$A$10),"")</f>
        <v/>
      </c>
      <c r="BA66" s="472"/>
      <c r="BB66" s="472" t="str">
        <f>IF(AND('Mapa final'!$K$13="Baja",'Mapa final'!$O$13="Catastrófico"),CONCATENATE("R",'Mapa final'!$A$13),"")</f>
        <v/>
      </c>
      <c r="BC66" s="472"/>
      <c r="BD66" s="472" t="e">
        <f>IF(AND('Mapa final'!#REF!="Baja",'Mapa final'!#REF!="Catastrófico"),CONCATENATE("R",'Mapa final'!#REF!),"")</f>
        <v>#REF!</v>
      </c>
      <c r="BE66" s="472"/>
      <c r="BF66" s="472" t="str">
        <f>IF(AND('Mapa final'!$K$16="Baja",'Mapa final'!$O$16="Catastrófico"),CONCATENATE("R",'Mapa final'!$A$16),"")</f>
        <v/>
      </c>
      <c r="BG66" s="473"/>
      <c r="BH66" s="55"/>
      <c r="BI66" s="507"/>
      <c r="BJ66" s="508"/>
      <c r="BK66" s="508"/>
      <c r="BL66" s="508"/>
      <c r="BM66" s="508"/>
      <c r="BN66" s="509"/>
      <c r="BO66" s="55"/>
      <c r="BP66" s="55"/>
      <c r="BQ66" s="55"/>
      <c r="BR66" s="55"/>
      <c r="BS66" s="55"/>
      <c r="BT66" s="55"/>
      <c r="BU66" s="55"/>
      <c r="BV66" s="55"/>
      <c r="BW66" s="55"/>
      <c r="BX66" s="55"/>
      <c r="BY66" s="55"/>
      <c r="BZ66" s="55"/>
      <c r="CA66" s="55"/>
      <c r="CB66" s="55"/>
      <c r="CC66" s="55"/>
      <c r="CD66" s="55"/>
      <c r="CE66" s="55"/>
      <c r="CF66" s="55"/>
      <c r="CG66" s="55"/>
      <c r="CH66" s="55"/>
      <c r="CI66" s="55"/>
      <c r="CJ66" s="55"/>
      <c r="CK66" s="55"/>
      <c r="CL66" s="55"/>
      <c r="CM66" s="55"/>
      <c r="CN66" s="55"/>
      <c r="CO66" s="55"/>
      <c r="CP66" s="55"/>
      <c r="CQ66" s="55"/>
      <c r="CR66" s="55"/>
      <c r="CS66" s="55"/>
      <c r="CT66" s="55"/>
      <c r="CU66" s="55"/>
      <c r="CV66" s="55"/>
    </row>
    <row r="67" spans="1:100" ht="15" customHeight="1" x14ac:dyDescent="0.25">
      <c r="A67" s="55"/>
      <c r="B67" s="301"/>
      <c r="C67" s="301"/>
      <c r="D67" s="302"/>
      <c r="E67" s="454"/>
      <c r="F67" s="455"/>
      <c r="G67" s="455"/>
      <c r="H67" s="455"/>
      <c r="I67" s="455"/>
      <c r="J67" s="437"/>
      <c r="K67" s="438"/>
      <c r="L67" s="438"/>
      <c r="M67" s="438"/>
      <c r="N67" s="438"/>
      <c r="O67" s="438"/>
      <c r="P67" s="438"/>
      <c r="Q67" s="438"/>
      <c r="R67" s="438"/>
      <c r="S67" s="485"/>
      <c r="T67" s="443"/>
      <c r="U67" s="444"/>
      <c r="V67" s="444"/>
      <c r="W67" s="444"/>
      <c r="X67" s="444"/>
      <c r="Y67" s="444"/>
      <c r="Z67" s="444"/>
      <c r="AA67" s="444"/>
      <c r="AB67" s="444"/>
      <c r="AC67" s="447"/>
      <c r="AD67" s="443"/>
      <c r="AE67" s="444"/>
      <c r="AF67" s="444"/>
      <c r="AG67" s="444"/>
      <c r="AH67" s="444"/>
      <c r="AI67" s="444"/>
      <c r="AJ67" s="444"/>
      <c r="AK67" s="444"/>
      <c r="AL67" s="444"/>
      <c r="AM67" s="447"/>
      <c r="AN67" s="476"/>
      <c r="AO67" s="436"/>
      <c r="AP67" s="436"/>
      <c r="AQ67" s="436"/>
      <c r="AR67" s="436"/>
      <c r="AS67" s="436"/>
      <c r="AT67" s="436"/>
      <c r="AU67" s="436"/>
      <c r="AV67" s="436"/>
      <c r="AW67" s="475"/>
      <c r="AX67" s="467"/>
      <c r="AY67" s="465"/>
      <c r="AZ67" s="465"/>
      <c r="BA67" s="465"/>
      <c r="BB67" s="465"/>
      <c r="BC67" s="465"/>
      <c r="BD67" s="465"/>
      <c r="BE67" s="465"/>
      <c r="BF67" s="465"/>
      <c r="BG67" s="466"/>
      <c r="BH67" s="55"/>
      <c r="BI67" s="507"/>
      <c r="BJ67" s="508"/>
      <c r="BK67" s="508"/>
      <c r="BL67" s="508"/>
      <c r="BM67" s="508"/>
      <c r="BN67" s="509"/>
      <c r="BO67" s="55"/>
      <c r="BP67" s="55"/>
      <c r="BQ67" s="55"/>
      <c r="BR67" s="55"/>
      <c r="BS67" s="55"/>
      <c r="BT67" s="55"/>
      <c r="BU67" s="55"/>
      <c r="BV67" s="55"/>
      <c r="BW67" s="55"/>
      <c r="BX67" s="55"/>
      <c r="BY67" s="55"/>
      <c r="BZ67" s="55"/>
      <c r="CA67" s="55"/>
      <c r="CB67" s="55"/>
      <c r="CC67" s="55"/>
      <c r="CD67" s="55"/>
      <c r="CE67" s="55"/>
      <c r="CF67" s="55"/>
      <c r="CG67" s="55"/>
      <c r="CH67" s="55"/>
      <c r="CI67" s="55"/>
      <c r="CJ67" s="55"/>
      <c r="CK67" s="55"/>
      <c r="CL67" s="55"/>
      <c r="CM67" s="55"/>
      <c r="CN67" s="55"/>
      <c r="CO67" s="55"/>
      <c r="CP67" s="55"/>
      <c r="CQ67" s="55"/>
      <c r="CR67" s="55"/>
      <c r="CS67" s="55"/>
      <c r="CT67" s="55"/>
      <c r="CU67" s="55"/>
      <c r="CV67" s="55"/>
    </row>
    <row r="68" spans="1:100" ht="15" customHeight="1" x14ac:dyDescent="0.25">
      <c r="A68" s="55"/>
      <c r="B68" s="301"/>
      <c r="C68" s="301"/>
      <c r="D68" s="302"/>
      <c r="E68" s="454"/>
      <c r="F68" s="455"/>
      <c r="G68" s="455"/>
      <c r="H68" s="455"/>
      <c r="I68" s="455"/>
      <c r="J68" s="437" t="str">
        <f>IF(AND('Mapa final'!$K$19="Baja",'Mapa final'!$O$19="Leve"),CONCATENATE("R",'Mapa final'!$A$19),"")</f>
        <v/>
      </c>
      <c r="K68" s="438"/>
      <c r="L68" s="438" t="str">
        <f>IF(AND('Mapa final'!$K$22="Baja",'Mapa final'!$O$22="Leve"),CONCATENATE("R",'Mapa final'!$A$22),"")</f>
        <v/>
      </c>
      <c r="M68" s="438"/>
      <c r="N68" s="438" t="str">
        <f>IF(AND('Mapa final'!$K$25="Baja",'Mapa final'!$O$25="Leve"),CONCATENATE("R",'Mapa final'!$A$25),"")</f>
        <v/>
      </c>
      <c r="O68" s="438"/>
      <c r="P68" s="438" t="str">
        <f>IF(AND('Mapa final'!$K$28="Baja",'Mapa final'!$O$28="Leve"),CONCATENATE("R",'Mapa final'!$A$28),"")</f>
        <v/>
      </c>
      <c r="Q68" s="438"/>
      <c r="R68" s="438" t="str">
        <f>IF(AND('Mapa final'!$K$31="Baja",'Mapa final'!$O$31="Leve"),CONCATENATE("R",'Mapa final'!$A$31),"")</f>
        <v/>
      </c>
      <c r="S68" s="485"/>
      <c r="T68" s="443" t="str">
        <f>IF(AND('Mapa final'!$K$19="Baja",'Mapa final'!$O$19="Menor"),CONCATENATE("R",'Mapa final'!$A$19),"")</f>
        <v/>
      </c>
      <c r="U68" s="444"/>
      <c r="V68" s="444" t="str">
        <f>IF(AND('Mapa final'!$K$22="Baja",'Mapa final'!$O$22="Menor"),CONCATENATE("R",'Mapa final'!$A$22),"")</f>
        <v/>
      </c>
      <c r="W68" s="444"/>
      <c r="X68" s="444" t="str">
        <f>IF(AND('Mapa final'!$K$25="Baja",'Mapa final'!$O$25="Menor"),CONCATENATE("R",'Mapa final'!$A$25),"")</f>
        <v/>
      </c>
      <c r="Y68" s="444"/>
      <c r="Z68" s="444" t="str">
        <f>IF(AND('Mapa final'!$K$28="Baja",'Mapa final'!$O$28="Menor"),CONCATENATE("R",'Mapa final'!$A$28),"")</f>
        <v/>
      </c>
      <c r="AA68" s="444"/>
      <c r="AB68" s="444" t="str">
        <f>IF(AND('Mapa final'!$K$31="Baja",'Mapa final'!$O$31="Menor"),CONCATENATE("R",'Mapa final'!$A$31),"")</f>
        <v/>
      </c>
      <c r="AC68" s="447"/>
      <c r="AD68" s="443" t="str">
        <f>IF(AND('Mapa final'!$K$19="Baja",'Mapa final'!$O$19="Moderado"),CONCATENATE("R",'Mapa final'!$A$19),"")</f>
        <v/>
      </c>
      <c r="AE68" s="444"/>
      <c r="AF68" s="444" t="str">
        <f>IF(AND('Mapa final'!$K$22="Baja",'Mapa final'!$O$22="Moderado"),CONCATENATE("R",'Mapa final'!$A$22),"")</f>
        <v/>
      </c>
      <c r="AG68" s="444"/>
      <c r="AH68" s="444" t="str">
        <f>IF(AND('Mapa final'!$K$25="Baja",'Mapa final'!$O$25="Moderado"),CONCATENATE("R",'Mapa final'!$A$25),"")</f>
        <v/>
      </c>
      <c r="AI68" s="444"/>
      <c r="AJ68" s="444" t="str">
        <f>IF(AND('Mapa final'!$K$28="Baja",'Mapa final'!$O$28="Moderado"),CONCATENATE("R",'Mapa final'!$A$28),"")</f>
        <v/>
      </c>
      <c r="AK68" s="444"/>
      <c r="AL68" s="444" t="str">
        <f>IF(AND('Mapa final'!$K$31="Baja",'Mapa final'!$O$31="Moderado"),CONCATENATE("R",'Mapa final'!$A$31),"")</f>
        <v/>
      </c>
      <c r="AM68" s="447"/>
      <c r="AN68" s="476" t="str">
        <f>IF(AND('Mapa final'!$K$19="Baja",'Mapa final'!$O$19="Mayor"),CONCATENATE("R",'Mapa final'!$A$19),"")</f>
        <v/>
      </c>
      <c r="AO68" s="436"/>
      <c r="AP68" s="436" t="str">
        <f>IF(AND('Mapa final'!$K$22="Baja",'Mapa final'!$O$22="Mayor"),CONCATENATE("R",'Mapa final'!$A$22),"")</f>
        <v/>
      </c>
      <c r="AQ68" s="436"/>
      <c r="AR68" s="436" t="str">
        <f>IF(AND('Mapa final'!$K$25="Baja",'Mapa final'!$O$25="Mayor"),CONCATENATE("R",'Mapa final'!$A$25),"")</f>
        <v/>
      </c>
      <c r="AS68" s="436"/>
      <c r="AT68" s="436" t="str">
        <f>IF(AND('Mapa final'!$K$28="Baja",'Mapa final'!$O$28="Mayor"),CONCATENATE("R",'Mapa final'!$A$28),"")</f>
        <v/>
      </c>
      <c r="AU68" s="436"/>
      <c r="AV68" s="436" t="str">
        <f>IF(AND('Mapa final'!$K$31="Baja",'Mapa final'!$O$31="Mayor"),CONCATENATE("R",'Mapa final'!$A$31),"")</f>
        <v/>
      </c>
      <c r="AW68" s="475"/>
      <c r="AX68" s="467" t="str">
        <f>IF(AND('Mapa final'!$K$19="Baja",'Mapa final'!$O$19="Catastrófico"),CONCATENATE("R",'Mapa final'!$A$19),"")</f>
        <v/>
      </c>
      <c r="AY68" s="465"/>
      <c r="AZ68" s="465" t="str">
        <f>IF(AND('Mapa final'!$K$22="Baja",'Mapa final'!$O$22="Catastrófico"),CONCATENATE("R",'Mapa final'!$A$22),"")</f>
        <v/>
      </c>
      <c r="BA68" s="465"/>
      <c r="BB68" s="465" t="str">
        <f>IF(AND('Mapa final'!$K$25="Baja",'Mapa final'!$O$25="Catastrófico"),CONCATENATE("R",'Mapa final'!$A$25),"")</f>
        <v/>
      </c>
      <c r="BC68" s="465"/>
      <c r="BD68" s="465" t="str">
        <f>IF(AND('Mapa final'!$K$28="Baja",'Mapa final'!$O$28="Catastrófico"),CONCATENATE("R",'Mapa final'!$A$28),"")</f>
        <v/>
      </c>
      <c r="BE68" s="465"/>
      <c r="BF68" s="465" t="str">
        <f>IF(AND('Mapa final'!$K$31="Baja",'Mapa final'!$O$31="Catastrófico"),CONCATENATE("R",'Mapa final'!$A$31),"")</f>
        <v/>
      </c>
      <c r="BG68" s="466"/>
      <c r="BH68" s="55"/>
      <c r="BI68" s="507"/>
      <c r="BJ68" s="508"/>
      <c r="BK68" s="508"/>
      <c r="BL68" s="508"/>
      <c r="BM68" s="508"/>
      <c r="BN68" s="509"/>
      <c r="BO68" s="55"/>
      <c r="BP68" s="55"/>
      <c r="BQ68" s="55"/>
      <c r="BR68" s="55"/>
      <c r="BS68" s="55"/>
      <c r="BT68" s="55"/>
      <c r="BU68" s="55"/>
      <c r="BV68" s="55"/>
      <c r="BW68" s="55"/>
      <c r="BX68" s="55"/>
      <c r="BY68" s="55"/>
      <c r="BZ68" s="55"/>
      <c r="CA68" s="55"/>
      <c r="CB68" s="55"/>
      <c r="CC68" s="55"/>
      <c r="CD68" s="55"/>
      <c r="CE68" s="55"/>
      <c r="CF68" s="55"/>
      <c r="CG68" s="55"/>
      <c r="CH68" s="55"/>
      <c r="CI68" s="55"/>
      <c r="CJ68" s="55"/>
      <c r="CK68" s="55"/>
      <c r="CL68" s="55"/>
      <c r="CM68" s="55"/>
      <c r="CN68" s="55"/>
      <c r="CO68" s="55"/>
      <c r="CP68" s="55"/>
      <c r="CQ68" s="55"/>
      <c r="CR68" s="55"/>
      <c r="CS68" s="55"/>
      <c r="CT68" s="55"/>
      <c r="CU68" s="55"/>
      <c r="CV68" s="55"/>
    </row>
    <row r="69" spans="1:100" ht="15" customHeight="1" x14ac:dyDescent="0.25">
      <c r="A69" s="55"/>
      <c r="B69" s="301"/>
      <c r="C69" s="301"/>
      <c r="D69" s="302"/>
      <c r="E69" s="454"/>
      <c r="F69" s="455"/>
      <c r="G69" s="455"/>
      <c r="H69" s="455"/>
      <c r="I69" s="455"/>
      <c r="J69" s="437"/>
      <c r="K69" s="438"/>
      <c r="L69" s="438"/>
      <c r="M69" s="438"/>
      <c r="N69" s="438"/>
      <c r="O69" s="438"/>
      <c r="P69" s="438"/>
      <c r="Q69" s="438"/>
      <c r="R69" s="438"/>
      <c r="S69" s="485"/>
      <c r="T69" s="443"/>
      <c r="U69" s="444"/>
      <c r="V69" s="444"/>
      <c r="W69" s="444"/>
      <c r="X69" s="444"/>
      <c r="Y69" s="444"/>
      <c r="Z69" s="444"/>
      <c r="AA69" s="444"/>
      <c r="AB69" s="444"/>
      <c r="AC69" s="447"/>
      <c r="AD69" s="443"/>
      <c r="AE69" s="444"/>
      <c r="AF69" s="444"/>
      <c r="AG69" s="444"/>
      <c r="AH69" s="444"/>
      <c r="AI69" s="444"/>
      <c r="AJ69" s="444"/>
      <c r="AK69" s="444"/>
      <c r="AL69" s="444"/>
      <c r="AM69" s="447"/>
      <c r="AN69" s="476"/>
      <c r="AO69" s="436"/>
      <c r="AP69" s="436"/>
      <c r="AQ69" s="436"/>
      <c r="AR69" s="436"/>
      <c r="AS69" s="436"/>
      <c r="AT69" s="436"/>
      <c r="AU69" s="436"/>
      <c r="AV69" s="436"/>
      <c r="AW69" s="475"/>
      <c r="AX69" s="467"/>
      <c r="AY69" s="465"/>
      <c r="AZ69" s="465"/>
      <c r="BA69" s="465"/>
      <c r="BB69" s="465"/>
      <c r="BC69" s="465"/>
      <c r="BD69" s="465"/>
      <c r="BE69" s="465"/>
      <c r="BF69" s="465"/>
      <c r="BG69" s="466"/>
      <c r="BH69" s="55"/>
      <c r="BI69" s="507"/>
      <c r="BJ69" s="508"/>
      <c r="BK69" s="508"/>
      <c r="BL69" s="508"/>
      <c r="BM69" s="508"/>
      <c r="BN69" s="509"/>
      <c r="BO69" s="55"/>
      <c r="BP69" s="55"/>
      <c r="BQ69" s="55"/>
      <c r="BR69" s="55"/>
      <c r="BS69" s="55"/>
      <c r="BT69" s="55"/>
      <c r="BU69" s="55"/>
      <c r="BV69" s="55"/>
      <c r="BW69" s="55"/>
      <c r="BX69" s="55"/>
      <c r="BY69" s="55"/>
      <c r="BZ69" s="55"/>
      <c r="CA69" s="55"/>
      <c r="CB69" s="55"/>
      <c r="CC69" s="55"/>
      <c r="CD69" s="55"/>
      <c r="CE69" s="55"/>
      <c r="CF69" s="55"/>
      <c r="CG69" s="55"/>
      <c r="CH69" s="55"/>
      <c r="CI69" s="55"/>
      <c r="CJ69" s="55"/>
      <c r="CK69" s="55"/>
      <c r="CL69" s="55"/>
      <c r="CM69" s="55"/>
      <c r="CN69" s="55"/>
      <c r="CO69" s="55"/>
      <c r="CP69" s="55"/>
      <c r="CQ69" s="55"/>
      <c r="CR69" s="55"/>
      <c r="CS69" s="55"/>
      <c r="CT69" s="55"/>
      <c r="CU69" s="55"/>
      <c r="CV69" s="55"/>
    </row>
    <row r="70" spans="1:100" ht="15" customHeight="1" x14ac:dyDescent="0.25">
      <c r="A70" s="55"/>
      <c r="B70" s="301"/>
      <c r="C70" s="301"/>
      <c r="D70" s="302"/>
      <c r="E70" s="454"/>
      <c r="F70" s="455"/>
      <c r="G70" s="455"/>
      <c r="H70" s="455"/>
      <c r="I70" s="455"/>
      <c r="J70" s="437" t="str">
        <f>IF(AND('Mapa final'!$K$34="Baja",'Mapa final'!$O$34="Leve"),CONCATENATE("R",'Mapa final'!$A$34),"")</f>
        <v/>
      </c>
      <c r="K70" s="438"/>
      <c r="L70" s="438" t="str">
        <f>IF(AND('Mapa final'!$K$37="Baja",'Mapa final'!$O$37="Leve"),CONCATENATE("R",'Mapa final'!$A$37),"")</f>
        <v/>
      </c>
      <c r="M70" s="438"/>
      <c r="N70" s="438" t="str">
        <f>IF(AND('Mapa final'!$K$40="Baja",'Mapa final'!$O$40="Leve"),CONCATENATE("R",'Mapa final'!$A$40),"")</f>
        <v/>
      </c>
      <c r="O70" s="438"/>
      <c r="P70" s="438" t="str">
        <f>IF(AND('Mapa final'!$K$43="Baja",'Mapa final'!$O$43="Leve"),CONCATENATE("R",'Mapa final'!$A$43),"")</f>
        <v/>
      </c>
      <c r="Q70" s="438"/>
      <c r="R70" s="438" t="str">
        <f>IF(AND('Mapa final'!$K$46="Baja",'Mapa final'!$O$46="Leve"),CONCATENATE("R",'Mapa final'!$A$46),"")</f>
        <v/>
      </c>
      <c r="S70" s="485"/>
      <c r="T70" s="443" t="str">
        <f>IF(AND('Mapa final'!$K$34="Baja",'Mapa final'!$O$34="Menor"),CONCATENATE("R",'Mapa final'!$A$34),"")</f>
        <v/>
      </c>
      <c r="U70" s="444"/>
      <c r="V70" s="444" t="str">
        <f>IF(AND('Mapa final'!$K$37="Baja",'Mapa final'!$O$37="Menor"),CONCATENATE("R",'Mapa final'!$A$37),"")</f>
        <v/>
      </c>
      <c r="W70" s="444"/>
      <c r="X70" s="444" t="str">
        <f>IF(AND('Mapa final'!$K$40="Baja",'Mapa final'!$O$40="Menor"),CONCATENATE("R",'Mapa final'!$A$40),"")</f>
        <v/>
      </c>
      <c r="Y70" s="444"/>
      <c r="Z70" s="444" t="str">
        <f>IF(AND('Mapa final'!$K$43="Baja",'Mapa final'!$O$43="Menor"),CONCATENATE("R",'Mapa final'!$A$43),"")</f>
        <v/>
      </c>
      <c r="AA70" s="444"/>
      <c r="AB70" s="444" t="str">
        <f>IF(AND('Mapa final'!$K$46="Baja",'Mapa final'!$O$46="Menor"),CONCATENATE("R",'Mapa final'!$A$46),"")</f>
        <v/>
      </c>
      <c r="AC70" s="447"/>
      <c r="AD70" s="443" t="str">
        <f>IF(AND('Mapa final'!$K$34="Baja",'Mapa final'!$O$34="Moderado"),CONCATENATE("R",'Mapa final'!$A$34),"")</f>
        <v/>
      </c>
      <c r="AE70" s="444"/>
      <c r="AF70" s="444" t="str">
        <f>IF(AND('Mapa final'!$K$37="Baja",'Mapa final'!$O$37="Moderado"),CONCATENATE("R",'Mapa final'!$A$37),"")</f>
        <v>R11</v>
      </c>
      <c r="AG70" s="444"/>
      <c r="AH70" s="444" t="str">
        <f>IF(AND('Mapa final'!$K$40="Baja",'Mapa final'!$O$40="Moderado"),CONCATENATE("R",'Mapa final'!$A$40),"")</f>
        <v/>
      </c>
      <c r="AI70" s="444"/>
      <c r="AJ70" s="444" t="str">
        <f>IF(AND('Mapa final'!$K$43="Baja",'Mapa final'!$O$43="Moderado"),CONCATENATE("R",'Mapa final'!$A$43),"")</f>
        <v>R13</v>
      </c>
      <c r="AK70" s="444"/>
      <c r="AL70" s="444" t="str">
        <f>IF(AND('Mapa final'!$K$46="Baja",'Mapa final'!$O$46="Moderado"),CONCATENATE("R",'Mapa final'!$A$46),"")</f>
        <v/>
      </c>
      <c r="AM70" s="447"/>
      <c r="AN70" s="476" t="str">
        <f>IF(AND('Mapa final'!$K$34="Baja",'Mapa final'!$O$34="Mayor"),CONCATENATE("R",'Mapa final'!$A$34),"")</f>
        <v>R10</v>
      </c>
      <c r="AO70" s="436"/>
      <c r="AP70" s="436" t="str">
        <f>IF(AND('Mapa final'!$K$37="Baja",'Mapa final'!$O$37="Mayor"),CONCATENATE("R",'Mapa final'!$A$37),"")</f>
        <v/>
      </c>
      <c r="AQ70" s="436"/>
      <c r="AR70" s="436" t="str">
        <f>IF(AND('Mapa final'!$K$40="Baja",'Mapa final'!$O$40="Mayor"),CONCATENATE("R",'Mapa final'!$A$40),"")</f>
        <v/>
      </c>
      <c r="AS70" s="436"/>
      <c r="AT70" s="436" t="str">
        <f>IF(AND('Mapa final'!$K$43="Baja",'Mapa final'!$O$43="Mayor"),CONCATENATE("R",'Mapa final'!$A$43),"")</f>
        <v/>
      </c>
      <c r="AU70" s="436"/>
      <c r="AV70" s="436" t="str">
        <f>IF(AND('Mapa final'!$K$46="Baja",'Mapa final'!$O$46="Mayor"),CONCATENATE("R",'Mapa final'!$A$46),"")</f>
        <v/>
      </c>
      <c r="AW70" s="475"/>
      <c r="AX70" s="467" t="str">
        <f>IF(AND('Mapa final'!$K$34="Baja",'Mapa final'!$O$34="Catastrófico"),CONCATENATE("R",'Mapa final'!$A$34),"")</f>
        <v/>
      </c>
      <c r="AY70" s="465"/>
      <c r="AZ70" s="465" t="str">
        <f>IF(AND('Mapa final'!$K$37="Baja",'Mapa final'!$O$37="Catastrófico"),CONCATENATE("R",'Mapa final'!$A$37),"")</f>
        <v/>
      </c>
      <c r="BA70" s="465"/>
      <c r="BB70" s="465" t="str">
        <f>IF(AND('Mapa final'!$K$40="Baja",'Mapa final'!$O$40="Catastrófico"),CONCATENATE("R",'Mapa final'!$A$40),"")</f>
        <v/>
      </c>
      <c r="BC70" s="465"/>
      <c r="BD70" s="465" t="str">
        <f>IF(AND('Mapa final'!$K$43="Baja",'Mapa final'!$O$43="Catastrófico"),CONCATENATE("R",'Mapa final'!$A$43),"")</f>
        <v/>
      </c>
      <c r="BE70" s="465"/>
      <c r="BF70" s="465" t="str">
        <f>IF(AND('Mapa final'!$K$46="Baja",'Mapa final'!$O$46="Catastrófico"),CONCATENATE("R",'Mapa final'!$A$46),"")</f>
        <v/>
      </c>
      <c r="BG70" s="466"/>
      <c r="BH70" s="55"/>
      <c r="BI70" s="507"/>
      <c r="BJ70" s="508"/>
      <c r="BK70" s="508"/>
      <c r="BL70" s="508"/>
      <c r="BM70" s="508"/>
      <c r="BN70" s="509"/>
      <c r="BO70" s="55"/>
      <c r="BP70" s="55"/>
      <c r="BQ70" s="55"/>
      <c r="BR70" s="55"/>
      <c r="BS70" s="55"/>
      <c r="BT70" s="55"/>
      <c r="BU70" s="55"/>
      <c r="BV70" s="55"/>
      <c r="BW70" s="55"/>
      <c r="BX70" s="55"/>
      <c r="BY70" s="55"/>
      <c r="BZ70" s="55"/>
      <c r="CA70" s="55"/>
      <c r="CB70" s="55"/>
      <c r="CC70" s="55"/>
      <c r="CD70" s="55"/>
      <c r="CE70" s="55"/>
      <c r="CF70" s="55"/>
      <c r="CG70" s="55"/>
      <c r="CH70" s="55"/>
      <c r="CI70" s="55"/>
      <c r="CJ70" s="55"/>
      <c r="CK70" s="55"/>
      <c r="CL70" s="55"/>
      <c r="CM70" s="55"/>
      <c r="CN70" s="55"/>
      <c r="CO70" s="55"/>
      <c r="CP70" s="55"/>
      <c r="CQ70" s="55"/>
      <c r="CR70" s="55"/>
      <c r="CS70" s="55"/>
      <c r="CT70" s="55"/>
      <c r="CU70" s="55"/>
      <c r="CV70" s="55"/>
    </row>
    <row r="71" spans="1:100" ht="15" customHeight="1" x14ac:dyDescent="0.25">
      <c r="A71" s="55"/>
      <c r="B71" s="301"/>
      <c r="C71" s="301"/>
      <c r="D71" s="302"/>
      <c r="E71" s="454"/>
      <c r="F71" s="455"/>
      <c r="G71" s="455"/>
      <c r="H71" s="455"/>
      <c r="I71" s="455"/>
      <c r="J71" s="437"/>
      <c r="K71" s="438"/>
      <c r="L71" s="438"/>
      <c r="M71" s="438"/>
      <c r="N71" s="438"/>
      <c r="O71" s="438"/>
      <c r="P71" s="438"/>
      <c r="Q71" s="438"/>
      <c r="R71" s="438"/>
      <c r="S71" s="485"/>
      <c r="T71" s="443"/>
      <c r="U71" s="444"/>
      <c r="V71" s="444"/>
      <c r="W71" s="444"/>
      <c r="X71" s="444"/>
      <c r="Y71" s="444"/>
      <c r="Z71" s="444"/>
      <c r="AA71" s="444"/>
      <c r="AB71" s="444"/>
      <c r="AC71" s="447"/>
      <c r="AD71" s="443"/>
      <c r="AE71" s="444"/>
      <c r="AF71" s="444"/>
      <c r="AG71" s="444"/>
      <c r="AH71" s="444"/>
      <c r="AI71" s="444"/>
      <c r="AJ71" s="444"/>
      <c r="AK71" s="444"/>
      <c r="AL71" s="444"/>
      <c r="AM71" s="447"/>
      <c r="AN71" s="476"/>
      <c r="AO71" s="436"/>
      <c r="AP71" s="436"/>
      <c r="AQ71" s="436"/>
      <c r="AR71" s="436"/>
      <c r="AS71" s="436"/>
      <c r="AT71" s="436"/>
      <c r="AU71" s="436"/>
      <c r="AV71" s="436"/>
      <c r="AW71" s="475"/>
      <c r="AX71" s="467"/>
      <c r="AY71" s="465"/>
      <c r="AZ71" s="465"/>
      <c r="BA71" s="465"/>
      <c r="BB71" s="465"/>
      <c r="BC71" s="465"/>
      <c r="BD71" s="465"/>
      <c r="BE71" s="465"/>
      <c r="BF71" s="465"/>
      <c r="BG71" s="466"/>
      <c r="BH71" s="55"/>
      <c r="BI71" s="507"/>
      <c r="BJ71" s="508"/>
      <c r="BK71" s="508"/>
      <c r="BL71" s="508"/>
      <c r="BM71" s="508"/>
      <c r="BN71" s="509"/>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row>
    <row r="72" spans="1:100" ht="15" customHeight="1" x14ac:dyDescent="0.25">
      <c r="A72" s="55"/>
      <c r="B72" s="301"/>
      <c r="C72" s="301"/>
      <c r="D72" s="302"/>
      <c r="E72" s="454"/>
      <c r="F72" s="455"/>
      <c r="G72" s="455"/>
      <c r="H72" s="455"/>
      <c r="I72" s="455"/>
      <c r="J72" s="437" t="str">
        <f>IF(AND('Mapa final'!$K$49="Baja",'Mapa final'!$O$49="Leve"),CONCATENATE("R",'Mapa final'!$A$49),"")</f>
        <v/>
      </c>
      <c r="K72" s="438"/>
      <c r="L72" s="438" t="str">
        <f>IF(AND('Mapa final'!$K$52="Baja",'Mapa final'!$O$52="Leve"),CONCATENATE("R",'Mapa final'!$A$52),"")</f>
        <v/>
      </c>
      <c r="M72" s="438"/>
      <c r="N72" s="438" t="str">
        <f>IF(AND('Mapa final'!$K$55="Baja",'Mapa final'!$O$55="Leve"),CONCATENATE("R",'Mapa final'!$A$55),"")</f>
        <v/>
      </c>
      <c r="O72" s="438"/>
      <c r="P72" s="438" t="str">
        <f>IF(AND('Mapa final'!$K$58="Baja",'Mapa final'!$O$58="Leve"),CONCATENATE("R",'Mapa final'!$A$58),"")</f>
        <v/>
      </c>
      <c r="Q72" s="438"/>
      <c r="R72" s="438" t="str">
        <f>IF(AND('Mapa final'!$K$61="Baja",'Mapa final'!$O$61="Leve"),CONCATENATE("R",'Mapa final'!$A$61),"")</f>
        <v/>
      </c>
      <c r="S72" s="485"/>
      <c r="T72" s="443" t="str">
        <f>IF(AND('Mapa final'!$K$49="Baja",'Mapa final'!$O$49="Menor"),CONCATENATE("R",'Mapa final'!$A$49),"")</f>
        <v/>
      </c>
      <c r="U72" s="444"/>
      <c r="V72" s="444" t="str">
        <f>IF(AND('Mapa final'!$K$52="Baja",'Mapa final'!$O$52="Menor"),CONCATENATE("R",'Mapa final'!$A$52),"")</f>
        <v/>
      </c>
      <c r="W72" s="444"/>
      <c r="X72" s="444" t="str">
        <f>IF(AND('Mapa final'!$K$55="Baja",'Mapa final'!$O$55="Menor"),CONCATENATE("R",'Mapa final'!$A$55),"")</f>
        <v/>
      </c>
      <c r="Y72" s="444"/>
      <c r="Z72" s="444" t="str">
        <f>IF(AND('Mapa final'!$K$58="Baja",'Mapa final'!$O$58="Menor"),CONCATENATE("R",'Mapa final'!$A$58),"")</f>
        <v/>
      </c>
      <c r="AA72" s="444"/>
      <c r="AB72" s="444" t="str">
        <f>IF(AND('Mapa final'!$K$61="Baja",'Mapa final'!$O$61="Menor"),CONCATENATE("R",'Mapa final'!$A$61),"")</f>
        <v/>
      </c>
      <c r="AC72" s="447"/>
      <c r="AD72" s="443" t="str">
        <f>IF(AND('Mapa final'!$K$49="Baja",'Mapa final'!$O$49="Moderado"),CONCATENATE("R",'Mapa final'!$A$49),"")</f>
        <v/>
      </c>
      <c r="AE72" s="444"/>
      <c r="AF72" s="444" t="str">
        <f>IF(AND('Mapa final'!$K$52="Baja",'Mapa final'!$O$52="Moderado"),CONCATENATE("R",'Mapa final'!$A$52),"")</f>
        <v/>
      </c>
      <c r="AG72" s="444"/>
      <c r="AH72" s="444" t="str">
        <f>IF(AND('Mapa final'!$K$55="Baja",'Mapa final'!$O$55="Moderado"),CONCATENATE("R",'Mapa final'!$A$55),"")</f>
        <v/>
      </c>
      <c r="AI72" s="444"/>
      <c r="AJ72" s="444" t="str">
        <f>IF(AND('Mapa final'!$K$58="Baja",'Mapa final'!$O$58="Moderado"),CONCATENATE("R",'Mapa final'!$A$58),"")</f>
        <v/>
      </c>
      <c r="AK72" s="444"/>
      <c r="AL72" s="444" t="str">
        <f>IF(AND('Mapa final'!$K$61="Baja",'Mapa final'!$O$61="Moderado"),CONCATENATE("R",'Mapa final'!$A$61),"")</f>
        <v/>
      </c>
      <c r="AM72" s="447"/>
      <c r="AN72" s="476" t="str">
        <f>IF(AND('Mapa final'!$K$49="Baja",'Mapa final'!$O$49="Mayor"),CONCATENATE("R",'Mapa final'!$A$49),"")</f>
        <v/>
      </c>
      <c r="AO72" s="436"/>
      <c r="AP72" s="436" t="str">
        <f>IF(AND('Mapa final'!$K$52="Baja",'Mapa final'!$O$52="Mayor"),CONCATENATE("R",'Mapa final'!$A$52),"")</f>
        <v/>
      </c>
      <c r="AQ72" s="436"/>
      <c r="AR72" s="436" t="str">
        <f>IF(AND('Mapa final'!$K$55="Baja",'Mapa final'!$O$55="Mayor"),CONCATENATE("R",'Mapa final'!$A$55),"")</f>
        <v/>
      </c>
      <c r="AS72" s="436"/>
      <c r="AT72" s="436" t="str">
        <f>IF(AND('Mapa final'!$K$58="Baja",'Mapa final'!$O$58="Mayor"),CONCATENATE("R",'Mapa final'!$A$58),"")</f>
        <v/>
      </c>
      <c r="AU72" s="436"/>
      <c r="AV72" s="436" t="str">
        <f>IF(AND('Mapa final'!$K$61="Baja",'Mapa final'!$O$61="Mayor"),CONCATENATE("R",'Mapa final'!$A$61),"")</f>
        <v/>
      </c>
      <c r="AW72" s="475"/>
      <c r="AX72" s="467" t="str">
        <f>IF(AND('Mapa final'!$K$49="Baja",'Mapa final'!$O$49="Catastrófico"),CONCATENATE("R",'Mapa final'!$A$49),"")</f>
        <v/>
      </c>
      <c r="AY72" s="465"/>
      <c r="AZ72" s="465" t="str">
        <f>IF(AND('Mapa final'!$K$52="Baja",'Mapa final'!$O$52="Catastrófico"),CONCATENATE("R",'Mapa final'!$A$52),"")</f>
        <v/>
      </c>
      <c r="BA72" s="465"/>
      <c r="BB72" s="465" t="str">
        <f>IF(AND('Mapa final'!$K$55="Baja",'Mapa final'!$O$55="Catastrófico"),CONCATENATE("R",'Mapa final'!$A$55),"")</f>
        <v/>
      </c>
      <c r="BC72" s="465"/>
      <c r="BD72" s="465" t="str">
        <f>IF(AND('Mapa final'!$K$58="Baja",'Mapa final'!$O$58="Catastrófico"),CONCATENATE("R",'Mapa final'!$A$58),"")</f>
        <v/>
      </c>
      <c r="BE72" s="465"/>
      <c r="BF72" s="465" t="str">
        <f>IF(AND('Mapa final'!$K$61="Baja",'Mapa final'!$O$61="Catastrófico"),CONCATENATE("R",'Mapa final'!$A$61),"")</f>
        <v/>
      </c>
      <c r="BG72" s="466"/>
      <c r="BH72" s="55"/>
      <c r="BI72" s="507"/>
      <c r="BJ72" s="508"/>
      <c r="BK72" s="508"/>
      <c r="BL72" s="508"/>
      <c r="BM72" s="508"/>
      <c r="BN72" s="509"/>
      <c r="BO72" s="55"/>
      <c r="BP72" s="55"/>
      <c r="BQ72" s="55"/>
      <c r="BR72" s="55"/>
      <c r="BS72" s="55"/>
      <c r="BT72" s="55"/>
      <c r="BU72" s="55"/>
      <c r="BV72" s="55"/>
      <c r="BW72" s="55"/>
      <c r="BX72" s="55"/>
      <c r="BY72" s="55"/>
      <c r="BZ72" s="55"/>
      <c r="CA72" s="55"/>
      <c r="CB72" s="55"/>
      <c r="CC72" s="55"/>
      <c r="CD72" s="55"/>
      <c r="CE72" s="55"/>
      <c r="CF72" s="55"/>
      <c r="CG72" s="55"/>
      <c r="CH72" s="55"/>
      <c r="CI72" s="55"/>
      <c r="CJ72" s="55"/>
      <c r="CK72" s="55"/>
      <c r="CL72" s="55"/>
      <c r="CM72" s="55"/>
      <c r="CN72" s="55"/>
      <c r="CO72" s="55"/>
      <c r="CP72" s="55"/>
      <c r="CQ72" s="55"/>
      <c r="CR72" s="55"/>
      <c r="CS72" s="55"/>
      <c r="CT72" s="55"/>
      <c r="CU72" s="55"/>
      <c r="CV72" s="55"/>
    </row>
    <row r="73" spans="1:100" ht="15" customHeight="1" thickBot="1" x14ac:dyDescent="0.3">
      <c r="A73" s="55"/>
      <c r="B73" s="301"/>
      <c r="C73" s="301"/>
      <c r="D73" s="302"/>
      <c r="E73" s="454"/>
      <c r="F73" s="455"/>
      <c r="G73" s="455"/>
      <c r="H73" s="455"/>
      <c r="I73" s="455"/>
      <c r="J73" s="437"/>
      <c r="K73" s="438"/>
      <c r="L73" s="438"/>
      <c r="M73" s="438"/>
      <c r="N73" s="438"/>
      <c r="O73" s="438"/>
      <c r="P73" s="438"/>
      <c r="Q73" s="438"/>
      <c r="R73" s="438"/>
      <c r="S73" s="485"/>
      <c r="T73" s="443"/>
      <c r="U73" s="444"/>
      <c r="V73" s="444"/>
      <c r="W73" s="444"/>
      <c r="X73" s="444"/>
      <c r="Y73" s="444"/>
      <c r="Z73" s="444"/>
      <c r="AA73" s="444"/>
      <c r="AB73" s="444"/>
      <c r="AC73" s="447"/>
      <c r="AD73" s="443"/>
      <c r="AE73" s="444"/>
      <c r="AF73" s="444"/>
      <c r="AG73" s="444"/>
      <c r="AH73" s="444"/>
      <c r="AI73" s="444"/>
      <c r="AJ73" s="444"/>
      <c r="AK73" s="444"/>
      <c r="AL73" s="444"/>
      <c r="AM73" s="447"/>
      <c r="AN73" s="476"/>
      <c r="AO73" s="436"/>
      <c r="AP73" s="436"/>
      <c r="AQ73" s="436"/>
      <c r="AR73" s="436"/>
      <c r="AS73" s="436"/>
      <c r="AT73" s="436"/>
      <c r="AU73" s="436"/>
      <c r="AV73" s="436"/>
      <c r="AW73" s="475"/>
      <c r="AX73" s="467"/>
      <c r="AY73" s="465"/>
      <c r="AZ73" s="465"/>
      <c r="BA73" s="465"/>
      <c r="BB73" s="465"/>
      <c r="BC73" s="465"/>
      <c r="BD73" s="465"/>
      <c r="BE73" s="465"/>
      <c r="BF73" s="465"/>
      <c r="BG73" s="466"/>
      <c r="BH73" s="55"/>
      <c r="BI73" s="510"/>
      <c r="BJ73" s="511"/>
      <c r="BK73" s="511"/>
      <c r="BL73" s="511"/>
      <c r="BM73" s="511"/>
      <c r="BN73" s="512"/>
      <c r="BO73" s="55"/>
      <c r="BP73" s="55"/>
      <c r="BQ73" s="55"/>
      <c r="BR73" s="55"/>
      <c r="BS73" s="55"/>
      <c r="BT73" s="55"/>
      <c r="BU73" s="55"/>
      <c r="BV73" s="55"/>
      <c r="BW73" s="55"/>
      <c r="BX73" s="55"/>
      <c r="BY73" s="55"/>
      <c r="BZ73" s="55"/>
      <c r="CA73" s="55"/>
      <c r="CB73" s="55"/>
      <c r="CC73" s="55"/>
      <c r="CD73" s="55"/>
      <c r="CE73" s="55"/>
      <c r="CF73" s="55"/>
      <c r="CG73" s="55"/>
      <c r="CH73" s="55"/>
      <c r="CI73" s="55"/>
      <c r="CJ73" s="55"/>
      <c r="CK73" s="55"/>
      <c r="CL73" s="55"/>
      <c r="CM73" s="55"/>
      <c r="CN73" s="55"/>
      <c r="CO73" s="55"/>
      <c r="CP73" s="55"/>
      <c r="CQ73" s="55"/>
      <c r="CR73" s="55"/>
      <c r="CS73" s="55"/>
      <c r="CT73" s="55"/>
      <c r="CU73" s="55"/>
      <c r="CV73" s="55"/>
    </row>
    <row r="74" spans="1:100" ht="15" customHeight="1" x14ac:dyDescent="0.25">
      <c r="A74" s="55"/>
      <c r="B74" s="301"/>
      <c r="C74" s="301"/>
      <c r="D74" s="302"/>
      <c r="E74" s="454"/>
      <c r="F74" s="455"/>
      <c r="G74" s="455"/>
      <c r="H74" s="455"/>
      <c r="I74" s="455"/>
      <c r="J74" s="437" t="str">
        <f>IF(AND('Mapa final'!$K$64="Baja",'Mapa final'!$O$64="Leve"),CONCATENATE("R",'Mapa final'!$A$64),"")</f>
        <v>R20</v>
      </c>
      <c r="K74" s="438"/>
      <c r="L74" s="438" t="str">
        <f>IF(AND('Mapa final'!$K$67="Baja",'Mapa final'!$O$67="Leve"),CONCATENATE("R",'Mapa final'!$A$67),"")</f>
        <v/>
      </c>
      <c r="M74" s="438"/>
      <c r="N74" s="438" t="str">
        <f>IF(AND('Mapa final'!$K$73="Baja",'Mapa final'!$O$73="Leve"),CONCATENATE("R",'Mapa final'!$A$73),"")</f>
        <v/>
      </c>
      <c r="O74" s="438"/>
      <c r="P74" s="438" t="str">
        <f>IF(AND('Mapa final'!$K$76="Baja",'Mapa final'!$O$76="Leve"),CONCATENATE("R",'Mapa final'!$A$76),"")</f>
        <v/>
      </c>
      <c r="Q74" s="438"/>
      <c r="R74" s="438" t="str">
        <f>IF(AND('Mapa final'!$K$79="Baja",'Mapa final'!$O$79="Leve"),CONCATENATE("R",'Mapa final'!$A$79),"")</f>
        <v/>
      </c>
      <c r="S74" s="485"/>
      <c r="T74" s="443" t="str">
        <f>IF(AND('Mapa final'!$K$64="Baja",'Mapa final'!$O$64="Menor"),CONCATENATE("R",'Mapa final'!$A$64),"")</f>
        <v/>
      </c>
      <c r="U74" s="444"/>
      <c r="V74" s="444" t="str">
        <f>IF(AND('Mapa final'!$K$67="Baja",'Mapa final'!$O$67="Menor"),CONCATENATE("R",'Mapa final'!$A$67),"")</f>
        <v>R21</v>
      </c>
      <c r="W74" s="444"/>
      <c r="X74" s="444" t="str">
        <f>IF(AND('Mapa final'!$K$73="Baja",'Mapa final'!$O$73="Menor"),CONCATENATE("R",'Mapa final'!$A$73),"")</f>
        <v/>
      </c>
      <c r="Y74" s="444"/>
      <c r="Z74" s="444" t="str">
        <f>IF(AND('Mapa final'!$K$76="Baja",'Mapa final'!$O$76="Menor"),CONCATENATE("R",'Mapa final'!$A$76),"")</f>
        <v/>
      </c>
      <c r="AA74" s="444"/>
      <c r="AB74" s="444" t="str">
        <f>IF(AND('Mapa final'!$K$79="Baja",'Mapa final'!$O$79="Menor"),CONCATENATE("R",'Mapa final'!$A$79),"")</f>
        <v/>
      </c>
      <c r="AC74" s="447"/>
      <c r="AD74" s="443" t="str">
        <f>IF(AND('Mapa final'!$K$64="Baja",'Mapa final'!$O$64="Moderado"),CONCATENATE("R",'Mapa final'!$A$64),"")</f>
        <v/>
      </c>
      <c r="AE74" s="444"/>
      <c r="AF74" s="444" t="str">
        <f>IF(AND('Mapa final'!$K$67="Baja",'Mapa final'!$O$67="Moderado"),CONCATENATE("R",'Mapa final'!$A$67),"")</f>
        <v/>
      </c>
      <c r="AG74" s="444"/>
      <c r="AH74" s="444" t="str">
        <f>IF(AND('Mapa final'!$K$73="Baja",'Mapa final'!$O$73="Moderado"),CONCATENATE("R",'Mapa final'!$A$73),"")</f>
        <v/>
      </c>
      <c r="AI74" s="444"/>
      <c r="AJ74" s="444" t="str">
        <f>IF(AND('Mapa final'!$K$76="Baja",'Mapa final'!$O$76="Moderado"),CONCATENATE("R",'Mapa final'!$A$76),"")</f>
        <v>R24</v>
      </c>
      <c r="AK74" s="444"/>
      <c r="AL74" s="444" t="str">
        <f>IF(AND('Mapa final'!$K$79="Baja",'Mapa final'!$O$79="Moderado"),CONCATENATE("R",'Mapa final'!$A$79),"")</f>
        <v>R25</v>
      </c>
      <c r="AM74" s="447"/>
      <c r="AN74" s="476" t="str">
        <f>IF(AND('Mapa final'!$K$64="Baja",'Mapa final'!$O$64="Mayor"),CONCATENATE("R",'Mapa final'!$A$64),"")</f>
        <v/>
      </c>
      <c r="AO74" s="436"/>
      <c r="AP74" s="436" t="str">
        <f>IF(AND('Mapa final'!$K$67="Baja",'Mapa final'!$O$67="Mayor"),CONCATENATE("R",'Mapa final'!$A$67),"")</f>
        <v/>
      </c>
      <c r="AQ74" s="436"/>
      <c r="AR74" s="436" t="str">
        <f>IF(AND('Mapa final'!$K$73="Baja",'Mapa final'!$O$73="Mayor"),CONCATENATE("R",'Mapa final'!$A$73),"")</f>
        <v/>
      </c>
      <c r="AS74" s="436"/>
      <c r="AT74" s="436" t="str">
        <f>IF(AND('Mapa final'!$K$76="Baja",'Mapa final'!$O$76="Mayor"),CONCATENATE("R",'Mapa final'!$A$76),"")</f>
        <v/>
      </c>
      <c r="AU74" s="436"/>
      <c r="AV74" s="436" t="str">
        <f>IF(AND('Mapa final'!$K$79="Baja",'Mapa final'!$O$79="Mayor"),CONCATENATE("R",'Mapa final'!$A$79),"")</f>
        <v/>
      </c>
      <c r="AW74" s="475"/>
      <c r="AX74" s="467" t="str">
        <f>IF(AND('Mapa final'!$K$64="Baja",'Mapa final'!$O$64="Catastrófico"),CONCATENATE("R",'Mapa final'!$A$64),"")</f>
        <v/>
      </c>
      <c r="AY74" s="465"/>
      <c r="AZ74" s="465" t="str">
        <f>IF(AND('Mapa final'!$K$67="Baja",'Mapa final'!$O$67="Catastrófico"),CONCATENATE("R",'Mapa final'!$A$67),"")</f>
        <v/>
      </c>
      <c r="BA74" s="465"/>
      <c r="BB74" s="465" t="str">
        <f>IF(AND('Mapa final'!$K$73="Baja",'Mapa final'!$O$73="Catastrófico"),CONCATENATE("R",'Mapa final'!$A$73),"")</f>
        <v/>
      </c>
      <c r="BC74" s="465"/>
      <c r="BD74" s="465" t="str">
        <f>IF(AND('Mapa final'!$K$76="Baja",'Mapa final'!$O$76="Catastrófico"),CONCATENATE("R",'Mapa final'!$A$76),"")</f>
        <v/>
      </c>
      <c r="BE74" s="465"/>
      <c r="BF74" s="465" t="str">
        <f>IF(AND('Mapa final'!$K$79="Baja",'Mapa final'!$O$79="Catastrófico"),CONCATENATE("R",'Mapa final'!$A$79),"")</f>
        <v/>
      </c>
      <c r="BG74" s="466"/>
      <c r="BH74" s="55"/>
      <c r="BI74" s="513" t="s">
        <v>76</v>
      </c>
      <c r="BJ74" s="514"/>
      <c r="BK74" s="514"/>
      <c r="BL74" s="514"/>
      <c r="BM74" s="514"/>
      <c r="BN74" s="515"/>
      <c r="BO74" s="55"/>
      <c r="BP74" s="55"/>
      <c r="BQ74" s="55"/>
      <c r="BR74" s="55"/>
      <c r="BS74" s="55"/>
      <c r="BT74" s="55"/>
      <c r="BU74" s="55"/>
      <c r="BV74" s="55"/>
      <c r="BW74" s="55"/>
      <c r="BX74" s="55"/>
      <c r="BY74" s="55"/>
      <c r="BZ74" s="55"/>
      <c r="CA74" s="55"/>
      <c r="CB74" s="55"/>
      <c r="CC74" s="55"/>
      <c r="CD74" s="55"/>
      <c r="CE74" s="55"/>
      <c r="CF74" s="55"/>
      <c r="CG74" s="55"/>
      <c r="CH74" s="55"/>
      <c r="CI74" s="55"/>
      <c r="CJ74" s="55"/>
      <c r="CK74" s="55"/>
      <c r="CL74" s="55"/>
      <c r="CM74" s="55"/>
      <c r="CN74" s="55"/>
      <c r="CO74" s="55"/>
      <c r="CP74" s="55"/>
      <c r="CQ74" s="55"/>
      <c r="CR74" s="55"/>
      <c r="CS74" s="55"/>
      <c r="CT74" s="55"/>
      <c r="CU74" s="55"/>
      <c r="CV74" s="55"/>
    </row>
    <row r="75" spans="1:100" ht="15" customHeight="1" x14ac:dyDescent="0.25">
      <c r="A75" s="55"/>
      <c r="B75" s="301"/>
      <c r="C75" s="301"/>
      <c r="D75" s="302"/>
      <c r="E75" s="454"/>
      <c r="F75" s="455"/>
      <c r="G75" s="455"/>
      <c r="H75" s="455"/>
      <c r="I75" s="455"/>
      <c r="J75" s="437"/>
      <c r="K75" s="438"/>
      <c r="L75" s="438"/>
      <c r="M75" s="438"/>
      <c r="N75" s="438"/>
      <c r="O75" s="438"/>
      <c r="P75" s="438"/>
      <c r="Q75" s="438"/>
      <c r="R75" s="438"/>
      <c r="S75" s="485"/>
      <c r="T75" s="443"/>
      <c r="U75" s="444"/>
      <c r="V75" s="444"/>
      <c r="W75" s="444"/>
      <c r="X75" s="444"/>
      <c r="Y75" s="444"/>
      <c r="Z75" s="444"/>
      <c r="AA75" s="444"/>
      <c r="AB75" s="444"/>
      <c r="AC75" s="447"/>
      <c r="AD75" s="443"/>
      <c r="AE75" s="444"/>
      <c r="AF75" s="444"/>
      <c r="AG75" s="444"/>
      <c r="AH75" s="444"/>
      <c r="AI75" s="444"/>
      <c r="AJ75" s="444"/>
      <c r="AK75" s="444"/>
      <c r="AL75" s="444"/>
      <c r="AM75" s="447"/>
      <c r="AN75" s="476"/>
      <c r="AO75" s="436"/>
      <c r="AP75" s="436"/>
      <c r="AQ75" s="436"/>
      <c r="AR75" s="436"/>
      <c r="AS75" s="436"/>
      <c r="AT75" s="436"/>
      <c r="AU75" s="436"/>
      <c r="AV75" s="436"/>
      <c r="AW75" s="475"/>
      <c r="AX75" s="467"/>
      <c r="AY75" s="465"/>
      <c r="AZ75" s="465"/>
      <c r="BA75" s="465"/>
      <c r="BB75" s="465"/>
      <c r="BC75" s="465"/>
      <c r="BD75" s="465"/>
      <c r="BE75" s="465"/>
      <c r="BF75" s="465"/>
      <c r="BG75" s="466"/>
      <c r="BH75" s="55"/>
      <c r="BI75" s="516"/>
      <c r="BJ75" s="517"/>
      <c r="BK75" s="517"/>
      <c r="BL75" s="517"/>
      <c r="BM75" s="517"/>
      <c r="BN75" s="518"/>
      <c r="BO75" s="55"/>
      <c r="BP75" s="55"/>
      <c r="BQ75" s="55"/>
      <c r="BR75" s="55"/>
      <c r="BS75" s="55"/>
      <c r="BT75" s="55"/>
      <c r="BU75" s="55"/>
      <c r="BV75" s="55"/>
      <c r="BW75" s="55"/>
      <c r="BX75" s="55"/>
      <c r="BY75" s="55"/>
      <c r="BZ75" s="55"/>
      <c r="CA75" s="55"/>
      <c r="CB75" s="55"/>
      <c r="CC75" s="55"/>
      <c r="CD75" s="55"/>
      <c r="CE75" s="55"/>
      <c r="CF75" s="55"/>
      <c r="CG75" s="55"/>
      <c r="CH75" s="55"/>
      <c r="CI75" s="55"/>
      <c r="CJ75" s="55"/>
      <c r="CK75" s="55"/>
      <c r="CL75" s="55"/>
      <c r="CM75" s="55"/>
      <c r="CN75" s="55"/>
      <c r="CO75" s="55"/>
      <c r="CP75" s="55"/>
      <c r="CQ75" s="55"/>
      <c r="CR75" s="55"/>
      <c r="CS75" s="55"/>
      <c r="CT75" s="55"/>
      <c r="CU75" s="55"/>
      <c r="CV75" s="55"/>
    </row>
    <row r="76" spans="1:100" ht="15" customHeight="1" x14ac:dyDescent="0.25">
      <c r="A76" s="55"/>
      <c r="B76" s="301"/>
      <c r="C76" s="301"/>
      <c r="D76" s="302"/>
      <c r="E76" s="454"/>
      <c r="F76" s="455"/>
      <c r="G76" s="455"/>
      <c r="H76" s="455"/>
      <c r="I76" s="455"/>
      <c r="J76" s="437" t="str">
        <f>IF(AND('Mapa final'!$K$82="Baja",'Mapa final'!$O$82="Leve"),CONCATENATE("R",'Mapa final'!$A$82),"")</f>
        <v/>
      </c>
      <c r="K76" s="438"/>
      <c r="L76" s="438" t="str">
        <f>IF(AND('Mapa final'!$K$85="Baja",'Mapa final'!$O$85="Leve"),CONCATENATE("R",'Mapa final'!$A$85),"")</f>
        <v/>
      </c>
      <c r="M76" s="438"/>
      <c r="N76" s="438" t="str">
        <f>IF(AND('Mapa final'!$K$88="Baja",'Mapa final'!$O$88="Leve"),CONCATENATE("R",'Mapa final'!$A$88),"")</f>
        <v/>
      </c>
      <c r="O76" s="438"/>
      <c r="P76" s="438" t="str">
        <f>IF(AND('Mapa final'!$K$91="Baja",'Mapa final'!$O$91="Leve"),CONCATENATE("R",'Mapa final'!$A$91),"")</f>
        <v/>
      </c>
      <c r="Q76" s="438"/>
      <c r="R76" s="438" t="str">
        <f>IF(AND('Mapa final'!$K$94="Baja",'Mapa final'!$O$94="Leve"),CONCATENATE("R",'Mapa final'!$A$94),"")</f>
        <v/>
      </c>
      <c r="S76" s="485"/>
      <c r="T76" s="443" t="str">
        <f>IF(AND('Mapa final'!$K$82="Baja",'Mapa final'!$O$82="Menor"),CONCATENATE("R",'Mapa final'!$A$82),"")</f>
        <v/>
      </c>
      <c r="U76" s="444"/>
      <c r="V76" s="444" t="str">
        <f>IF(AND('Mapa final'!$K$85="Baja",'Mapa final'!$O$85="Menor"),CONCATENATE("R",'Mapa final'!$A$85),"")</f>
        <v/>
      </c>
      <c r="W76" s="444"/>
      <c r="X76" s="444" t="str">
        <f>IF(AND('Mapa final'!$K$88="Baja",'Mapa final'!$O$88="Menor"),CONCATENATE("R",'Mapa final'!$A$88),"")</f>
        <v/>
      </c>
      <c r="Y76" s="444"/>
      <c r="Z76" s="444" t="str">
        <f>IF(AND('Mapa final'!$K$91="Baja",'Mapa final'!$O$91="Menor"),CONCATENATE("R",'Mapa final'!$A$91),"")</f>
        <v/>
      </c>
      <c r="AA76" s="444"/>
      <c r="AB76" s="444" t="str">
        <f>IF(AND('Mapa final'!$K$94="Baja",'Mapa final'!$O$94="Menor"),CONCATENATE("R",'Mapa final'!$A$94),"")</f>
        <v/>
      </c>
      <c r="AC76" s="447"/>
      <c r="AD76" s="443" t="str">
        <f>IF(AND('Mapa final'!$K$82="Baja",'Mapa final'!$O$82="Moderado"),CONCATENATE("R",'Mapa final'!$A$82),"")</f>
        <v/>
      </c>
      <c r="AE76" s="444"/>
      <c r="AF76" s="444" t="str">
        <f>IF(AND('Mapa final'!$K$85="Baja",'Mapa final'!$O$85="Moderado"),CONCATENATE("R",'Mapa final'!$A$85),"")</f>
        <v>R27</v>
      </c>
      <c r="AG76" s="444"/>
      <c r="AH76" s="444" t="str">
        <f>IF(AND('Mapa final'!$K$88="Baja",'Mapa final'!$O$88="Moderado"),CONCATENATE("R",'Mapa final'!$A$88),"")</f>
        <v/>
      </c>
      <c r="AI76" s="444"/>
      <c r="AJ76" s="444" t="str">
        <f>IF(AND('Mapa final'!$K$91="Baja",'Mapa final'!$O$91="Moderado"),CONCATENATE("R",'Mapa final'!$A$91),"")</f>
        <v/>
      </c>
      <c r="AK76" s="444"/>
      <c r="AL76" s="444" t="str">
        <f>IF(AND('Mapa final'!$K$94="Baja",'Mapa final'!$O$94="Moderado"),CONCATENATE("R",'Mapa final'!$A$94),"")</f>
        <v/>
      </c>
      <c r="AM76" s="447"/>
      <c r="AN76" s="476" t="str">
        <f>IF(AND('Mapa final'!$K$82="Baja",'Mapa final'!$O$82="Mayor"),CONCATENATE("R",'Mapa final'!$A$82),"")</f>
        <v/>
      </c>
      <c r="AO76" s="436"/>
      <c r="AP76" s="436" t="str">
        <f>IF(AND('Mapa final'!$K$85="Baja",'Mapa final'!$O$85="Mayor"),CONCATENATE("R",'Mapa final'!$A$85),"")</f>
        <v/>
      </c>
      <c r="AQ76" s="436"/>
      <c r="AR76" s="436" t="str">
        <f>IF(AND('Mapa final'!$K$88="Baja",'Mapa final'!$O$88="Mayor"),CONCATENATE("R",'Mapa final'!$A$88),"")</f>
        <v/>
      </c>
      <c r="AS76" s="436"/>
      <c r="AT76" s="436" t="str">
        <f>IF(AND('Mapa final'!$K$91="Baja",'Mapa final'!$O$91="Mayor"),CONCATENATE("R",'Mapa final'!$A$91),"")</f>
        <v/>
      </c>
      <c r="AU76" s="436"/>
      <c r="AV76" s="436" t="str">
        <f>IF(AND('Mapa final'!$K$94="Baja",'Mapa final'!$O$94="Mayor"),CONCATENATE("R",'Mapa final'!$A$94),"")</f>
        <v/>
      </c>
      <c r="AW76" s="475"/>
      <c r="AX76" s="467" t="str">
        <f>IF(AND('Mapa final'!$K$82="Baja",'Mapa final'!$O$82="Catastrófico"),CONCATENATE("R",'Mapa final'!$A$82),"")</f>
        <v/>
      </c>
      <c r="AY76" s="465"/>
      <c r="AZ76" s="465" t="str">
        <f>IF(AND('Mapa final'!$K$85="Baja",'Mapa final'!$O$85="Catastrófico"),CONCATENATE("R",'Mapa final'!$A$85),"")</f>
        <v/>
      </c>
      <c r="BA76" s="465"/>
      <c r="BB76" s="465" t="str">
        <f>IF(AND('Mapa final'!$K$88="Baja",'Mapa final'!$O$88="Catastrófico"),CONCATENATE("R",'Mapa final'!$A$88),"")</f>
        <v/>
      </c>
      <c r="BC76" s="465"/>
      <c r="BD76" s="465" t="str">
        <f>IF(AND('Mapa final'!$K$91="Baja",'Mapa final'!$O$91="Catastrófico"),CONCATENATE("R",'Mapa final'!$A$91),"")</f>
        <v/>
      </c>
      <c r="BE76" s="465"/>
      <c r="BF76" s="465" t="str">
        <f>IF(AND('Mapa final'!$K$94="Baja",'Mapa final'!$O$94="Catastrófico"),CONCATENATE("R",'Mapa final'!$A$94),"")</f>
        <v/>
      </c>
      <c r="BG76" s="466"/>
      <c r="BH76" s="55"/>
      <c r="BI76" s="516"/>
      <c r="BJ76" s="517"/>
      <c r="BK76" s="517"/>
      <c r="BL76" s="517"/>
      <c r="BM76" s="517"/>
      <c r="BN76" s="518"/>
      <c r="BO76" s="55"/>
      <c r="BP76" s="55"/>
      <c r="BQ76" s="55"/>
      <c r="BR76" s="55"/>
      <c r="BS76" s="55"/>
      <c r="BT76" s="55"/>
      <c r="BU76" s="55"/>
      <c r="BV76" s="55"/>
      <c r="BW76" s="55"/>
      <c r="BX76" s="55"/>
      <c r="BY76" s="55"/>
      <c r="BZ76" s="55"/>
      <c r="CA76" s="55"/>
      <c r="CB76" s="55"/>
      <c r="CC76" s="55"/>
      <c r="CD76" s="55"/>
      <c r="CE76" s="55"/>
      <c r="CF76" s="55"/>
      <c r="CG76" s="55"/>
      <c r="CH76" s="55"/>
      <c r="CI76" s="55"/>
      <c r="CJ76" s="55"/>
      <c r="CK76" s="55"/>
      <c r="CL76" s="55"/>
      <c r="CM76" s="55"/>
      <c r="CN76" s="55"/>
      <c r="CO76" s="55"/>
      <c r="CP76" s="55"/>
      <c r="CQ76" s="55"/>
      <c r="CR76" s="55"/>
      <c r="CS76" s="55"/>
      <c r="CT76" s="55"/>
      <c r="CU76" s="55"/>
      <c r="CV76" s="55"/>
    </row>
    <row r="77" spans="1:100" ht="15" customHeight="1" x14ac:dyDescent="0.25">
      <c r="A77" s="55"/>
      <c r="B77" s="301"/>
      <c r="C77" s="301"/>
      <c r="D77" s="302"/>
      <c r="E77" s="454"/>
      <c r="F77" s="455"/>
      <c r="G77" s="455"/>
      <c r="H77" s="455"/>
      <c r="I77" s="455"/>
      <c r="J77" s="437"/>
      <c r="K77" s="438"/>
      <c r="L77" s="438"/>
      <c r="M77" s="438"/>
      <c r="N77" s="438"/>
      <c r="O77" s="438"/>
      <c r="P77" s="438"/>
      <c r="Q77" s="438"/>
      <c r="R77" s="438"/>
      <c r="S77" s="485"/>
      <c r="T77" s="443"/>
      <c r="U77" s="444"/>
      <c r="V77" s="444"/>
      <c r="W77" s="444"/>
      <c r="X77" s="444"/>
      <c r="Y77" s="444"/>
      <c r="Z77" s="444"/>
      <c r="AA77" s="444"/>
      <c r="AB77" s="444"/>
      <c r="AC77" s="447"/>
      <c r="AD77" s="443"/>
      <c r="AE77" s="444"/>
      <c r="AF77" s="444"/>
      <c r="AG77" s="444"/>
      <c r="AH77" s="444"/>
      <c r="AI77" s="444"/>
      <c r="AJ77" s="444"/>
      <c r="AK77" s="444"/>
      <c r="AL77" s="444"/>
      <c r="AM77" s="447"/>
      <c r="AN77" s="476"/>
      <c r="AO77" s="436"/>
      <c r="AP77" s="436"/>
      <c r="AQ77" s="436"/>
      <c r="AR77" s="436"/>
      <c r="AS77" s="436"/>
      <c r="AT77" s="436"/>
      <c r="AU77" s="436"/>
      <c r="AV77" s="436"/>
      <c r="AW77" s="475"/>
      <c r="AX77" s="467"/>
      <c r="AY77" s="465"/>
      <c r="AZ77" s="465"/>
      <c r="BA77" s="465"/>
      <c r="BB77" s="465"/>
      <c r="BC77" s="465"/>
      <c r="BD77" s="465"/>
      <c r="BE77" s="465"/>
      <c r="BF77" s="465"/>
      <c r="BG77" s="466"/>
      <c r="BH77" s="55"/>
      <c r="BI77" s="516"/>
      <c r="BJ77" s="517"/>
      <c r="BK77" s="517"/>
      <c r="BL77" s="517"/>
      <c r="BM77" s="517"/>
      <c r="BN77" s="518"/>
      <c r="BO77" s="55"/>
      <c r="BP77" s="55"/>
      <c r="BQ77" s="55"/>
      <c r="BR77" s="55"/>
      <c r="BS77" s="55"/>
      <c r="BT77" s="55"/>
      <c r="BU77" s="55"/>
      <c r="BV77" s="55"/>
      <c r="BW77" s="55"/>
      <c r="BX77" s="55"/>
      <c r="BY77" s="55"/>
      <c r="BZ77" s="55"/>
      <c r="CA77" s="55"/>
      <c r="CB77" s="55"/>
      <c r="CC77" s="55"/>
      <c r="CD77" s="55"/>
      <c r="CE77" s="55"/>
      <c r="CF77" s="55"/>
      <c r="CG77" s="55"/>
      <c r="CH77" s="55"/>
      <c r="CI77" s="55"/>
      <c r="CJ77" s="55"/>
      <c r="CK77" s="55"/>
      <c r="CL77" s="55"/>
      <c r="CM77" s="55"/>
      <c r="CN77" s="55"/>
      <c r="CO77" s="55"/>
      <c r="CP77" s="55"/>
      <c r="CQ77" s="55"/>
      <c r="CR77" s="55"/>
      <c r="CS77" s="55"/>
      <c r="CT77" s="55"/>
      <c r="CU77" s="55"/>
      <c r="CV77" s="55"/>
    </row>
    <row r="78" spans="1:100" ht="15" customHeight="1" x14ac:dyDescent="0.25">
      <c r="A78" s="55"/>
      <c r="B78" s="301"/>
      <c r="C78" s="301"/>
      <c r="D78" s="302"/>
      <c r="E78" s="454"/>
      <c r="F78" s="455"/>
      <c r="G78" s="455"/>
      <c r="H78" s="455"/>
      <c r="I78" s="455"/>
      <c r="J78" s="437" t="str">
        <f>IF(AND('Mapa final'!$K$97="Baja",'Mapa final'!$O$97="Leve"),CONCATENATE("R",'Mapa final'!$A$97),"")</f>
        <v/>
      </c>
      <c r="K78" s="438"/>
      <c r="L78" s="438" t="e">
        <f>IF(AND('Mapa final'!#REF!="Baja",'Mapa final'!#REF!="Leve"),CONCATENATE("R",'Mapa final'!#REF!),"")</f>
        <v>#REF!</v>
      </c>
      <c r="M78" s="438"/>
      <c r="N78" s="438" t="str">
        <f>IF(AND('Mapa final'!$K$100="Baja",'Mapa final'!$O$100="Leve"),CONCATENATE("R",'Mapa final'!$A$100),"")</f>
        <v/>
      </c>
      <c r="O78" s="438"/>
      <c r="P78" s="438" t="str">
        <f>IF(AND('Mapa final'!$K$103="Baja",'Mapa final'!$O$103="Leve"),CONCATENATE("R",'Mapa final'!$A$103),"")</f>
        <v/>
      </c>
      <c r="Q78" s="438"/>
      <c r="R78" s="438" t="str">
        <f>IF(AND('Mapa final'!$K$106="Baja",'Mapa final'!$O$106="Leve"),CONCATENATE("R",'Mapa final'!$A$106),"")</f>
        <v/>
      </c>
      <c r="S78" s="485"/>
      <c r="T78" s="443" t="str">
        <f>IF(AND('Mapa final'!$K$97="Baja",'Mapa final'!$O$97="Menor"),CONCATENATE("R",'Mapa final'!$A$97),"")</f>
        <v/>
      </c>
      <c r="U78" s="444"/>
      <c r="V78" s="444" t="e">
        <f>IF(AND('Mapa final'!#REF!="Baja",'Mapa final'!#REF!="Menor"),CONCATENATE("R",'Mapa final'!#REF!),"")</f>
        <v>#REF!</v>
      </c>
      <c r="W78" s="444"/>
      <c r="X78" s="444" t="str">
        <f>IF(AND('Mapa final'!$K$100="Baja",'Mapa final'!$O$100="Menor"),CONCATENATE("R",'Mapa final'!$A$100),"")</f>
        <v/>
      </c>
      <c r="Y78" s="444"/>
      <c r="Z78" s="444" t="str">
        <f>IF(AND('Mapa final'!$K$103="Baja",'Mapa final'!$O$103="Menor"),CONCATENATE("R",'Mapa final'!$A$103),"")</f>
        <v/>
      </c>
      <c r="AA78" s="444"/>
      <c r="AB78" s="444" t="str">
        <f>IF(AND('Mapa final'!$K$106="Baja",'Mapa final'!$O$106="Menor"),CONCATENATE("R",'Mapa final'!$A$106),"")</f>
        <v/>
      </c>
      <c r="AC78" s="447"/>
      <c r="AD78" s="443" t="str">
        <f>IF(AND('Mapa final'!$K$97="Baja",'Mapa final'!$O$97="Moderado"),CONCATENATE("R",'Mapa final'!$A$97),"")</f>
        <v>R31</v>
      </c>
      <c r="AE78" s="444"/>
      <c r="AF78" s="444" t="e">
        <f>IF(AND('Mapa final'!#REF!="Baja",'Mapa final'!#REF!="Moderado"),CONCATENATE("R",'Mapa final'!#REF!),"")</f>
        <v>#REF!</v>
      </c>
      <c r="AG78" s="444"/>
      <c r="AH78" s="444" t="str">
        <f>IF(AND('Mapa final'!$K$100="Baja",'Mapa final'!$O$100="Moderado"),CONCATENATE("R",'Mapa final'!$A$100),"")</f>
        <v/>
      </c>
      <c r="AI78" s="444"/>
      <c r="AJ78" s="444" t="str">
        <f>IF(AND('Mapa final'!$K$103="Baja",'Mapa final'!$O$103="Moderado"),CONCATENATE("R",'Mapa final'!$A$103),"")</f>
        <v/>
      </c>
      <c r="AK78" s="444"/>
      <c r="AL78" s="444" t="str">
        <f>IF(AND('Mapa final'!$K$106="Baja",'Mapa final'!$O$106="Moderado"),CONCATENATE("R",'Mapa final'!$A$106),"")</f>
        <v/>
      </c>
      <c r="AM78" s="447"/>
      <c r="AN78" s="476" t="str">
        <f>IF(AND('Mapa final'!$K$97="Baja",'Mapa final'!$O$97="Mayor"),CONCATENATE("R",'Mapa final'!$A$97),"")</f>
        <v/>
      </c>
      <c r="AO78" s="436"/>
      <c r="AP78" s="436" t="e">
        <f>IF(AND('Mapa final'!#REF!="Baja",'Mapa final'!#REF!="Mayor"),CONCATENATE("R",'Mapa final'!#REF!),"")</f>
        <v>#REF!</v>
      </c>
      <c r="AQ78" s="436"/>
      <c r="AR78" s="436" t="str">
        <f>IF(AND('Mapa final'!$K$100="Baja",'Mapa final'!$O$100="Mayor"),CONCATENATE("R",'Mapa final'!$A$100),"")</f>
        <v/>
      </c>
      <c r="AS78" s="436"/>
      <c r="AT78" s="436" t="str">
        <f>IF(AND('Mapa final'!$K$103="Baja",'Mapa final'!$O$103="Mayor"),CONCATENATE("R",'Mapa final'!$A$103),"")</f>
        <v/>
      </c>
      <c r="AU78" s="436"/>
      <c r="AV78" s="436" t="str">
        <f>IF(AND('Mapa final'!$K$106="Baja",'Mapa final'!$O$106="Mayor"),CONCATENATE("R",'Mapa final'!$A$106),"")</f>
        <v/>
      </c>
      <c r="AW78" s="475"/>
      <c r="AX78" s="467" t="str">
        <f>IF(AND('Mapa final'!$K$97="Baja",'Mapa final'!$O$97="Catastrófico"),CONCATENATE("R",'Mapa final'!$A$97),"")</f>
        <v/>
      </c>
      <c r="AY78" s="465"/>
      <c r="AZ78" s="465" t="e">
        <f>IF(AND('Mapa final'!#REF!="Baja",'Mapa final'!#REF!="Catastrófico"),CONCATENATE("R",'Mapa final'!#REF!),"")</f>
        <v>#REF!</v>
      </c>
      <c r="BA78" s="465"/>
      <c r="BB78" s="465" t="str">
        <f>IF(AND('Mapa final'!$K$100="Baja",'Mapa final'!$O$100="Catastrófico"),CONCATENATE("R",'Mapa final'!$A$100),"")</f>
        <v/>
      </c>
      <c r="BC78" s="465"/>
      <c r="BD78" s="465" t="str">
        <f>IF(AND('Mapa final'!$K$103="Baja",'Mapa final'!$O$103="Catastrófico"),CONCATENATE("R",'Mapa final'!$A$103),"")</f>
        <v/>
      </c>
      <c r="BE78" s="465"/>
      <c r="BF78" s="465" t="str">
        <f>IF(AND('Mapa final'!$K$106="Baja",'Mapa final'!$O$106="Catastrófico"),CONCATENATE("R",'Mapa final'!$A$106),"")</f>
        <v/>
      </c>
      <c r="BG78" s="466"/>
      <c r="BH78" s="55"/>
      <c r="BI78" s="516"/>
      <c r="BJ78" s="517"/>
      <c r="BK78" s="517"/>
      <c r="BL78" s="517"/>
      <c r="BM78" s="517"/>
      <c r="BN78" s="518"/>
      <c r="BO78" s="55"/>
      <c r="BP78" s="55"/>
      <c r="BQ78" s="55"/>
      <c r="BR78" s="55"/>
      <c r="BS78" s="55"/>
      <c r="BT78" s="55"/>
      <c r="BU78" s="55"/>
      <c r="BV78" s="55"/>
      <c r="BW78" s="55"/>
      <c r="BX78" s="55"/>
      <c r="BY78" s="55"/>
      <c r="BZ78" s="55"/>
      <c r="CA78" s="55"/>
      <c r="CB78" s="55"/>
      <c r="CC78" s="55"/>
      <c r="CD78" s="55"/>
      <c r="CE78" s="55"/>
      <c r="CF78" s="55"/>
      <c r="CG78" s="55"/>
      <c r="CH78" s="55"/>
      <c r="CI78" s="55"/>
      <c r="CJ78" s="55"/>
      <c r="CK78" s="55"/>
      <c r="CL78" s="55"/>
      <c r="CM78" s="55"/>
      <c r="CN78" s="55"/>
      <c r="CO78" s="55"/>
      <c r="CP78" s="55"/>
      <c r="CQ78" s="55"/>
      <c r="CR78" s="55"/>
      <c r="CS78" s="55"/>
      <c r="CT78" s="55"/>
      <c r="CU78" s="55"/>
      <c r="CV78" s="55"/>
    </row>
    <row r="79" spans="1:100" ht="15" customHeight="1" x14ac:dyDescent="0.25">
      <c r="A79" s="55"/>
      <c r="B79" s="301"/>
      <c r="C79" s="301"/>
      <c r="D79" s="302"/>
      <c r="E79" s="454"/>
      <c r="F79" s="455"/>
      <c r="G79" s="455"/>
      <c r="H79" s="455"/>
      <c r="I79" s="455"/>
      <c r="J79" s="437"/>
      <c r="K79" s="438"/>
      <c r="L79" s="438"/>
      <c r="M79" s="438"/>
      <c r="N79" s="438"/>
      <c r="O79" s="438"/>
      <c r="P79" s="438"/>
      <c r="Q79" s="438"/>
      <c r="R79" s="438"/>
      <c r="S79" s="485"/>
      <c r="T79" s="443"/>
      <c r="U79" s="444"/>
      <c r="V79" s="444"/>
      <c r="W79" s="444"/>
      <c r="X79" s="444"/>
      <c r="Y79" s="444"/>
      <c r="Z79" s="444"/>
      <c r="AA79" s="444"/>
      <c r="AB79" s="444"/>
      <c r="AC79" s="447"/>
      <c r="AD79" s="443"/>
      <c r="AE79" s="444"/>
      <c r="AF79" s="444"/>
      <c r="AG79" s="444"/>
      <c r="AH79" s="444"/>
      <c r="AI79" s="444"/>
      <c r="AJ79" s="444"/>
      <c r="AK79" s="444"/>
      <c r="AL79" s="444"/>
      <c r="AM79" s="447"/>
      <c r="AN79" s="476"/>
      <c r="AO79" s="436"/>
      <c r="AP79" s="436"/>
      <c r="AQ79" s="436"/>
      <c r="AR79" s="436"/>
      <c r="AS79" s="436"/>
      <c r="AT79" s="436"/>
      <c r="AU79" s="436"/>
      <c r="AV79" s="436"/>
      <c r="AW79" s="475"/>
      <c r="AX79" s="467"/>
      <c r="AY79" s="465"/>
      <c r="AZ79" s="465"/>
      <c r="BA79" s="465"/>
      <c r="BB79" s="465"/>
      <c r="BC79" s="465"/>
      <c r="BD79" s="465"/>
      <c r="BE79" s="465"/>
      <c r="BF79" s="465"/>
      <c r="BG79" s="466"/>
      <c r="BH79" s="55"/>
      <c r="BI79" s="516"/>
      <c r="BJ79" s="517"/>
      <c r="BK79" s="517"/>
      <c r="BL79" s="517"/>
      <c r="BM79" s="517"/>
      <c r="BN79" s="518"/>
      <c r="BO79" s="55"/>
      <c r="BP79" s="55"/>
      <c r="BQ79" s="55"/>
      <c r="BR79" s="55"/>
      <c r="BS79" s="55"/>
      <c r="BT79" s="55"/>
      <c r="BU79" s="55"/>
      <c r="BV79" s="55"/>
      <c r="BW79" s="55"/>
      <c r="BX79" s="55"/>
      <c r="BY79" s="55"/>
      <c r="BZ79" s="55"/>
      <c r="CA79" s="55"/>
      <c r="CB79" s="55"/>
      <c r="CC79" s="55"/>
      <c r="CD79" s="55"/>
      <c r="CE79" s="55"/>
      <c r="CF79" s="55"/>
      <c r="CG79" s="55"/>
      <c r="CH79" s="55"/>
      <c r="CI79" s="55"/>
      <c r="CJ79" s="55"/>
      <c r="CK79" s="55"/>
      <c r="CL79" s="55"/>
      <c r="CM79" s="55"/>
      <c r="CN79" s="55"/>
      <c r="CO79" s="55"/>
      <c r="CP79" s="55"/>
      <c r="CQ79" s="55"/>
      <c r="CR79" s="55"/>
      <c r="CS79" s="55"/>
      <c r="CT79" s="55"/>
      <c r="CU79" s="55"/>
      <c r="CV79" s="55"/>
    </row>
    <row r="80" spans="1:100" ht="15" customHeight="1" x14ac:dyDescent="0.25">
      <c r="A80" s="55"/>
      <c r="B80" s="301"/>
      <c r="C80" s="301"/>
      <c r="D80" s="302"/>
      <c r="E80" s="454"/>
      <c r="F80" s="455"/>
      <c r="G80" s="455"/>
      <c r="H80" s="455"/>
      <c r="I80" s="455"/>
      <c r="J80" s="437" t="str">
        <f>IF(AND('Mapa final'!$K$109="Baja",'Mapa final'!$O$109="Leve"),CONCATENATE("R",'Mapa final'!$A$109),"")</f>
        <v/>
      </c>
      <c r="K80" s="438"/>
      <c r="L80" s="438" t="str">
        <f>IF(AND('Mapa final'!$K$112="Baja",'Mapa final'!$O$112="Leve"),CONCATENATE("R",'Mapa final'!$A$112),"")</f>
        <v/>
      </c>
      <c r="M80" s="438"/>
      <c r="N80" s="438" t="str">
        <f>IF(AND('Mapa final'!$K$115="Baja",'Mapa final'!$O$115="Leve"),CONCATENATE("R",'Mapa final'!$A$115),"")</f>
        <v/>
      </c>
      <c r="O80" s="438"/>
      <c r="P80" s="438" t="str">
        <f>IF(AND('Mapa final'!$K$118="Baja",'Mapa final'!$O$118="Leve"),CONCATENATE("R",'Mapa final'!$A$118),"")</f>
        <v/>
      </c>
      <c r="Q80" s="438"/>
      <c r="R80" s="438" t="str">
        <f>IF(AND('Mapa final'!$K$121="Baja",'Mapa final'!$O$121="Leve"),CONCATENATE("R",'Mapa final'!$A$121),"")</f>
        <v/>
      </c>
      <c r="S80" s="485"/>
      <c r="T80" s="443" t="str">
        <f>IF(AND('Mapa final'!$K$109="Baja",'Mapa final'!$O$109="Menor"),CONCATENATE("R",'Mapa final'!$A$109),"")</f>
        <v/>
      </c>
      <c r="U80" s="444"/>
      <c r="V80" s="444" t="str">
        <f>IF(AND('Mapa final'!$K$112="Baja",'Mapa final'!$O$112="Menor"),CONCATENATE("R",'Mapa final'!$A$112),"")</f>
        <v/>
      </c>
      <c r="W80" s="444"/>
      <c r="X80" s="444" t="str">
        <f>IF(AND('Mapa final'!$K$115="Baja",'Mapa final'!$O$115="Menor"),CONCATENATE("R",'Mapa final'!$A$115),"")</f>
        <v>R37</v>
      </c>
      <c r="Y80" s="444"/>
      <c r="Z80" s="444" t="str">
        <f>IF(AND('Mapa final'!$K$118="Baja",'Mapa final'!$O$118="Menor"),CONCATENATE("R",'Mapa final'!$A$118),"")</f>
        <v/>
      </c>
      <c r="AA80" s="444"/>
      <c r="AB80" s="444" t="str">
        <f>IF(AND('Mapa final'!$K$121="Baja",'Mapa final'!$O$121="Menor"),CONCATENATE("R",'Mapa final'!$A$121),"")</f>
        <v/>
      </c>
      <c r="AC80" s="447"/>
      <c r="AD80" s="443" t="str">
        <f>IF(AND('Mapa final'!$K$109="Baja",'Mapa final'!$O$109="Moderado"),CONCATENATE("R",'Mapa final'!$A$109),"")</f>
        <v/>
      </c>
      <c r="AE80" s="444"/>
      <c r="AF80" s="444" t="str">
        <f>IF(AND('Mapa final'!$K$112="Baja",'Mapa final'!$O$112="Moderado"),CONCATENATE("R",'Mapa final'!$A$112),"")</f>
        <v/>
      </c>
      <c r="AG80" s="444"/>
      <c r="AH80" s="444" t="str">
        <f>IF(AND('Mapa final'!$K$115="Baja",'Mapa final'!$O$115="Moderado"),CONCATENATE("R",'Mapa final'!$A$115),"")</f>
        <v/>
      </c>
      <c r="AI80" s="444"/>
      <c r="AJ80" s="444" t="str">
        <f>IF(AND('Mapa final'!$K$118="Baja",'Mapa final'!$O$118="Moderado"),CONCATENATE("R",'Mapa final'!$A$118),"")</f>
        <v/>
      </c>
      <c r="AK80" s="444"/>
      <c r="AL80" s="444" t="str">
        <f>IF(AND('Mapa final'!$K$121="Baja",'Mapa final'!$O$121="Moderado"),CONCATENATE("R",'Mapa final'!$A$121),"")</f>
        <v/>
      </c>
      <c r="AM80" s="447"/>
      <c r="AN80" s="476" t="str">
        <f>IF(AND('Mapa final'!$K$109="Baja",'Mapa final'!$O$109="Mayor"),CONCATENATE("R",'Mapa final'!$A$109),"")</f>
        <v/>
      </c>
      <c r="AO80" s="436"/>
      <c r="AP80" s="436" t="str">
        <f>IF(AND('Mapa final'!$K$112="Baja",'Mapa final'!$O$112="Mayor"),CONCATENATE("R",'Mapa final'!$A$112),"")</f>
        <v/>
      </c>
      <c r="AQ80" s="436"/>
      <c r="AR80" s="436" t="str">
        <f>IF(AND('Mapa final'!$K$115="Baja",'Mapa final'!$O$115="Mayor"),CONCATENATE("R",'Mapa final'!$A$115),"")</f>
        <v/>
      </c>
      <c r="AS80" s="436"/>
      <c r="AT80" s="436" t="str">
        <f>IF(AND('Mapa final'!$K$118="Baja",'Mapa final'!$O$118="Mayor"),CONCATENATE("R",'Mapa final'!$A$118),"")</f>
        <v/>
      </c>
      <c r="AU80" s="436"/>
      <c r="AV80" s="436" t="str">
        <f>IF(AND('Mapa final'!$K$121="Baja",'Mapa final'!$O$121="Mayor"),CONCATENATE("R",'Mapa final'!$A$121),"")</f>
        <v/>
      </c>
      <c r="AW80" s="475"/>
      <c r="AX80" s="467" t="str">
        <f>IF(AND('Mapa final'!$K$109="Baja",'Mapa final'!$O$109="Catastrófico"),CONCATENATE("R",'Mapa final'!$A$109),"")</f>
        <v/>
      </c>
      <c r="AY80" s="465"/>
      <c r="AZ80" s="465" t="str">
        <f>IF(AND('Mapa final'!$K$112="Baja",'Mapa final'!$O$112="Catastrófico"),CONCATENATE("R",'Mapa final'!$A$112),"")</f>
        <v/>
      </c>
      <c r="BA80" s="465"/>
      <c r="BB80" s="465" t="str">
        <f>IF(AND('Mapa final'!$K$115="Baja",'Mapa final'!$O$115="Catastrófico"),CONCATENATE("R",'Mapa final'!$A$115),"")</f>
        <v/>
      </c>
      <c r="BC80" s="465"/>
      <c r="BD80" s="465" t="str">
        <f>IF(AND('Mapa final'!$K$118="Baja",'Mapa final'!$O$118="Catastrófico"),CONCATENATE("R",'Mapa final'!$A$118),"")</f>
        <v/>
      </c>
      <c r="BE80" s="465"/>
      <c r="BF80" s="465" t="str">
        <f>IF(AND('Mapa final'!$K$121="Baja",'Mapa final'!$O$121="Catastrófico"),CONCATENATE("R",'Mapa final'!$A$121),"")</f>
        <v/>
      </c>
      <c r="BG80" s="466"/>
      <c r="BH80" s="55"/>
      <c r="BI80" s="516"/>
      <c r="BJ80" s="517"/>
      <c r="BK80" s="517"/>
      <c r="BL80" s="517"/>
      <c r="BM80" s="517"/>
      <c r="BN80" s="518"/>
      <c r="BO80" s="55"/>
      <c r="BP80" s="55"/>
      <c r="BQ80" s="55"/>
      <c r="BR80" s="55"/>
      <c r="BS80" s="55"/>
      <c r="BT80" s="55"/>
      <c r="BU80" s="55"/>
      <c r="BV80" s="55"/>
      <c r="BW80" s="55"/>
      <c r="BX80" s="55"/>
      <c r="BY80" s="55"/>
      <c r="BZ80" s="55"/>
      <c r="CA80" s="55"/>
      <c r="CB80" s="55"/>
      <c r="CC80" s="55"/>
      <c r="CD80" s="55"/>
      <c r="CE80" s="55"/>
      <c r="CF80" s="55"/>
      <c r="CG80" s="55"/>
      <c r="CH80" s="55"/>
      <c r="CI80" s="55"/>
      <c r="CJ80" s="55"/>
      <c r="CK80" s="55"/>
      <c r="CL80" s="55"/>
      <c r="CM80" s="55"/>
      <c r="CN80" s="55"/>
      <c r="CO80" s="55"/>
      <c r="CP80" s="55"/>
      <c r="CQ80" s="55"/>
      <c r="CR80" s="55"/>
      <c r="CS80" s="55"/>
      <c r="CT80" s="55"/>
      <c r="CU80" s="55"/>
      <c r="CV80" s="55"/>
    </row>
    <row r="81" spans="1:100" ht="15" customHeight="1" x14ac:dyDescent="0.25">
      <c r="A81" s="55"/>
      <c r="B81" s="301"/>
      <c r="C81" s="301"/>
      <c r="D81" s="302"/>
      <c r="E81" s="454"/>
      <c r="F81" s="455"/>
      <c r="G81" s="455"/>
      <c r="H81" s="455"/>
      <c r="I81" s="455"/>
      <c r="J81" s="437"/>
      <c r="K81" s="438"/>
      <c r="L81" s="438"/>
      <c r="M81" s="438"/>
      <c r="N81" s="438"/>
      <c r="O81" s="438"/>
      <c r="P81" s="438"/>
      <c r="Q81" s="438"/>
      <c r="R81" s="438"/>
      <c r="S81" s="485"/>
      <c r="T81" s="443"/>
      <c r="U81" s="444"/>
      <c r="V81" s="444"/>
      <c r="W81" s="444"/>
      <c r="X81" s="444"/>
      <c r="Y81" s="444"/>
      <c r="Z81" s="444"/>
      <c r="AA81" s="444"/>
      <c r="AB81" s="444"/>
      <c r="AC81" s="447"/>
      <c r="AD81" s="443"/>
      <c r="AE81" s="444"/>
      <c r="AF81" s="444"/>
      <c r="AG81" s="444"/>
      <c r="AH81" s="444"/>
      <c r="AI81" s="444"/>
      <c r="AJ81" s="444"/>
      <c r="AK81" s="444"/>
      <c r="AL81" s="444"/>
      <c r="AM81" s="447"/>
      <c r="AN81" s="476"/>
      <c r="AO81" s="436"/>
      <c r="AP81" s="436"/>
      <c r="AQ81" s="436"/>
      <c r="AR81" s="436"/>
      <c r="AS81" s="436"/>
      <c r="AT81" s="436"/>
      <c r="AU81" s="436"/>
      <c r="AV81" s="436"/>
      <c r="AW81" s="475"/>
      <c r="AX81" s="467"/>
      <c r="AY81" s="465"/>
      <c r="AZ81" s="465"/>
      <c r="BA81" s="465"/>
      <c r="BB81" s="465"/>
      <c r="BC81" s="465"/>
      <c r="BD81" s="465"/>
      <c r="BE81" s="465"/>
      <c r="BF81" s="465"/>
      <c r="BG81" s="466"/>
      <c r="BH81" s="55"/>
      <c r="BI81" s="516"/>
      <c r="BJ81" s="517"/>
      <c r="BK81" s="517"/>
      <c r="BL81" s="517"/>
      <c r="BM81" s="517"/>
      <c r="BN81" s="518"/>
      <c r="BO81" s="55"/>
      <c r="BP81" s="55"/>
      <c r="BQ81" s="55"/>
      <c r="BR81" s="55"/>
      <c r="BS81" s="55"/>
      <c r="BT81" s="55"/>
      <c r="BU81" s="55"/>
      <c r="BV81" s="55"/>
      <c r="BW81" s="55"/>
      <c r="BX81" s="55"/>
      <c r="BY81" s="55"/>
      <c r="BZ81" s="55"/>
      <c r="CA81" s="55"/>
      <c r="CB81" s="55"/>
      <c r="CC81" s="55"/>
      <c r="CD81" s="55"/>
      <c r="CE81" s="55"/>
      <c r="CF81" s="55"/>
      <c r="CG81" s="55"/>
      <c r="CH81" s="55"/>
      <c r="CI81" s="55"/>
      <c r="CJ81" s="55"/>
      <c r="CK81" s="55"/>
      <c r="CL81" s="55"/>
      <c r="CM81" s="55"/>
      <c r="CN81" s="55"/>
      <c r="CO81" s="55"/>
      <c r="CP81" s="55"/>
      <c r="CQ81" s="55"/>
      <c r="CR81" s="55"/>
      <c r="CS81" s="55"/>
      <c r="CT81" s="55"/>
      <c r="CU81" s="55"/>
      <c r="CV81" s="55"/>
    </row>
    <row r="82" spans="1:100" ht="15" customHeight="1" x14ac:dyDescent="0.25">
      <c r="A82" s="55"/>
      <c r="B82" s="301"/>
      <c r="C82" s="301"/>
      <c r="D82" s="302"/>
      <c r="E82" s="454"/>
      <c r="F82" s="455"/>
      <c r="G82" s="455"/>
      <c r="H82" s="455"/>
      <c r="I82" s="455"/>
      <c r="J82" s="437" t="str">
        <f>IF(AND('Mapa final'!$K$124="Baja",'Mapa final'!$O$124="Leve"),CONCATENATE("R",'Mapa final'!$A$124),"")</f>
        <v/>
      </c>
      <c r="K82" s="438"/>
      <c r="L82" s="438" t="str">
        <f>IF(AND('Mapa final'!$K$127="Baja",'Mapa final'!$O$127="Leve"),CONCATENATE("R",'Mapa final'!$A$127),"")</f>
        <v/>
      </c>
      <c r="M82" s="438"/>
      <c r="N82" s="438" t="str">
        <f>IF(AND('Mapa final'!$K$130="Baja",'Mapa final'!$O$130="Leve"),CONCATENATE("R",'Mapa final'!$A$130),"")</f>
        <v/>
      </c>
      <c r="O82" s="438"/>
      <c r="P82" s="438" t="str">
        <f>IF(AND('Mapa final'!$K$133="Baja",'Mapa final'!$O$133="Leve"),CONCATENATE("R",'Mapa final'!$A$133),"")</f>
        <v/>
      </c>
      <c r="Q82" s="438"/>
      <c r="R82" s="438" t="str">
        <f>IF(AND('Mapa final'!$K$136="Baja",'Mapa final'!$O$136="Leve"),CONCATENATE("R",'Mapa final'!$A$136),"")</f>
        <v/>
      </c>
      <c r="S82" s="485"/>
      <c r="T82" s="443" t="str">
        <f>IF(AND('Mapa final'!$K$124="Baja",'Mapa final'!$O$124="Menor"),CONCATENATE("R",'Mapa final'!$A$124),"")</f>
        <v/>
      </c>
      <c r="U82" s="444"/>
      <c r="V82" s="444" t="str">
        <f>IF(AND('Mapa final'!$K$127="Baja",'Mapa final'!$O$127="Menor"),CONCATENATE("R",'Mapa final'!$A$127),"")</f>
        <v/>
      </c>
      <c r="W82" s="444"/>
      <c r="X82" s="444" t="str">
        <f>IF(AND('Mapa final'!$K$130="Baja",'Mapa final'!$O$130="Menor"),CONCATENATE("R",'Mapa final'!$A$130),"")</f>
        <v/>
      </c>
      <c r="Y82" s="444"/>
      <c r="Z82" s="444" t="str">
        <f>IF(AND('Mapa final'!$K$133="Baja",'Mapa final'!$O$133="Menor"),CONCATENATE("R",'Mapa final'!$A$133),"")</f>
        <v/>
      </c>
      <c r="AA82" s="444"/>
      <c r="AB82" s="444" t="str">
        <f>IF(AND('Mapa final'!$K$136="Baja",'Mapa final'!$O$136="Menor"),CONCATENATE("R",'Mapa final'!$A$136),"")</f>
        <v/>
      </c>
      <c r="AC82" s="447"/>
      <c r="AD82" s="443" t="str">
        <f>IF(AND('Mapa final'!$K$124="Baja",'Mapa final'!$O$124="Moderado"),CONCATENATE("R",'Mapa final'!$A$124),"")</f>
        <v/>
      </c>
      <c r="AE82" s="444"/>
      <c r="AF82" s="444" t="str">
        <f>IF(AND('Mapa final'!$K$127="Baja",'Mapa final'!$O$127="Moderado"),CONCATENATE("R",'Mapa final'!$A$127),"")</f>
        <v>R41</v>
      </c>
      <c r="AG82" s="444"/>
      <c r="AH82" s="444" t="str">
        <f>IF(AND('Mapa final'!$K$130="Baja",'Mapa final'!$O$130="Moderado"),CONCATENATE("R",'Mapa final'!$A$130),"")</f>
        <v/>
      </c>
      <c r="AI82" s="444"/>
      <c r="AJ82" s="444" t="str">
        <f>IF(AND('Mapa final'!$K$133="Baja",'Mapa final'!$O$133="Moderado"),CONCATENATE("R",'Mapa final'!$A$133),"")</f>
        <v/>
      </c>
      <c r="AK82" s="444"/>
      <c r="AL82" s="444" t="str">
        <f>IF(AND('Mapa final'!$K$136="Baja",'Mapa final'!$O$136="Moderado"),CONCATENATE("R",'Mapa final'!$A$136),"")</f>
        <v/>
      </c>
      <c r="AM82" s="447"/>
      <c r="AN82" s="476" t="str">
        <f>IF(AND('Mapa final'!$K$124="Baja",'Mapa final'!$O$124="Mayor"),CONCATENATE("R",'Mapa final'!$A$124),"")</f>
        <v/>
      </c>
      <c r="AO82" s="436"/>
      <c r="AP82" s="436" t="str">
        <f>IF(AND('Mapa final'!$K$127="Baja",'Mapa final'!$O$127="Mayor"),CONCATENATE("R",'Mapa final'!$A$127),"")</f>
        <v/>
      </c>
      <c r="AQ82" s="436"/>
      <c r="AR82" s="436" t="str">
        <f>IF(AND('Mapa final'!$K$130="Baja",'Mapa final'!$O$130="Mayor"),CONCATENATE("R",'Mapa final'!$A$130),"")</f>
        <v/>
      </c>
      <c r="AS82" s="436"/>
      <c r="AT82" s="436" t="str">
        <f>IF(AND('Mapa final'!$K$133="Baja",'Mapa final'!$O$133="Mayor"),CONCATENATE("R",'Mapa final'!$A$133),"")</f>
        <v/>
      </c>
      <c r="AU82" s="436"/>
      <c r="AV82" s="436" t="str">
        <f>IF(AND('Mapa final'!$K$136="Baja",'Mapa final'!$O$136="Mayor"),CONCATENATE("R",'Mapa final'!$A$136),"")</f>
        <v/>
      </c>
      <c r="AW82" s="475"/>
      <c r="AX82" s="467" t="str">
        <f>IF(AND('Mapa final'!$K$124="Baja",'Mapa final'!$O$124="Catastrófico"),CONCATENATE("R",'Mapa final'!$A$124),"")</f>
        <v/>
      </c>
      <c r="AY82" s="465"/>
      <c r="AZ82" s="465" t="str">
        <f>IF(AND('Mapa final'!$K$127="Baja",'Mapa final'!$O$127="Catastrófico"),CONCATENATE("R",'Mapa final'!$A$127),"")</f>
        <v/>
      </c>
      <c r="BA82" s="465"/>
      <c r="BB82" s="465" t="str">
        <f>IF(AND('Mapa final'!$K$130="Baja",'Mapa final'!$O$130="Catastrófico"),CONCATENATE("R",'Mapa final'!$A$130),"")</f>
        <v/>
      </c>
      <c r="BC82" s="465"/>
      <c r="BD82" s="465" t="str">
        <f>IF(AND('Mapa final'!$K$133="Baja",'Mapa final'!$O$133="Catastrófico"),CONCATENATE("R",'Mapa final'!$A$133),"")</f>
        <v/>
      </c>
      <c r="BE82" s="465"/>
      <c r="BF82" s="465" t="str">
        <f>IF(AND('Mapa final'!$K$136="Baja",'Mapa final'!$O$136="Catastrófico"),CONCATENATE("R",'Mapa final'!$A$136),"")</f>
        <v/>
      </c>
      <c r="BG82" s="466"/>
      <c r="BH82" s="55"/>
      <c r="BI82" s="516"/>
      <c r="BJ82" s="517"/>
      <c r="BK82" s="517"/>
      <c r="BL82" s="517"/>
      <c r="BM82" s="517"/>
      <c r="BN82" s="518"/>
      <c r="BO82" s="55"/>
      <c r="BP82" s="55"/>
      <c r="BQ82" s="55"/>
      <c r="BR82" s="55"/>
      <c r="BS82" s="55"/>
      <c r="BT82" s="55"/>
      <c r="BU82" s="55"/>
      <c r="BV82" s="55"/>
      <c r="BW82" s="55"/>
      <c r="BX82" s="55"/>
      <c r="BY82" s="55"/>
      <c r="BZ82" s="55"/>
      <c r="CA82" s="55"/>
      <c r="CB82" s="55"/>
      <c r="CC82" s="55"/>
      <c r="CD82" s="55"/>
      <c r="CE82" s="55"/>
      <c r="CF82" s="55"/>
      <c r="CG82" s="55"/>
      <c r="CH82" s="55"/>
      <c r="CI82" s="55"/>
      <c r="CJ82" s="55"/>
      <c r="CK82" s="55"/>
      <c r="CL82" s="55"/>
      <c r="CM82" s="55"/>
      <c r="CN82" s="55"/>
      <c r="CO82" s="55"/>
      <c r="CP82" s="55"/>
      <c r="CQ82" s="55"/>
      <c r="CR82" s="55"/>
      <c r="CS82" s="55"/>
      <c r="CT82" s="55"/>
      <c r="CU82" s="55"/>
      <c r="CV82" s="55"/>
    </row>
    <row r="83" spans="1:100" ht="15" customHeight="1" x14ac:dyDescent="0.25">
      <c r="A83" s="55"/>
      <c r="B83" s="301"/>
      <c r="C83" s="301"/>
      <c r="D83" s="302"/>
      <c r="E83" s="454"/>
      <c r="F83" s="455"/>
      <c r="G83" s="455"/>
      <c r="H83" s="455"/>
      <c r="I83" s="455"/>
      <c r="J83" s="437"/>
      <c r="K83" s="438"/>
      <c r="L83" s="438"/>
      <c r="M83" s="438"/>
      <c r="N83" s="438"/>
      <c r="O83" s="438"/>
      <c r="P83" s="438"/>
      <c r="Q83" s="438"/>
      <c r="R83" s="438"/>
      <c r="S83" s="485"/>
      <c r="T83" s="443"/>
      <c r="U83" s="444"/>
      <c r="V83" s="444"/>
      <c r="W83" s="444"/>
      <c r="X83" s="444"/>
      <c r="Y83" s="444"/>
      <c r="Z83" s="444"/>
      <c r="AA83" s="444"/>
      <c r="AB83" s="444"/>
      <c r="AC83" s="447"/>
      <c r="AD83" s="443"/>
      <c r="AE83" s="444"/>
      <c r="AF83" s="444"/>
      <c r="AG83" s="444"/>
      <c r="AH83" s="444"/>
      <c r="AI83" s="444"/>
      <c r="AJ83" s="444"/>
      <c r="AK83" s="444"/>
      <c r="AL83" s="444"/>
      <c r="AM83" s="447"/>
      <c r="AN83" s="476"/>
      <c r="AO83" s="436"/>
      <c r="AP83" s="436"/>
      <c r="AQ83" s="436"/>
      <c r="AR83" s="436"/>
      <c r="AS83" s="436"/>
      <c r="AT83" s="436"/>
      <c r="AU83" s="436"/>
      <c r="AV83" s="436"/>
      <c r="AW83" s="475"/>
      <c r="AX83" s="467"/>
      <c r="AY83" s="465"/>
      <c r="AZ83" s="465"/>
      <c r="BA83" s="465"/>
      <c r="BB83" s="465"/>
      <c r="BC83" s="465"/>
      <c r="BD83" s="465"/>
      <c r="BE83" s="465"/>
      <c r="BF83" s="465"/>
      <c r="BG83" s="466"/>
      <c r="BH83" s="55"/>
      <c r="BI83" s="516"/>
      <c r="BJ83" s="517"/>
      <c r="BK83" s="517"/>
      <c r="BL83" s="517"/>
      <c r="BM83" s="517"/>
      <c r="BN83" s="518"/>
      <c r="BO83" s="55"/>
      <c r="BP83" s="55"/>
      <c r="BQ83" s="55"/>
      <c r="BR83" s="55"/>
      <c r="BS83" s="55"/>
      <c r="BT83" s="55"/>
      <c r="BU83" s="55"/>
      <c r="BV83" s="55"/>
      <c r="BW83" s="55"/>
      <c r="BX83" s="55"/>
      <c r="BY83" s="55"/>
      <c r="BZ83" s="55"/>
      <c r="CA83" s="55"/>
      <c r="CB83" s="55"/>
      <c r="CC83" s="55"/>
      <c r="CD83" s="55"/>
      <c r="CE83" s="55"/>
      <c r="CF83" s="55"/>
      <c r="CG83" s="55"/>
      <c r="CH83" s="55"/>
      <c r="CI83" s="55"/>
      <c r="CJ83" s="55"/>
      <c r="CK83" s="55"/>
      <c r="CL83" s="55"/>
      <c r="CM83" s="55"/>
      <c r="CN83" s="55"/>
      <c r="CO83" s="55"/>
      <c r="CP83" s="55"/>
      <c r="CQ83" s="55"/>
      <c r="CR83" s="55"/>
      <c r="CS83" s="55"/>
      <c r="CT83" s="55"/>
      <c r="CU83" s="55"/>
      <c r="CV83" s="55"/>
    </row>
    <row r="84" spans="1:100" ht="15" customHeight="1" x14ac:dyDescent="0.25">
      <c r="A84" s="55"/>
      <c r="B84" s="301"/>
      <c r="C84" s="301"/>
      <c r="D84" s="302"/>
      <c r="E84" s="454"/>
      <c r="F84" s="455"/>
      <c r="G84" s="455"/>
      <c r="H84" s="455"/>
      <c r="I84" s="455"/>
      <c r="J84" s="437" t="str">
        <f>IF(AND('Mapa final'!$K$139="Baja",'Mapa final'!$O$139="Leve"),CONCATENATE("R",'Mapa final'!$A$139),"")</f>
        <v/>
      </c>
      <c r="K84" s="438"/>
      <c r="L84" s="438" t="str">
        <f>IF(AND('Mapa final'!$K$142="Baja",'Mapa final'!$O$142="Leve"),CONCATENATE("R",'Mapa final'!$A$142),"")</f>
        <v/>
      </c>
      <c r="M84" s="438"/>
      <c r="N84" s="438" t="str">
        <f>IF(AND('Mapa final'!$K$145="Baja",'Mapa final'!$O$145="Leve"),CONCATENATE("R",'Mapa final'!$A$145),"")</f>
        <v/>
      </c>
      <c r="O84" s="438"/>
      <c r="P84" s="438" t="str">
        <f>IF(AND('Mapa final'!$K$148="Baja",'Mapa final'!$O$148="Leve"),CONCATENATE("R",'Mapa final'!$A$148),"")</f>
        <v/>
      </c>
      <c r="Q84" s="438"/>
      <c r="R84" s="438" t="str">
        <f>IF(AND('Mapa final'!$K$151="Baja",'Mapa final'!$O$151="Leve"),CONCATENATE("R",'Mapa final'!$A$151),"")</f>
        <v/>
      </c>
      <c r="S84" s="485"/>
      <c r="T84" s="443" t="str">
        <f>IF(AND('Mapa final'!$K$139="Baja",'Mapa final'!$O$139="Menor"),CONCATENATE("R",'Mapa final'!$A$139),"")</f>
        <v/>
      </c>
      <c r="U84" s="444"/>
      <c r="V84" s="444" t="str">
        <f>IF(AND('Mapa final'!$K$142="Baja",'Mapa final'!$O$142="Menor"),CONCATENATE("R",'Mapa final'!$A$142),"")</f>
        <v/>
      </c>
      <c r="W84" s="444"/>
      <c r="X84" s="444" t="str">
        <f>IF(AND('Mapa final'!$K$145="Baja",'Mapa final'!$O$145="Menor"),CONCATENATE("R",'Mapa final'!$A$145),"")</f>
        <v/>
      </c>
      <c r="Y84" s="444"/>
      <c r="Z84" s="444" t="str">
        <f>IF(AND('Mapa final'!$K$148="Baja",'Mapa final'!$O$148="Menor"),CONCATENATE("R",'Mapa final'!$A$148),"")</f>
        <v/>
      </c>
      <c r="AA84" s="444"/>
      <c r="AB84" s="444" t="str">
        <f>IF(AND('Mapa final'!$K$151="Baja",'Mapa final'!$O$151="Menor"),CONCATENATE("R",'Mapa final'!$A$151),"")</f>
        <v/>
      </c>
      <c r="AC84" s="447"/>
      <c r="AD84" s="443" t="str">
        <f>IF(AND('Mapa final'!$K$139="Baja",'Mapa final'!$O$139="Moderado"),CONCATENATE("R",'Mapa final'!$A$139),"")</f>
        <v/>
      </c>
      <c r="AE84" s="444"/>
      <c r="AF84" s="444" t="str">
        <f>IF(AND('Mapa final'!$K$142="Baja",'Mapa final'!$O$142="Moderado"),CONCATENATE("R",'Mapa final'!$A$142),"")</f>
        <v>R46</v>
      </c>
      <c r="AG84" s="444"/>
      <c r="AH84" s="444" t="str">
        <f>IF(AND('Mapa final'!$K$145="Baja",'Mapa final'!$O$145="Moderado"),CONCATENATE("R",'Mapa final'!$A$145),"")</f>
        <v>R47</v>
      </c>
      <c r="AI84" s="444"/>
      <c r="AJ84" s="444" t="str">
        <f>IF(AND('Mapa final'!$K$148="Baja",'Mapa final'!$O$148="Moderado"),CONCATENATE("R",'Mapa final'!$A$148),"")</f>
        <v/>
      </c>
      <c r="AK84" s="444"/>
      <c r="AL84" s="444" t="str">
        <f>IF(AND('Mapa final'!$K$151="Baja",'Mapa final'!$O$151="Moderado"),CONCATENATE("R",'Mapa final'!$A$151),"")</f>
        <v/>
      </c>
      <c r="AM84" s="447"/>
      <c r="AN84" s="476" t="str">
        <f>IF(AND('Mapa final'!$K$139="Baja",'Mapa final'!$O$139="Mayor"),CONCATENATE("R",'Mapa final'!$A$139),"")</f>
        <v>R45</v>
      </c>
      <c r="AO84" s="436"/>
      <c r="AP84" s="436" t="str">
        <f>IF(AND('Mapa final'!$K$142="Baja",'Mapa final'!$O$142="Mayor"),CONCATENATE("R",'Mapa final'!$A$142),"")</f>
        <v/>
      </c>
      <c r="AQ84" s="436"/>
      <c r="AR84" s="436" t="str">
        <f>IF(AND('Mapa final'!$K$145="Baja",'Mapa final'!$O$145="Mayor"),CONCATENATE("R",'Mapa final'!$A$145),"")</f>
        <v/>
      </c>
      <c r="AS84" s="436"/>
      <c r="AT84" s="436" t="str">
        <f>IF(AND('Mapa final'!$K$148="Baja",'Mapa final'!$O$148="Mayor"),CONCATENATE("R",'Mapa final'!$A$148),"")</f>
        <v/>
      </c>
      <c r="AU84" s="436"/>
      <c r="AV84" s="436" t="str">
        <f>IF(AND('Mapa final'!$K$151="Baja",'Mapa final'!$O$151="Mayor"),CONCATENATE("R",'Mapa final'!$A$151),"")</f>
        <v/>
      </c>
      <c r="AW84" s="475"/>
      <c r="AX84" s="467" t="str">
        <f>IF(AND('Mapa final'!$K$139="Baja",'Mapa final'!$O$139="Catastrófico"),CONCATENATE("R",'Mapa final'!$A$139),"")</f>
        <v/>
      </c>
      <c r="AY84" s="465"/>
      <c r="AZ84" s="465" t="str">
        <f>IF(AND('Mapa final'!$K$142="Baja",'Mapa final'!$O$142="Catastrófico"),CONCATENATE("R",'Mapa final'!$A$142),"")</f>
        <v/>
      </c>
      <c r="BA84" s="465"/>
      <c r="BB84" s="465" t="str">
        <f>IF(AND('Mapa final'!$K$145="Baja",'Mapa final'!$O$145="Catastrófico"),CONCATENATE("R",'Mapa final'!$A$145),"")</f>
        <v/>
      </c>
      <c r="BC84" s="465"/>
      <c r="BD84" s="465" t="str">
        <f>IF(AND('Mapa final'!$K$148="Baja",'Mapa final'!$O$148="Catastrófico"),CONCATENATE("R",'Mapa final'!$A$148),"")</f>
        <v/>
      </c>
      <c r="BE84" s="465"/>
      <c r="BF84" s="465" t="str">
        <f>IF(AND('Mapa final'!$K$151="Baja",'Mapa final'!$O$151="Catastrófico"),CONCATENATE("R",'Mapa final'!$A$151),"")</f>
        <v/>
      </c>
      <c r="BG84" s="466"/>
      <c r="BH84" s="55"/>
      <c r="BI84" s="516"/>
      <c r="BJ84" s="517"/>
      <c r="BK84" s="517"/>
      <c r="BL84" s="517"/>
      <c r="BM84" s="517"/>
      <c r="BN84" s="518"/>
      <c r="BO84" s="55"/>
      <c r="BP84" s="55"/>
      <c r="BQ84" s="55"/>
      <c r="BR84" s="55"/>
      <c r="BS84" s="55"/>
      <c r="BT84" s="55"/>
      <c r="BU84" s="55"/>
      <c r="BV84" s="55"/>
      <c r="BW84" s="55"/>
      <c r="BX84" s="55"/>
      <c r="BY84" s="55"/>
      <c r="BZ84" s="55"/>
      <c r="CA84" s="55"/>
      <c r="CB84" s="55"/>
      <c r="CC84" s="55"/>
      <c r="CD84" s="55"/>
      <c r="CE84" s="55"/>
      <c r="CF84" s="55"/>
      <c r="CG84" s="55"/>
      <c r="CH84" s="55"/>
      <c r="CI84" s="55"/>
      <c r="CJ84" s="55"/>
      <c r="CK84" s="55"/>
      <c r="CL84" s="55"/>
      <c r="CM84" s="55"/>
      <c r="CN84" s="55"/>
      <c r="CO84" s="55"/>
      <c r="CP84" s="55"/>
      <c r="CQ84" s="55"/>
      <c r="CR84" s="55"/>
      <c r="CS84" s="55"/>
      <c r="CT84" s="55"/>
      <c r="CU84" s="55"/>
      <c r="CV84" s="55"/>
    </row>
    <row r="85" spans="1:100" ht="15.75" customHeight="1" thickBot="1" x14ac:dyDescent="0.3">
      <c r="A85" s="55"/>
      <c r="B85" s="301"/>
      <c r="C85" s="301"/>
      <c r="D85" s="302"/>
      <c r="E85" s="457"/>
      <c r="F85" s="458"/>
      <c r="G85" s="458"/>
      <c r="H85" s="458"/>
      <c r="I85" s="458"/>
      <c r="J85" s="439"/>
      <c r="K85" s="440"/>
      <c r="L85" s="440"/>
      <c r="M85" s="440"/>
      <c r="N85" s="440"/>
      <c r="O85" s="440"/>
      <c r="P85" s="440"/>
      <c r="Q85" s="440"/>
      <c r="R85" s="440"/>
      <c r="S85" s="522"/>
      <c r="T85" s="445"/>
      <c r="U85" s="446"/>
      <c r="V85" s="446"/>
      <c r="W85" s="446"/>
      <c r="X85" s="446"/>
      <c r="Y85" s="446"/>
      <c r="Z85" s="446"/>
      <c r="AA85" s="446"/>
      <c r="AB85" s="446"/>
      <c r="AC85" s="448"/>
      <c r="AD85" s="445"/>
      <c r="AE85" s="446"/>
      <c r="AF85" s="446"/>
      <c r="AG85" s="446"/>
      <c r="AH85" s="446"/>
      <c r="AI85" s="446"/>
      <c r="AJ85" s="446"/>
      <c r="AK85" s="446"/>
      <c r="AL85" s="446"/>
      <c r="AM85" s="448"/>
      <c r="AN85" s="477"/>
      <c r="AO85" s="474"/>
      <c r="AP85" s="474"/>
      <c r="AQ85" s="474"/>
      <c r="AR85" s="474"/>
      <c r="AS85" s="474"/>
      <c r="AT85" s="474"/>
      <c r="AU85" s="474"/>
      <c r="AV85" s="474"/>
      <c r="AW85" s="478"/>
      <c r="AX85" s="468"/>
      <c r="AY85" s="469"/>
      <c r="AZ85" s="469"/>
      <c r="BA85" s="469"/>
      <c r="BB85" s="469"/>
      <c r="BC85" s="469"/>
      <c r="BD85" s="469"/>
      <c r="BE85" s="469"/>
      <c r="BF85" s="469"/>
      <c r="BG85" s="470"/>
      <c r="BH85" s="55"/>
      <c r="BI85" s="516"/>
      <c r="BJ85" s="517"/>
      <c r="BK85" s="517"/>
      <c r="BL85" s="517"/>
      <c r="BM85" s="517"/>
      <c r="BN85" s="518"/>
      <c r="BO85" s="55"/>
      <c r="BP85" s="55"/>
      <c r="BQ85" s="55"/>
      <c r="BR85" s="55"/>
      <c r="BS85" s="55"/>
      <c r="BT85" s="55"/>
      <c r="BU85" s="55"/>
      <c r="BV85" s="55"/>
      <c r="BW85" s="55"/>
      <c r="BX85" s="55"/>
      <c r="BY85" s="55"/>
      <c r="BZ85" s="55"/>
      <c r="CA85" s="55"/>
      <c r="CB85" s="55"/>
      <c r="CC85" s="55"/>
      <c r="CD85" s="55"/>
      <c r="CE85" s="55"/>
      <c r="CF85" s="55"/>
      <c r="CG85" s="55"/>
      <c r="CH85" s="55"/>
      <c r="CI85" s="55"/>
      <c r="CJ85" s="55"/>
      <c r="CK85" s="55"/>
      <c r="CL85" s="55"/>
      <c r="CM85" s="55"/>
      <c r="CN85" s="55"/>
      <c r="CO85" s="55"/>
      <c r="CP85" s="55"/>
      <c r="CQ85" s="55"/>
      <c r="CR85" s="55"/>
      <c r="CS85" s="55"/>
      <c r="CT85" s="55"/>
      <c r="CU85" s="55"/>
      <c r="CV85" s="55"/>
    </row>
    <row r="86" spans="1:100" ht="15" customHeight="1" x14ac:dyDescent="0.25">
      <c r="A86" s="55"/>
      <c r="B86" s="301"/>
      <c r="C86" s="301"/>
      <c r="D86" s="302"/>
      <c r="E86" s="451" t="s">
        <v>104</v>
      </c>
      <c r="F86" s="452"/>
      <c r="G86" s="452"/>
      <c r="H86" s="452"/>
      <c r="I86" s="453"/>
      <c r="J86" s="441" t="str">
        <f>IF(AND('Mapa final'!$K$7="Muy Baja",'Mapa final'!$O$7="Leve"),CONCATENATE("R",'Mapa final'!$A$7),"")</f>
        <v/>
      </c>
      <c r="K86" s="442"/>
      <c r="L86" s="442" t="str">
        <f>IF(AND('Mapa final'!$K$10="Muy Baja",'Mapa final'!$O$10="Leve"),CONCATENATE("R",'Mapa final'!$A$10),"")</f>
        <v/>
      </c>
      <c r="M86" s="442"/>
      <c r="N86" s="442" t="str">
        <f>IF(AND('Mapa final'!$K$13="Muy Baja",'Mapa final'!$O$13="Leve"),CONCATENATE("R",'Mapa final'!$A$13),"")</f>
        <v/>
      </c>
      <c r="O86" s="442"/>
      <c r="P86" s="442" t="e">
        <f>IF(AND('Mapa final'!#REF!="Muy Baja",'Mapa final'!#REF!="Leve"),CONCATENATE("R",'Mapa final'!#REF!),"")</f>
        <v>#REF!</v>
      </c>
      <c r="Q86" s="442"/>
      <c r="R86" s="442" t="str">
        <f>IF(AND('Mapa final'!$K$16="Muy Baja",'Mapa final'!$O$16="Leve"),CONCATENATE("R",'Mapa final'!$A$16),"")</f>
        <v/>
      </c>
      <c r="S86" s="484"/>
      <c r="T86" s="441" t="str">
        <f>IF(AND('Mapa final'!$K$7="Muy Baja",'Mapa final'!$O$7="Menor"),CONCATENATE("R",'Mapa final'!$A$7),"")</f>
        <v/>
      </c>
      <c r="U86" s="442"/>
      <c r="V86" s="442" t="str">
        <f>IF(AND('Mapa final'!$K$10="Muy Baja",'Mapa final'!$O$10="Menor"),CONCATENATE("R",'Mapa final'!$A$10),"")</f>
        <v/>
      </c>
      <c r="W86" s="442"/>
      <c r="X86" s="442" t="str">
        <f>IF(AND('Mapa final'!$K$13="Muy Baja",'Mapa final'!$O$13="Menor"),CONCATENATE("R",'Mapa final'!$A$13),"")</f>
        <v/>
      </c>
      <c r="Y86" s="442"/>
      <c r="Z86" s="442" t="e">
        <f>IF(AND('Mapa final'!#REF!="Muy Baja",'Mapa final'!#REF!="Menor"),CONCATENATE("R",'Mapa final'!#REF!),"")</f>
        <v>#REF!</v>
      </c>
      <c r="AA86" s="442"/>
      <c r="AB86" s="442" t="str">
        <f>IF(AND('Mapa final'!$K$16="Muy Baja",'Mapa final'!$O$16="Menor"),CONCATENATE("R",'Mapa final'!$A$16),"")</f>
        <v/>
      </c>
      <c r="AC86" s="484"/>
      <c r="AD86" s="463" t="str">
        <f>IF(AND('Mapa final'!$K$7="Muy Baja",'Mapa final'!$O$7="Moderado"),CONCATENATE("R",'Mapa final'!$A$7),"")</f>
        <v/>
      </c>
      <c r="AE86" s="449"/>
      <c r="AF86" s="449" t="str">
        <f>IF(AND('Mapa final'!$K$10="Muy Baja",'Mapa final'!$O$10="Moderado"),CONCATENATE("R",'Mapa final'!$A$10),"")</f>
        <v/>
      </c>
      <c r="AG86" s="449"/>
      <c r="AH86" s="449" t="str">
        <f>IF(AND('Mapa final'!$K$13="Muy Baja",'Mapa final'!$O$13="Moderado"),CONCATENATE("R",'Mapa final'!$A$13),"")</f>
        <v/>
      </c>
      <c r="AI86" s="449"/>
      <c r="AJ86" s="449" t="e">
        <f>IF(AND('Mapa final'!#REF!="Muy Baja",'Mapa final'!#REF!="Moderado"),CONCATENATE("R",'Mapa final'!#REF!),"")</f>
        <v>#REF!</v>
      </c>
      <c r="AK86" s="449"/>
      <c r="AL86" s="449" t="str">
        <f>IF(AND('Mapa final'!$K$16="Muy Baja",'Mapa final'!$O$16="Moderado"),CONCATENATE("R",'Mapa final'!$A$16),"")</f>
        <v/>
      </c>
      <c r="AM86" s="464"/>
      <c r="AN86" s="479" t="str">
        <f>IF(AND('Mapa final'!$K$7="Muy Baja",'Mapa final'!$O$7="Mayor"),CONCATENATE("R",'Mapa final'!$A$7),"")</f>
        <v/>
      </c>
      <c r="AO86" s="480"/>
      <c r="AP86" s="480" t="str">
        <f>IF(AND('Mapa final'!$K$10="Muy Baja",'Mapa final'!$O$10="Mayor"),CONCATENATE("R",'Mapa final'!$A$10),"")</f>
        <v/>
      </c>
      <c r="AQ86" s="480"/>
      <c r="AR86" s="480" t="str">
        <f>IF(AND('Mapa final'!$K$13="Muy Baja",'Mapa final'!$O$13="Mayor"),CONCATENATE("R",'Mapa final'!$A$13),"")</f>
        <v/>
      </c>
      <c r="AS86" s="480"/>
      <c r="AT86" s="480" t="e">
        <f>IF(AND('Mapa final'!#REF!="Muy Baja",'Mapa final'!#REF!="Mayor"),CONCATENATE("R",'Mapa final'!#REF!),"")</f>
        <v>#REF!</v>
      </c>
      <c r="AU86" s="480"/>
      <c r="AV86" s="480" t="str">
        <f>IF(AND('Mapa final'!$K$16="Muy Baja",'Mapa final'!$O$16="Mayor"),CONCATENATE("R",'Mapa final'!$A$16),"")</f>
        <v/>
      </c>
      <c r="AW86" s="481"/>
      <c r="AX86" s="471" t="str">
        <f>IF(AND('Mapa final'!$K$7="Muy Baja",'Mapa final'!$O$7="Catastrófico"),CONCATENATE("R",'Mapa final'!$A$7),"")</f>
        <v/>
      </c>
      <c r="AY86" s="472"/>
      <c r="AZ86" s="472" t="str">
        <f>IF(AND('Mapa final'!$K$10="Muy Baja",'Mapa final'!$O$10="Catastrófico"),CONCATENATE("R",'Mapa final'!$A$10),"")</f>
        <v/>
      </c>
      <c r="BA86" s="472"/>
      <c r="BB86" s="472" t="str">
        <f>IF(AND('Mapa final'!$K$13="Muy Baja",'Mapa final'!$O$13="Catastrófico"),CONCATENATE("R",'Mapa final'!$A$13),"")</f>
        <v/>
      </c>
      <c r="BC86" s="472"/>
      <c r="BD86" s="472" t="e">
        <f>IF(AND('Mapa final'!#REF!="Muy Baja",'Mapa final'!#REF!="Catastrófico"),CONCATENATE("R",'Mapa final'!#REF!),"")</f>
        <v>#REF!</v>
      </c>
      <c r="BE86" s="472"/>
      <c r="BF86" s="472" t="str">
        <f>IF(AND('Mapa final'!$K$16="Muy Baja",'Mapa final'!$O$16="Catastrófico"),CONCATENATE("R",'Mapa final'!$A$16),"")</f>
        <v/>
      </c>
      <c r="BG86" s="473"/>
      <c r="BH86" s="55"/>
      <c r="BI86" s="516"/>
      <c r="BJ86" s="517"/>
      <c r="BK86" s="517"/>
      <c r="BL86" s="517"/>
      <c r="BM86" s="517"/>
      <c r="BN86" s="518"/>
      <c r="BO86" s="55"/>
      <c r="BP86" s="55"/>
      <c r="BQ86" s="55"/>
      <c r="BR86" s="55"/>
      <c r="BS86" s="55"/>
      <c r="BT86" s="55"/>
      <c r="BU86" s="55"/>
      <c r="BV86" s="55"/>
      <c r="BW86" s="55"/>
      <c r="BX86" s="55"/>
      <c r="BY86" s="55"/>
      <c r="BZ86" s="55"/>
      <c r="CA86" s="55"/>
      <c r="CB86" s="55"/>
      <c r="CC86" s="55"/>
      <c r="CD86" s="55"/>
      <c r="CE86" s="55"/>
      <c r="CF86" s="55"/>
      <c r="CG86" s="55"/>
      <c r="CH86" s="55"/>
      <c r="CI86" s="55"/>
      <c r="CJ86" s="55"/>
      <c r="CK86" s="55"/>
      <c r="CL86" s="55"/>
      <c r="CM86" s="55"/>
      <c r="CN86" s="55"/>
      <c r="CO86" s="55"/>
      <c r="CP86" s="55"/>
      <c r="CQ86" s="55"/>
      <c r="CR86" s="55"/>
      <c r="CS86" s="55"/>
      <c r="CT86" s="55"/>
      <c r="CU86" s="55"/>
      <c r="CV86" s="55"/>
    </row>
    <row r="87" spans="1:100" ht="15" customHeight="1" x14ac:dyDescent="0.25">
      <c r="A87" s="55"/>
      <c r="B87" s="301"/>
      <c r="C87" s="301"/>
      <c r="D87" s="302"/>
      <c r="E87" s="454"/>
      <c r="F87" s="455"/>
      <c r="G87" s="455"/>
      <c r="H87" s="455"/>
      <c r="I87" s="456"/>
      <c r="J87" s="437"/>
      <c r="K87" s="438"/>
      <c r="L87" s="438"/>
      <c r="M87" s="438"/>
      <c r="N87" s="438"/>
      <c r="O87" s="438"/>
      <c r="P87" s="438"/>
      <c r="Q87" s="438"/>
      <c r="R87" s="438"/>
      <c r="S87" s="485"/>
      <c r="T87" s="437"/>
      <c r="U87" s="438"/>
      <c r="V87" s="438"/>
      <c r="W87" s="438"/>
      <c r="X87" s="438"/>
      <c r="Y87" s="438"/>
      <c r="Z87" s="438"/>
      <c r="AA87" s="438"/>
      <c r="AB87" s="438"/>
      <c r="AC87" s="485"/>
      <c r="AD87" s="443"/>
      <c r="AE87" s="444"/>
      <c r="AF87" s="444"/>
      <c r="AG87" s="444"/>
      <c r="AH87" s="444"/>
      <c r="AI87" s="444"/>
      <c r="AJ87" s="444"/>
      <c r="AK87" s="444"/>
      <c r="AL87" s="444"/>
      <c r="AM87" s="447"/>
      <c r="AN87" s="476"/>
      <c r="AO87" s="436"/>
      <c r="AP87" s="436"/>
      <c r="AQ87" s="436"/>
      <c r="AR87" s="436"/>
      <c r="AS87" s="436"/>
      <c r="AT87" s="436"/>
      <c r="AU87" s="436"/>
      <c r="AV87" s="436"/>
      <c r="AW87" s="475"/>
      <c r="AX87" s="467"/>
      <c r="AY87" s="465"/>
      <c r="AZ87" s="465"/>
      <c r="BA87" s="465"/>
      <c r="BB87" s="465"/>
      <c r="BC87" s="465"/>
      <c r="BD87" s="465"/>
      <c r="BE87" s="465"/>
      <c r="BF87" s="465"/>
      <c r="BG87" s="466"/>
      <c r="BH87" s="55"/>
      <c r="BI87" s="516"/>
      <c r="BJ87" s="517"/>
      <c r="BK87" s="517"/>
      <c r="BL87" s="517"/>
      <c r="BM87" s="517"/>
      <c r="BN87" s="518"/>
      <c r="BO87" s="55"/>
      <c r="BP87" s="55"/>
      <c r="BQ87" s="55"/>
      <c r="BR87" s="55"/>
      <c r="BS87" s="55"/>
      <c r="BT87" s="55"/>
      <c r="BU87" s="55"/>
      <c r="BV87" s="55"/>
      <c r="BW87" s="55"/>
      <c r="BX87" s="55"/>
      <c r="BY87" s="55"/>
      <c r="BZ87" s="55"/>
      <c r="CA87" s="55"/>
      <c r="CB87" s="55"/>
      <c r="CC87" s="55"/>
      <c r="CD87" s="55"/>
      <c r="CE87" s="55"/>
      <c r="CF87" s="55"/>
      <c r="CG87" s="55"/>
      <c r="CH87" s="55"/>
      <c r="CI87" s="55"/>
      <c r="CJ87" s="55"/>
      <c r="CK87" s="55"/>
      <c r="CL87" s="55"/>
      <c r="CM87" s="55"/>
      <c r="CN87" s="55"/>
      <c r="CO87" s="55"/>
      <c r="CP87" s="55"/>
      <c r="CQ87" s="55"/>
      <c r="CR87" s="55"/>
      <c r="CS87" s="55"/>
      <c r="CT87" s="55"/>
      <c r="CU87" s="55"/>
      <c r="CV87" s="55"/>
    </row>
    <row r="88" spans="1:100" ht="15" customHeight="1" x14ac:dyDescent="0.25">
      <c r="A88" s="55"/>
      <c r="B88" s="301"/>
      <c r="C88" s="301"/>
      <c r="D88" s="302"/>
      <c r="E88" s="454"/>
      <c r="F88" s="455"/>
      <c r="G88" s="455"/>
      <c r="H88" s="455"/>
      <c r="I88" s="456"/>
      <c r="J88" s="437" t="str">
        <f>IF(AND('Mapa final'!$K$19="Muy Baja",'Mapa final'!$O$19="Leve"),CONCATENATE("R",'Mapa final'!$A$19),"")</f>
        <v/>
      </c>
      <c r="K88" s="438"/>
      <c r="L88" s="438" t="str">
        <f>IF(AND('Mapa final'!$K$22="Muy Baja",'Mapa final'!$O$22="Leve"),CONCATENATE("R",'Mapa final'!$A$22),"")</f>
        <v/>
      </c>
      <c r="M88" s="438"/>
      <c r="N88" s="438" t="str">
        <f>IF(AND('Mapa final'!$K$25="Muy Baja",'Mapa final'!$O$25="Leve"),CONCATENATE("R",'Mapa final'!$A$25),"")</f>
        <v/>
      </c>
      <c r="O88" s="438"/>
      <c r="P88" s="438" t="str">
        <f>IF(AND('Mapa final'!$K$28="Muy Baja",'Mapa final'!$O$28="Leve"),CONCATENATE("R",'Mapa final'!$A$28),"")</f>
        <v/>
      </c>
      <c r="Q88" s="438"/>
      <c r="R88" s="438" t="str">
        <f>IF(AND('Mapa final'!$K$31="Muy Baja",'Mapa final'!$O$31="Leve"),CONCATENATE("R",'Mapa final'!$A$31),"")</f>
        <v/>
      </c>
      <c r="S88" s="485"/>
      <c r="T88" s="437" t="str">
        <f>IF(AND('Mapa final'!$K$19="Muy Baja",'Mapa final'!$O$19="Menor"),CONCATENATE("R",'Mapa final'!$A$19),"")</f>
        <v/>
      </c>
      <c r="U88" s="438"/>
      <c r="V88" s="438" t="str">
        <f>IF(AND('Mapa final'!$K$22="Muy Baja",'Mapa final'!$O$22="Menor"),CONCATENATE("R",'Mapa final'!$A$22),"")</f>
        <v/>
      </c>
      <c r="W88" s="438"/>
      <c r="X88" s="438" t="str">
        <f>IF(AND('Mapa final'!$K$25="Muy Baja",'Mapa final'!$O$25="Menor"),CONCATENATE("R",'Mapa final'!$A$25),"")</f>
        <v/>
      </c>
      <c r="Y88" s="438"/>
      <c r="Z88" s="438" t="str">
        <f>IF(AND('Mapa final'!$K$28="Muy Baja",'Mapa final'!$O$28="Menor"),CONCATENATE("R",'Mapa final'!$A$28),"")</f>
        <v/>
      </c>
      <c r="AA88" s="438"/>
      <c r="AB88" s="438" t="str">
        <f>IF(AND('Mapa final'!$K$31="Muy Baja",'Mapa final'!$O$31="Menor"),CONCATENATE("R",'Mapa final'!$A$31),"")</f>
        <v/>
      </c>
      <c r="AC88" s="485"/>
      <c r="AD88" s="443" t="str">
        <f>IF(AND('Mapa final'!$K$19="Muy Baja",'Mapa final'!$O$19="Moderado"),CONCATENATE("R",'Mapa final'!$A$19),"")</f>
        <v>R5</v>
      </c>
      <c r="AE88" s="444"/>
      <c r="AF88" s="444" t="str">
        <f>IF(AND('Mapa final'!$K$22="Muy Baja",'Mapa final'!$O$22="Moderado"),CONCATENATE("R",'Mapa final'!$A$22),"")</f>
        <v>R6</v>
      </c>
      <c r="AG88" s="444"/>
      <c r="AH88" s="444" t="str">
        <f>IF(AND('Mapa final'!$K$25="Muy Baja",'Mapa final'!$O$25="Moderado"),CONCATENATE("R",'Mapa final'!$A$25),"")</f>
        <v/>
      </c>
      <c r="AI88" s="444"/>
      <c r="AJ88" s="444" t="str">
        <f>IF(AND('Mapa final'!$K$28="Muy Baja",'Mapa final'!$O$28="Moderado"),CONCATENATE("R",'Mapa final'!$A$28),"")</f>
        <v/>
      </c>
      <c r="AK88" s="444"/>
      <c r="AL88" s="444" t="str">
        <f>IF(AND('Mapa final'!$K$31="Muy Baja",'Mapa final'!$O$31="Moderado"),CONCATENATE("R",'Mapa final'!$A$31),"")</f>
        <v/>
      </c>
      <c r="AM88" s="447"/>
      <c r="AN88" s="476" t="str">
        <f>IF(AND('Mapa final'!$K$19="Muy Baja",'Mapa final'!$O$19="Mayor"),CONCATENATE("R",'Mapa final'!$A$19),"")</f>
        <v/>
      </c>
      <c r="AO88" s="436"/>
      <c r="AP88" s="436" t="str">
        <f>IF(AND('Mapa final'!$K$22="Muy Baja",'Mapa final'!$O$22="Mayor"),CONCATENATE("R",'Mapa final'!$A$22),"")</f>
        <v/>
      </c>
      <c r="AQ88" s="436"/>
      <c r="AR88" s="436" t="str">
        <f>IF(AND('Mapa final'!$K$25="Muy Baja",'Mapa final'!$O$25="Mayor"),CONCATENATE("R",'Mapa final'!$A$25),"")</f>
        <v/>
      </c>
      <c r="AS88" s="436"/>
      <c r="AT88" s="436" t="str">
        <f>IF(AND('Mapa final'!$K$28="Muy Baja",'Mapa final'!$O$28="Mayor"),CONCATENATE("R",'Mapa final'!$A$28),"")</f>
        <v/>
      </c>
      <c r="AU88" s="436"/>
      <c r="AV88" s="436" t="str">
        <f>IF(AND('Mapa final'!$K$31="Muy Baja",'Mapa final'!$O$31="Mayor"),CONCATENATE("R",'Mapa final'!$A$31),"")</f>
        <v/>
      </c>
      <c r="AW88" s="475"/>
      <c r="AX88" s="467" t="str">
        <f>IF(AND('Mapa final'!$K$19="Muy Baja",'Mapa final'!$O$19="Catastrófico"),CONCATENATE("R",'Mapa final'!$A$19),"")</f>
        <v/>
      </c>
      <c r="AY88" s="465"/>
      <c r="AZ88" s="465" t="str">
        <f>IF(AND('Mapa final'!$K$22="Muy Baja",'Mapa final'!$O$22="Catastrófico"),CONCATENATE("R",'Mapa final'!$A$22),"")</f>
        <v/>
      </c>
      <c r="BA88" s="465"/>
      <c r="BB88" s="465" t="str">
        <f>IF(AND('Mapa final'!$K$25="Muy Baja",'Mapa final'!$O$25="Catastrófico"),CONCATENATE("R",'Mapa final'!$A$25),"")</f>
        <v/>
      </c>
      <c r="BC88" s="465"/>
      <c r="BD88" s="465" t="str">
        <f>IF(AND('Mapa final'!$K$28="Muy Baja",'Mapa final'!$O$28="Catastrófico"),CONCATENATE("R",'Mapa final'!$A$28),"")</f>
        <v/>
      </c>
      <c r="BE88" s="465"/>
      <c r="BF88" s="465" t="str">
        <f>IF(AND('Mapa final'!$K$31="Muy Baja",'Mapa final'!$O$31="Catastrófico"),CONCATENATE("R",'Mapa final'!$A$31),"")</f>
        <v/>
      </c>
      <c r="BG88" s="466"/>
      <c r="BH88" s="55"/>
      <c r="BI88" s="516"/>
      <c r="BJ88" s="517"/>
      <c r="BK88" s="517"/>
      <c r="BL88" s="517"/>
      <c r="BM88" s="517"/>
      <c r="BN88" s="518"/>
      <c r="BO88" s="55"/>
      <c r="BP88" s="55"/>
      <c r="BQ88" s="55"/>
      <c r="BR88" s="55"/>
      <c r="BS88" s="55"/>
      <c r="BT88" s="55"/>
      <c r="BU88" s="55"/>
      <c r="BV88" s="55"/>
      <c r="BW88" s="55"/>
      <c r="BX88" s="55"/>
      <c r="BY88" s="55"/>
      <c r="BZ88" s="55"/>
      <c r="CA88" s="55"/>
      <c r="CB88" s="55"/>
      <c r="CC88" s="55"/>
      <c r="CD88" s="55"/>
      <c r="CE88" s="55"/>
      <c r="CF88" s="55"/>
      <c r="CG88" s="55"/>
      <c r="CH88" s="55"/>
      <c r="CI88" s="55"/>
      <c r="CJ88" s="55"/>
      <c r="CK88" s="55"/>
      <c r="CL88" s="55"/>
      <c r="CM88" s="55"/>
      <c r="CN88" s="55"/>
      <c r="CO88" s="55"/>
      <c r="CP88" s="55"/>
      <c r="CQ88" s="55"/>
      <c r="CR88" s="55"/>
      <c r="CS88" s="55"/>
      <c r="CT88" s="55"/>
      <c r="CU88" s="55"/>
      <c r="CV88" s="55"/>
    </row>
    <row r="89" spans="1:100" ht="15" customHeight="1" x14ac:dyDescent="0.25">
      <c r="A89" s="55"/>
      <c r="B89" s="301"/>
      <c r="C89" s="301"/>
      <c r="D89" s="302"/>
      <c r="E89" s="454"/>
      <c r="F89" s="455"/>
      <c r="G89" s="455"/>
      <c r="H89" s="455"/>
      <c r="I89" s="456"/>
      <c r="J89" s="437"/>
      <c r="K89" s="438"/>
      <c r="L89" s="438"/>
      <c r="M89" s="438"/>
      <c r="N89" s="438"/>
      <c r="O89" s="438"/>
      <c r="P89" s="438"/>
      <c r="Q89" s="438"/>
      <c r="R89" s="438"/>
      <c r="S89" s="485"/>
      <c r="T89" s="437"/>
      <c r="U89" s="438"/>
      <c r="V89" s="438"/>
      <c r="W89" s="438"/>
      <c r="X89" s="438"/>
      <c r="Y89" s="438"/>
      <c r="Z89" s="438"/>
      <c r="AA89" s="438"/>
      <c r="AB89" s="438"/>
      <c r="AC89" s="485"/>
      <c r="AD89" s="443"/>
      <c r="AE89" s="444"/>
      <c r="AF89" s="444"/>
      <c r="AG89" s="444"/>
      <c r="AH89" s="444"/>
      <c r="AI89" s="444"/>
      <c r="AJ89" s="444"/>
      <c r="AK89" s="444"/>
      <c r="AL89" s="444"/>
      <c r="AM89" s="447"/>
      <c r="AN89" s="476"/>
      <c r="AO89" s="436"/>
      <c r="AP89" s="436"/>
      <c r="AQ89" s="436"/>
      <c r="AR89" s="436"/>
      <c r="AS89" s="436"/>
      <c r="AT89" s="436"/>
      <c r="AU89" s="436"/>
      <c r="AV89" s="436"/>
      <c r="AW89" s="475"/>
      <c r="AX89" s="467"/>
      <c r="AY89" s="465"/>
      <c r="AZ89" s="465"/>
      <c r="BA89" s="465"/>
      <c r="BB89" s="465"/>
      <c r="BC89" s="465"/>
      <c r="BD89" s="465"/>
      <c r="BE89" s="465"/>
      <c r="BF89" s="465"/>
      <c r="BG89" s="466"/>
      <c r="BH89" s="55"/>
      <c r="BI89" s="516"/>
      <c r="BJ89" s="517"/>
      <c r="BK89" s="517"/>
      <c r="BL89" s="517"/>
      <c r="BM89" s="517"/>
      <c r="BN89" s="518"/>
      <c r="BO89" s="55"/>
      <c r="BP89" s="55"/>
      <c r="BQ89" s="55"/>
      <c r="BR89" s="55"/>
      <c r="BS89" s="55"/>
      <c r="BT89" s="55"/>
      <c r="BU89" s="55"/>
      <c r="BV89" s="55"/>
      <c r="BW89" s="55"/>
      <c r="BX89" s="55"/>
      <c r="BY89" s="55"/>
      <c r="BZ89" s="55"/>
      <c r="CA89" s="55"/>
      <c r="CB89" s="55"/>
      <c r="CC89" s="55"/>
      <c r="CD89" s="55"/>
      <c r="CE89" s="55"/>
      <c r="CF89" s="55"/>
      <c r="CG89" s="55"/>
      <c r="CH89" s="55"/>
      <c r="CI89" s="55"/>
      <c r="CJ89" s="55"/>
      <c r="CK89" s="55"/>
      <c r="CL89" s="55"/>
      <c r="CM89" s="55"/>
      <c r="CN89" s="55"/>
      <c r="CO89" s="55"/>
      <c r="CP89" s="55"/>
      <c r="CQ89" s="55"/>
      <c r="CR89" s="55"/>
      <c r="CS89" s="55"/>
      <c r="CT89" s="55"/>
      <c r="CU89" s="55"/>
      <c r="CV89" s="55"/>
    </row>
    <row r="90" spans="1:100" ht="15" customHeight="1" x14ac:dyDescent="0.25">
      <c r="A90" s="55"/>
      <c r="B90" s="301"/>
      <c r="C90" s="301"/>
      <c r="D90" s="302"/>
      <c r="E90" s="454"/>
      <c r="F90" s="455"/>
      <c r="G90" s="455"/>
      <c r="H90" s="455"/>
      <c r="I90" s="456"/>
      <c r="J90" s="437" t="str">
        <f>IF(AND('Mapa final'!$K$34="Muy Baja",'Mapa final'!$O$34="Leve"),CONCATENATE("R",'Mapa final'!$A$34),"")</f>
        <v/>
      </c>
      <c r="K90" s="438"/>
      <c r="L90" s="438" t="str">
        <f>IF(AND('Mapa final'!$K$37="Muy Baja",'Mapa final'!$O$37="Leve"),CONCATENATE("R",'Mapa final'!$A$37),"")</f>
        <v/>
      </c>
      <c r="M90" s="438"/>
      <c r="N90" s="438" t="str">
        <f>IF(AND('Mapa final'!$K$40="Muy Baja",'Mapa final'!$O$40="Leve"),CONCATENATE("R",'Mapa final'!$A$40),"")</f>
        <v/>
      </c>
      <c r="O90" s="438"/>
      <c r="P90" s="438" t="str">
        <f>IF(AND('Mapa final'!$K$43="Muy Baja",'Mapa final'!$O$43="Leve"),CONCATENATE("R",'Mapa final'!$A$43),"")</f>
        <v/>
      </c>
      <c r="Q90" s="438"/>
      <c r="R90" s="438" t="str">
        <f>IF(AND('Mapa final'!$K$46="Muy Baja",'Mapa final'!$O$46="Leve"),CONCATENATE("R",'Mapa final'!$A$46),"")</f>
        <v/>
      </c>
      <c r="S90" s="485"/>
      <c r="T90" s="437" t="str">
        <f>IF(AND('Mapa final'!$K$34="Muy Baja",'Mapa final'!$O$34="Menor"),CONCATENATE("R",'Mapa final'!$A$34),"")</f>
        <v/>
      </c>
      <c r="U90" s="438"/>
      <c r="V90" s="438" t="str">
        <f>IF(AND('Mapa final'!$K$37="Muy Baja",'Mapa final'!$O$37="Menor"),CONCATENATE("R",'Mapa final'!$A$37),"")</f>
        <v/>
      </c>
      <c r="W90" s="438"/>
      <c r="X90" s="438" t="str">
        <f>IF(AND('Mapa final'!$K$40="Muy Baja",'Mapa final'!$O$40="Menor"),CONCATENATE("R",'Mapa final'!$A$40),"")</f>
        <v/>
      </c>
      <c r="Y90" s="438"/>
      <c r="Z90" s="438" t="str">
        <f>IF(AND('Mapa final'!$K$43="Muy Baja",'Mapa final'!$O$43="Menor"),CONCATENATE("R",'Mapa final'!$A$43),"")</f>
        <v/>
      </c>
      <c r="AA90" s="438"/>
      <c r="AB90" s="438" t="str">
        <f>IF(AND('Mapa final'!$K$46="Muy Baja",'Mapa final'!$O$46="Menor"),CONCATENATE("R",'Mapa final'!$A$46),"")</f>
        <v/>
      </c>
      <c r="AC90" s="485"/>
      <c r="AD90" s="443" t="str">
        <f>IF(AND('Mapa final'!$K$34="Muy Baja",'Mapa final'!$O$34="Moderado"),CONCATENATE("R",'Mapa final'!$A$34),"")</f>
        <v/>
      </c>
      <c r="AE90" s="444"/>
      <c r="AF90" s="444" t="str">
        <f>IF(AND('Mapa final'!$K$37="Muy Baja",'Mapa final'!$O$37="Moderado"),CONCATENATE("R",'Mapa final'!$A$37),"")</f>
        <v/>
      </c>
      <c r="AG90" s="444"/>
      <c r="AH90" s="444" t="str">
        <f>IF(AND('Mapa final'!$K$40="Muy Baja",'Mapa final'!$O$40="Moderado"),CONCATENATE("R",'Mapa final'!$A$40),"")</f>
        <v>R12</v>
      </c>
      <c r="AI90" s="444"/>
      <c r="AJ90" s="444" t="str">
        <f>IF(AND('Mapa final'!$K$43="Muy Baja",'Mapa final'!$O$43="Moderado"),CONCATENATE("R",'Mapa final'!$A$43),"")</f>
        <v/>
      </c>
      <c r="AK90" s="444"/>
      <c r="AL90" s="444" t="str">
        <f>IF(AND('Mapa final'!$K$46="Muy Baja",'Mapa final'!$O$46="Moderado"),CONCATENATE("R",'Mapa final'!$A$46),"")</f>
        <v/>
      </c>
      <c r="AM90" s="447"/>
      <c r="AN90" s="476" t="str">
        <f>IF(AND('Mapa final'!$K$34="Muy Baja",'Mapa final'!$O$34="Mayor"),CONCATENATE("R",'Mapa final'!$A$34),"")</f>
        <v/>
      </c>
      <c r="AO90" s="436"/>
      <c r="AP90" s="436" t="str">
        <f>IF(AND('Mapa final'!$K$37="Muy Baja",'Mapa final'!$O$37="Mayor"),CONCATENATE("R",'Mapa final'!$A$37),"")</f>
        <v/>
      </c>
      <c r="AQ90" s="436"/>
      <c r="AR90" s="436" t="str">
        <f>IF(AND('Mapa final'!$K$40="Muy Baja",'Mapa final'!$O$40="Mayor"),CONCATENATE("R",'Mapa final'!$A$40),"")</f>
        <v/>
      </c>
      <c r="AS90" s="436"/>
      <c r="AT90" s="436" t="str">
        <f>IF(AND('Mapa final'!$K$43="Muy Baja",'Mapa final'!$O$43="Mayor"),CONCATENATE("R",'Mapa final'!$A$43),"")</f>
        <v/>
      </c>
      <c r="AU90" s="436"/>
      <c r="AV90" s="436" t="str">
        <f>IF(AND('Mapa final'!$K$46="Muy Baja",'Mapa final'!$O$46="Mayor"),CONCATENATE("R",'Mapa final'!$A$46),"")</f>
        <v/>
      </c>
      <c r="AW90" s="475"/>
      <c r="AX90" s="467" t="str">
        <f>IF(AND('Mapa final'!$K$34="Muy Baja",'Mapa final'!$O$34="Catastrófico"),CONCATENATE("R",'Mapa final'!$A$34),"")</f>
        <v/>
      </c>
      <c r="AY90" s="465"/>
      <c r="AZ90" s="465" t="str">
        <f>IF(AND('Mapa final'!$K$37="Muy Baja",'Mapa final'!$O$37="Catastrófico"),CONCATENATE("R",'Mapa final'!$A$37),"")</f>
        <v/>
      </c>
      <c r="BA90" s="465"/>
      <c r="BB90" s="465" t="str">
        <f>IF(AND('Mapa final'!$K$40="Muy Baja",'Mapa final'!$O$40="Catastrófico"),CONCATENATE("R",'Mapa final'!$A$40),"")</f>
        <v/>
      </c>
      <c r="BC90" s="465"/>
      <c r="BD90" s="465" t="str">
        <f>IF(AND('Mapa final'!$K$43="Muy Baja",'Mapa final'!$O$43="Catastrófico"),CONCATENATE("R",'Mapa final'!$A$43),"")</f>
        <v/>
      </c>
      <c r="BE90" s="465"/>
      <c r="BF90" s="465" t="str">
        <f>IF(AND('Mapa final'!$K$46="Muy Baja",'Mapa final'!$O$46="Catastrófico"),CONCATENATE("R",'Mapa final'!$A$46),"")</f>
        <v/>
      </c>
      <c r="BG90" s="466"/>
      <c r="BH90" s="55"/>
      <c r="BI90" s="516"/>
      <c r="BJ90" s="517"/>
      <c r="BK90" s="517"/>
      <c r="BL90" s="517"/>
      <c r="BM90" s="517"/>
      <c r="BN90" s="518"/>
      <c r="BO90" s="55"/>
      <c r="BP90" s="55"/>
      <c r="BQ90" s="55"/>
      <c r="BR90" s="55"/>
      <c r="BS90" s="55"/>
      <c r="BT90" s="55"/>
      <c r="BU90" s="55"/>
      <c r="BV90" s="55"/>
      <c r="BW90" s="55"/>
      <c r="BX90" s="55"/>
      <c r="BY90" s="55"/>
      <c r="BZ90" s="55"/>
      <c r="CA90" s="55"/>
      <c r="CB90" s="55"/>
      <c r="CC90" s="55"/>
      <c r="CD90" s="55"/>
      <c r="CE90" s="55"/>
      <c r="CF90" s="55"/>
      <c r="CG90" s="55"/>
      <c r="CH90" s="55"/>
      <c r="CI90" s="55"/>
      <c r="CJ90" s="55"/>
      <c r="CK90" s="55"/>
      <c r="CL90" s="55"/>
      <c r="CM90" s="55"/>
      <c r="CN90" s="55"/>
      <c r="CO90" s="55"/>
      <c r="CP90" s="55"/>
      <c r="CQ90" s="55"/>
      <c r="CR90" s="55"/>
      <c r="CS90" s="55"/>
      <c r="CT90" s="55"/>
      <c r="CU90" s="55"/>
      <c r="CV90" s="55"/>
    </row>
    <row r="91" spans="1:100" ht="15" customHeight="1" x14ac:dyDescent="0.25">
      <c r="A91" s="55"/>
      <c r="B91" s="301"/>
      <c r="C91" s="301"/>
      <c r="D91" s="302"/>
      <c r="E91" s="454"/>
      <c r="F91" s="455"/>
      <c r="G91" s="455"/>
      <c r="H91" s="455"/>
      <c r="I91" s="456"/>
      <c r="J91" s="437"/>
      <c r="K91" s="438"/>
      <c r="L91" s="438"/>
      <c r="M91" s="438"/>
      <c r="N91" s="438"/>
      <c r="O91" s="438"/>
      <c r="P91" s="438"/>
      <c r="Q91" s="438"/>
      <c r="R91" s="438"/>
      <c r="S91" s="485"/>
      <c r="T91" s="437"/>
      <c r="U91" s="438"/>
      <c r="V91" s="438"/>
      <c r="W91" s="438"/>
      <c r="X91" s="438"/>
      <c r="Y91" s="438"/>
      <c r="Z91" s="438"/>
      <c r="AA91" s="438"/>
      <c r="AB91" s="438"/>
      <c r="AC91" s="485"/>
      <c r="AD91" s="443"/>
      <c r="AE91" s="444"/>
      <c r="AF91" s="444"/>
      <c r="AG91" s="444"/>
      <c r="AH91" s="444"/>
      <c r="AI91" s="444"/>
      <c r="AJ91" s="444"/>
      <c r="AK91" s="444"/>
      <c r="AL91" s="444"/>
      <c r="AM91" s="447"/>
      <c r="AN91" s="476"/>
      <c r="AO91" s="436"/>
      <c r="AP91" s="436"/>
      <c r="AQ91" s="436"/>
      <c r="AR91" s="436"/>
      <c r="AS91" s="436"/>
      <c r="AT91" s="436"/>
      <c r="AU91" s="436"/>
      <c r="AV91" s="436"/>
      <c r="AW91" s="475"/>
      <c r="AX91" s="467"/>
      <c r="AY91" s="465"/>
      <c r="AZ91" s="465"/>
      <c r="BA91" s="465"/>
      <c r="BB91" s="465"/>
      <c r="BC91" s="465"/>
      <c r="BD91" s="465"/>
      <c r="BE91" s="465"/>
      <c r="BF91" s="465"/>
      <c r="BG91" s="466"/>
      <c r="BH91" s="55"/>
      <c r="BI91" s="516"/>
      <c r="BJ91" s="517"/>
      <c r="BK91" s="517"/>
      <c r="BL91" s="517"/>
      <c r="BM91" s="517"/>
      <c r="BN91" s="518"/>
      <c r="BO91" s="55"/>
      <c r="BP91" s="55"/>
      <c r="BQ91" s="55"/>
      <c r="BR91" s="55"/>
      <c r="BS91" s="55"/>
      <c r="BT91" s="55"/>
      <c r="BU91" s="55"/>
      <c r="BV91" s="55"/>
      <c r="BW91" s="55"/>
      <c r="BX91" s="55"/>
      <c r="BY91" s="55"/>
      <c r="BZ91" s="55"/>
      <c r="CA91" s="55"/>
      <c r="CB91" s="55"/>
      <c r="CC91" s="55"/>
      <c r="CD91" s="55"/>
      <c r="CE91" s="55"/>
      <c r="CF91" s="55"/>
      <c r="CG91" s="55"/>
      <c r="CH91" s="55"/>
      <c r="CI91" s="55"/>
      <c r="CJ91" s="55"/>
      <c r="CK91" s="55"/>
      <c r="CL91" s="55"/>
      <c r="CM91" s="55"/>
      <c r="CN91" s="55"/>
      <c r="CO91" s="55"/>
      <c r="CP91" s="55"/>
      <c r="CQ91" s="55"/>
      <c r="CR91" s="55"/>
      <c r="CS91" s="55"/>
      <c r="CT91" s="55"/>
      <c r="CU91" s="55"/>
      <c r="CV91" s="55"/>
    </row>
    <row r="92" spans="1:100" ht="15" customHeight="1" x14ac:dyDescent="0.25">
      <c r="A92" s="55"/>
      <c r="B92" s="301"/>
      <c r="C92" s="301"/>
      <c r="D92" s="302"/>
      <c r="E92" s="454"/>
      <c r="F92" s="455"/>
      <c r="G92" s="455"/>
      <c r="H92" s="455"/>
      <c r="I92" s="456"/>
      <c r="J92" s="437" t="str">
        <f>IF(AND('Mapa final'!$K$49="Muy Baja",'Mapa final'!$O$49="Leve"),CONCATENATE("R",'Mapa final'!$A$49),"")</f>
        <v/>
      </c>
      <c r="K92" s="438"/>
      <c r="L92" s="438" t="str">
        <f>IF(AND('Mapa final'!$K$52="Muy Baja",'Mapa final'!$O$52="Leve"),CONCATENATE("R",'Mapa final'!$A$52),"")</f>
        <v/>
      </c>
      <c r="M92" s="438"/>
      <c r="N92" s="438" t="str">
        <f>IF(AND('Mapa final'!$K$55="Muy Baja",'Mapa final'!$O$55="Leve"),CONCATENATE("R",'Mapa final'!$A$55),"")</f>
        <v/>
      </c>
      <c r="O92" s="438"/>
      <c r="P92" s="438" t="str">
        <f>IF(AND('Mapa final'!$K$58="Muy Baja",'Mapa final'!$O$58="Leve"),CONCATENATE("R",'Mapa final'!$A$58),"")</f>
        <v/>
      </c>
      <c r="Q92" s="438"/>
      <c r="R92" s="438" t="str">
        <f>IF(AND('Mapa final'!$K$61="Muy Baja",'Mapa final'!$O$61="Leve"),CONCATENATE("R",'Mapa final'!$A$61),"")</f>
        <v/>
      </c>
      <c r="S92" s="485"/>
      <c r="T92" s="437" t="str">
        <f>IF(AND('Mapa final'!$K$49="Muy Baja",'Mapa final'!$O$49="Menor"),CONCATENATE("R",'Mapa final'!$A$49),"")</f>
        <v/>
      </c>
      <c r="U92" s="438"/>
      <c r="V92" s="438" t="str">
        <f>IF(AND('Mapa final'!$K$52="Muy Baja",'Mapa final'!$O$52="Menor"),CONCATENATE("R",'Mapa final'!$A$52),"")</f>
        <v/>
      </c>
      <c r="W92" s="438"/>
      <c r="X92" s="438" t="str">
        <f>IF(AND('Mapa final'!$K$55="Muy Baja",'Mapa final'!$O$55="Menor"),CONCATENATE("R",'Mapa final'!$A$55),"")</f>
        <v/>
      </c>
      <c r="Y92" s="438"/>
      <c r="Z92" s="438" t="str">
        <f>IF(AND('Mapa final'!$K$58="Muy Baja",'Mapa final'!$O$58="Menor"),CONCATENATE("R",'Mapa final'!$A$58),"")</f>
        <v/>
      </c>
      <c r="AA92" s="438"/>
      <c r="AB92" s="438" t="str">
        <f>IF(AND('Mapa final'!$K$61="Muy Baja",'Mapa final'!$O$61="Menor"),CONCATENATE("R",'Mapa final'!$A$61),"")</f>
        <v/>
      </c>
      <c r="AC92" s="485"/>
      <c r="AD92" s="443" t="str">
        <f>IF(AND('Mapa final'!$K$49="Muy Baja",'Mapa final'!$O$49="Moderado"),CONCATENATE("R",'Mapa final'!$A$49),"")</f>
        <v/>
      </c>
      <c r="AE92" s="444"/>
      <c r="AF92" s="444" t="str">
        <f>IF(AND('Mapa final'!$K$52="Muy Baja",'Mapa final'!$O$52="Moderado"),CONCATENATE("R",'Mapa final'!$A$52),"")</f>
        <v/>
      </c>
      <c r="AG92" s="444"/>
      <c r="AH92" s="444" t="str">
        <f>IF(AND('Mapa final'!$K$55="Muy Baja",'Mapa final'!$O$55="Moderado"),CONCATENATE("R",'Mapa final'!$A$55),"")</f>
        <v/>
      </c>
      <c r="AI92" s="444"/>
      <c r="AJ92" s="444" t="str">
        <f>IF(AND('Mapa final'!$K$58="Muy Baja",'Mapa final'!$O$58="Moderado"),CONCATENATE("R",'Mapa final'!$A$58),"")</f>
        <v/>
      </c>
      <c r="AK92" s="444"/>
      <c r="AL92" s="444" t="str">
        <f>IF(AND('Mapa final'!$K$61="Muy Baja",'Mapa final'!$O$61="Moderado"),CONCATENATE("R",'Mapa final'!$A$61),"")</f>
        <v/>
      </c>
      <c r="AM92" s="447"/>
      <c r="AN92" s="476" t="str">
        <f>IF(AND('Mapa final'!$K$49="Muy Baja",'Mapa final'!$O$49="Mayor"),CONCATENATE("R",'Mapa final'!$A$49),"")</f>
        <v/>
      </c>
      <c r="AO92" s="436"/>
      <c r="AP92" s="436" t="str">
        <f>IF(AND('Mapa final'!$K$52="Muy Baja",'Mapa final'!$O$52="Mayor"),CONCATENATE("R",'Mapa final'!$A$52),"")</f>
        <v/>
      </c>
      <c r="AQ92" s="436"/>
      <c r="AR92" s="436" t="str">
        <f>IF(AND('Mapa final'!$K$55="Muy Baja",'Mapa final'!$O$55="Mayor"),CONCATENATE("R",'Mapa final'!$A$55),"")</f>
        <v/>
      </c>
      <c r="AS92" s="436"/>
      <c r="AT92" s="436" t="str">
        <f>IF(AND('Mapa final'!$K$58="Muy Baja",'Mapa final'!$O$58="Mayor"),CONCATENATE("R",'Mapa final'!$A$58),"")</f>
        <v/>
      </c>
      <c r="AU92" s="436"/>
      <c r="AV92" s="436" t="str">
        <f>IF(AND('Mapa final'!$K$61="Muy Baja",'Mapa final'!$O$61="Mayor"),CONCATENATE("R",'Mapa final'!$A$61),"")</f>
        <v/>
      </c>
      <c r="AW92" s="475"/>
      <c r="AX92" s="467" t="str">
        <f>IF(AND('Mapa final'!$K$49="Muy Baja",'Mapa final'!$O$49="Catastrófico"),CONCATENATE("R",'Mapa final'!$A$49),"")</f>
        <v/>
      </c>
      <c r="AY92" s="465"/>
      <c r="AZ92" s="465" t="str">
        <f>IF(AND('Mapa final'!$K$52="Muy Baja",'Mapa final'!$O$52="Catastrófico"),CONCATENATE("R",'Mapa final'!$A$52),"")</f>
        <v/>
      </c>
      <c r="BA92" s="465"/>
      <c r="BB92" s="465" t="str">
        <f>IF(AND('Mapa final'!$K$55="Muy Baja",'Mapa final'!$O$55="Catastrófico"),CONCATENATE("R",'Mapa final'!$A$55),"")</f>
        <v/>
      </c>
      <c r="BC92" s="465"/>
      <c r="BD92" s="465" t="str">
        <f>IF(AND('Mapa final'!$K$58="Muy Baja",'Mapa final'!$O$58="Catastrófico"),CONCATENATE("R",'Mapa final'!$A$58),"")</f>
        <v/>
      </c>
      <c r="BE92" s="465"/>
      <c r="BF92" s="465" t="str">
        <f>IF(AND('Mapa final'!$K$61="Muy Baja",'Mapa final'!$O$61="Catastrófico"),CONCATENATE("R",'Mapa final'!$A$61),"")</f>
        <v/>
      </c>
      <c r="BG92" s="466"/>
      <c r="BH92" s="55"/>
      <c r="BI92" s="516"/>
      <c r="BJ92" s="517"/>
      <c r="BK92" s="517"/>
      <c r="BL92" s="517"/>
      <c r="BM92" s="517"/>
      <c r="BN92" s="518"/>
      <c r="BO92" s="55"/>
      <c r="BP92" s="55"/>
      <c r="BQ92" s="55"/>
      <c r="BR92" s="55"/>
      <c r="BS92" s="55"/>
      <c r="BT92" s="55"/>
      <c r="BU92" s="55"/>
      <c r="BV92" s="55"/>
      <c r="BW92" s="55"/>
      <c r="BX92" s="55"/>
      <c r="BY92" s="55"/>
      <c r="BZ92" s="55"/>
      <c r="CA92" s="55"/>
      <c r="CB92" s="55"/>
      <c r="CC92" s="55"/>
      <c r="CD92" s="55"/>
      <c r="CE92" s="55"/>
      <c r="CF92" s="55"/>
      <c r="CG92" s="55"/>
      <c r="CH92" s="55"/>
      <c r="CI92" s="55"/>
      <c r="CJ92" s="55"/>
      <c r="CK92" s="55"/>
      <c r="CL92" s="55"/>
      <c r="CM92" s="55"/>
      <c r="CN92" s="55"/>
      <c r="CO92" s="55"/>
      <c r="CP92" s="55"/>
      <c r="CQ92" s="55"/>
      <c r="CR92" s="55"/>
      <c r="CS92" s="55"/>
      <c r="CT92" s="55"/>
      <c r="CU92" s="55"/>
      <c r="CV92" s="55"/>
    </row>
    <row r="93" spans="1:100" ht="15" customHeight="1" x14ac:dyDescent="0.25">
      <c r="A93" s="55"/>
      <c r="B93" s="301"/>
      <c r="C93" s="301"/>
      <c r="D93" s="302"/>
      <c r="E93" s="454"/>
      <c r="F93" s="455"/>
      <c r="G93" s="455"/>
      <c r="H93" s="455"/>
      <c r="I93" s="456"/>
      <c r="J93" s="437"/>
      <c r="K93" s="438"/>
      <c r="L93" s="438"/>
      <c r="M93" s="438"/>
      <c r="N93" s="438"/>
      <c r="O93" s="438"/>
      <c r="P93" s="438"/>
      <c r="Q93" s="438"/>
      <c r="R93" s="438"/>
      <c r="S93" s="485"/>
      <c r="T93" s="437"/>
      <c r="U93" s="438"/>
      <c r="V93" s="438"/>
      <c r="W93" s="438"/>
      <c r="X93" s="438"/>
      <c r="Y93" s="438"/>
      <c r="Z93" s="438"/>
      <c r="AA93" s="438"/>
      <c r="AB93" s="438"/>
      <c r="AC93" s="485"/>
      <c r="AD93" s="443"/>
      <c r="AE93" s="444"/>
      <c r="AF93" s="444"/>
      <c r="AG93" s="444"/>
      <c r="AH93" s="444"/>
      <c r="AI93" s="444"/>
      <c r="AJ93" s="444"/>
      <c r="AK93" s="444"/>
      <c r="AL93" s="444"/>
      <c r="AM93" s="447"/>
      <c r="AN93" s="476"/>
      <c r="AO93" s="436"/>
      <c r="AP93" s="436"/>
      <c r="AQ93" s="436"/>
      <c r="AR93" s="436"/>
      <c r="AS93" s="436"/>
      <c r="AT93" s="436"/>
      <c r="AU93" s="436"/>
      <c r="AV93" s="436"/>
      <c r="AW93" s="475"/>
      <c r="AX93" s="467"/>
      <c r="AY93" s="465"/>
      <c r="AZ93" s="465"/>
      <c r="BA93" s="465"/>
      <c r="BB93" s="465"/>
      <c r="BC93" s="465"/>
      <c r="BD93" s="465"/>
      <c r="BE93" s="465"/>
      <c r="BF93" s="465"/>
      <c r="BG93" s="466"/>
      <c r="BH93" s="55"/>
      <c r="BI93" s="516"/>
      <c r="BJ93" s="517"/>
      <c r="BK93" s="517"/>
      <c r="BL93" s="517"/>
      <c r="BM93" s="517"/>
      <c r="BN93" s="518"/>
      <c r="BO93" s="55"/>
      <c r="BP93" s="55"/>
      <c r="BQ93" s="55"/>
      <c r="BR93" s="55"/>
      <c r="BS93" s="55"/>
      <c r="BT93" s="55"/>
      <c r="BU93" s="55"/>
      <c r="BV93" s="55"/>
      <c r="BW93" s="55"/>
      <c r="BX93" s="55"/>
      <c r="BY93" s="55"/>
      <c r="BZ93" s="55"/>
      <c r="CA93" s="55"/>
      <c r="CB93" s="55"/>
      <c r="CC93" s="55"/>
      <c r="CD93" s="55"/>
      <c r="CE93" s="55"/>
      <c r="CF93" s="55"/>
      <c r="CG93" s="55"/>
      <c r="CH93" s="55"/>
      <c r="CI93" s="55"/>
      <c r="CJ93" s="55"/>
      <c r="CK93" s="55"/>
      <c r="CL93" s="55"/>
      <c r="CM93" s="55"/>
      <c r="CN93" s="55"/>
      <c r="CO93" s="55"/>
      <c r="CP93" s="55"/>
      <c r="CQ93" s="55"/>
      <c r="CR93" s="55"/>
      <c r="CS93" s="55"/>
      <c r="CT93" s="55"/>
      <c r="CU93" s="55"/>
      <c r="CV93" s="55"/>
    </row>
    <row r="94" spans="1:100" ht="15" customHeight="1" x14ac:dyDescent="0.25">
      <c r="A94" s="55"/>
      <c r="B94" s="301"/>
      <c r="C94" s="301"/>
      <c r="D94" s="302"/>
      <c r="E94" s="454"/>
      <c r="F94" s="455"/>
      <c r="G94" s="455"/>
      <c r="H94" s="455"/>
      <c r="I94" s="456"/>
      <c r="J94" s="437" t="str">
        <f>IF(AND('Mapa final'!$K$64="Muy Baja",'Mapa final'!$O$64="Leve"),CONCATENATE("R",'Mapa final'!$A$64),"")</f>
        <v/>
      </c>
      <c r="K94" s="438"/>
      <c r="L94" s="438" t="str">
        <f>IF(AND('Mapa final'!$K$67="Muy Baja",'Mapa final'!$O$67="Leve"),CONCATENATE("R",'Mapa final'!$A$67),"")</f>
        <v/>
      </c>
      <c r="M94" s="438"/>
      <c r="N94" s="438" t="str">
        <f>IF(AND('Mapa final'!$K$73="Muy Baja",'Mapa final'!$O$73="Leve"),CONCATENATE("R",'Mapa final'!$A$73),"")</f>
        <v/>
      </c>
      <c r="O94" s="438"/>
      <c r="P94" s="438" t="str">
        <f>IF(AND('Mapa final'!$K$76="Muy Baja",'Mapa final'!$O$76="Leve"),CONCATENATE("R",'Mapa final'!$A$76),"")</f>
        <v/>
      </c>
      <c r="Q94" s="438"/>
      <c r="R94" s="438" t="str">
        <f>IF(AND('Mapa final'!$K$79="Muy Baja",'Mapa final'!$O$79="Leve"),CONCATENATE("R",'Mapa final'!$A$79),"")</f>
        <v/>
      </c>
      <c r="S94" s="485"/>
      <c r="T94" s="437" t="str">
        <f>IF(AND('Mapa final'!$K$64="Muy Baja",'Mapa final'!$O$64="Menor"),CONCATENATE("R",'Mapa final'!$A$64),"")</f>
        <v/>
      </c>
      <c r="U94" s="438"/>
      <c r="V94" s="438" t="str">
        <f>IF(AND('Mapa final'!$K$67="Muy Baja",'Mapa final'!$O$67="Menor"),CONCATENATE("R",'Mapa final'!$A$67),"")</f>
        <v/>
      </c>
      <c r="W94" s="438"/>
      <c r="X94" s="438" t="str">
        <f>IF(AND('Mapa final'!$K$73="Muy Baja",'Mapa final'!$O$73="Menor"),CONCATENATE("R",'Mapa final'!$A$73),"")</f>
        <v/>
      </c>
      <c r="Y94" s="438"/>
      <c r="Z94" s="438" t="str">
        <f>IF(AND('Mapa final'!$K$76="Muy Baja",'Mapa final'!$O$76="Menor"),CONCATENATE("R",'Mapa final'!$A$76),"")</f>
        <v/>
      </c>
      <c r="AA94" s="438"/>
      <c r="AB94" s="438" t="str">
        <f>IF(AND('Mapa final'!$K$79="Muy Baja",'Mapa final'!$O$79="Menor"),CONCATENATE("R",'Mapa final'!$A$79),"")</f>
        <v/>
      </c>
      <c r="AC94" s="485"/>
      <c r="AD94" s="443" t="str">
        <f>IF(AND('Mapa final'!$K$64="Muy Baja",'Mapa final'!$O$64="Moderado"),CONCATENATE("R",'Mapa final'!$A$64),"")</f>
        <v/>
      </c>
      <c r="AE94" s="444"/>
      <c r="AF94" s="444" t="str">
        <f>IF(AND('Mapa final'!$K$67="Muy Baja",'Mapa final'!$O$67="Moderado"),CONCATENATE("R",'Mapa final'!$A$67),"")</f>
        <v/>
      </c>
      <c r="AG94" s="444"/>
      <c r="AH94" s="444" t="str">
        <f>IF(AND('Mapa final'!$K$73="Muy Baja",'Mapa final'!$O$73="Moderado"),CONCATENATE("R",'Mapa final'!$A$73),"")</f>
        <v/>
      </c>
      <c r="AI94" s="444"/>
      <c r="AJ94" s="444" t="str">
        <f>IF(AND('Mapa final'!$K$76="Muy Baja",'Mapa final'!$O$76="Moderado"),CONCATENATE("R",'Mapa final'!$A$76),"")</f>
        <v/>
      </c>
      <c r="AK94" s="444"/>
      <c r="AL94" s="444" t="str">
        <f>IF(AND('Mapa final'!$K$79="Muy Baja",'Mapa final'!$O$79="Moderado"),CONCATENATE("R",'Mapa final'!$A$79),"")</f>
        <v/>
      </c>
      <c r="AM94" s="447"/>
      <c r="AN94" s="476" t="str">
        <f>IF(AND('Mapa final'!$K$64="Muy Baja",'Mapa final'!$O$64="Mayor"),CONCATENATE("R",'Mapa final'!$A$64),"")</f>
        <v/>
      </c>
      <c r="AO94" s="436"/>
      <c r="AP94" s="436" t="str">
        <f>IF(AND('Mapa final'!$K$67="Muy Baja",'Mapa final'!$O$67="Mayor"),CONCATENATE("R",'Mapa final'!$A$67),"")</f>
        <v/>
      </c>
      <c r="AQ94" s="436"/>
      <c r="AR94" s="436" t="str">
        <f>IF(AND('Mapa final'!$K$73="Muy Baja",'Mapa final'!$O$73="Mayor"),CONCATENATE("R",'Mapa final'!$A$73),"")</f>
        <v/>
      </c>
      <c r="AS94" s="436"/>
      <c r="AT94" s="436" t="str">
        <f>IF(AND('Mapa final'!$K$76="Muy Baja",'Mapa final'!$O$76="Mayor"),CONCATENATE("R",'Mapa final'!$A$76),"")</f>
        <v/>
      </c>
      <c r="AU94" s="436"/>
      <c r="AV94" s="436" t="str">
        <f>IF(AND('Mapa final'!$K$79="Muy Baja",'Mapa final'!$O$79="Mayor"),CONCATENATE("R",'Mapa final'!$A$79),"")</f>
        <v/>
      </c>
      <c r="AW94" s="475"/>
      <c r="AX94" s="467" t="str">
        <f>IF(AND('Mapa final'!$K$64="Muy Baja",'Mapa final'!$O$64="Catastrófico"),CONCATENATE("R",'Mapa final'!$A$64),"")</f>
        <v/>
      </c>
      <c r="AY94" s="465"/>
      <c r="AZ94" s="465" t="str">
        <f>IF(AND('Mapa final'!$K$67="Muy Baja",'Mapa final'!$O$67="Catastrófico"),CONCATENATE("R",'Mapa final'!$A$67),"")</f>
        <v/>
      </c>
      <c r="BA94" s="465"/>
      <c r="BB94" s="465" t="str">
        <f>IF(AND('Mapa final'!$K$73="Muy Baja",'Mapa final'!$O$73="Catastrófico"),CONCATENATE("R",'Mapa final'!$A$73),"")</f>
        <v/>
      </c>
      <c r="BC94" s="465"/>
      <c r="BD94" s="465" t="str">
        <f>IF(AND('Mapa final'!$K$76="Muy Baja",'Mapa final'!$O$76="Catastrófico"),CONCATENATE("R",'Mapa final'!$A$76),"")</f>
        <v/>
      </c>
      <c r="BE94" s="465"/>
      <c r="BF94" s="465" t="str">
        <f>IF(AND('Mapa final'!$K$79="Muy Baja",'Mapa final'!$O$79="Catastrófico"),CONCATENATE("R",'Mapa final'!$A$79),"")</f>
        <v/>
      </c>
      <c r="BG94" s="466"/>
      <c r="BH94" s="55"/>
      <c r="BI94" s="516"/>
      <c r="BJ94" s="517"/>
      <c r="BK94" s="517"/>
      <c r="BL94" s="517"/>
      <c r="BM94" s="517"/>
      <c r="BN94" s="518"/>
      <c r="BO94" s="55"/>
      <c r="BP94" s="55"/>
      <c r="BQ94" s="55"/>
      <c r="BR94" s="55"/>
      <c r="BS94" s="55"/>
      <c r="BT94" s="55"/>
      <c r="BU94" s="55"/>
      <c r="BV94" s="55"/>
      <c r="BW94" s="55"/>
      <c r="BX94" s="55"/>
      <c r="BY94" s="55"/>
      <c r="BZ94" s="55"/>
      <c r="CA94" s="55"/>
      <c r="CB94" s="55"/>
      <c r="CC94" s="55"/>
      <c r="CD94" s="55"/>
      <c r="CE94" s="55"/>
      <c r="CF94" s="55"/>
      <c r="CG94" s="55"/>
      <c r="CH94" s="55"/>
      <c r="CI94" s="55"/>
      <c r="CJ94" s="55"/>
      <c r="CK94" s="55"/>
      <c r="CL94" s="55"/>
      <c r="CM94" s="55"/>
      <c r="CN94" s="55"/>
      <c r="CO94" s="55"/>
      <c r="CP94" s="55"/>
      <c r="CQ94" s="55"/>
      <c r="CR94" s="55"/>
      <c r="CS94" s="55"/>
      <c r="CT94" s="55"/>
      <c r="CU94" s="55"/>
      <c r="CV94" s="55"/>
    </row>
    <row r="95" spans="1:100" ht="15" customHeight="1" x14ac:dyDescent="0.25">
      <c r="A95" s="55"/>
      <c r="B95" s="301"/>
      <c r="C95" s="301"/>
      <c r="D95" s="302"/>
      <c r="E95" s="454"/>
      <c r="F95" s="455"/>
      <c r="G95" s="455"/>
      <c r="H95" s="455"/>
      <c r="I95" s="456"/>
      <c r="J95" s="437"/>
      <c r="K95" s="438"/>
      <c r="L95" s="438"/>
      <c r="M95" s="438"/>
      <c r="N95" s="438"/>
      <c r="O95" s="438"/>
      <c r="P95" s="438"/>
      <c r="Q95" s="438"/>
      <c r="R95" s="438"/>
      <c r="S95" s="485"/>
      <c r="T95" s="437"/>
      <c r="U95" s="438"/>
      <c r="V95" s="438"/>
      <c r="W95" s="438"/>
      <c r="X95" s="438"/>
      <c r="Y95" s="438"/>
      <c r="Z95" s="438"/>
      <c r="AA95" s="438"/>
      <c r="AB95" s="438"/>
      <c r="AC95" s="485"/>
      <c r="AD95" s="443"/>
      <c r="AE95" s="444"/>
      <c r="AF95" s="444"/>
      <c r="AG95" s="444"/>
      <c r="AH95" s="444"/>
      <c r="AI95" s="444"/>
      <c r="AJ95" s="444"/>
      <c r="AK95" s="444"/>
      <c r="AL95" s="444"/>
      <c r="AM95" s="447"/>
      <c r="AN95" s="476"/>
      <c r="AO95" s="436"/>
      <c r="AP95" s="436"/>
      <c r="AQ95" s="436"/>
      <c r="AR95" s="436"/>
      <c r="AS95" s="436"/>
      <c r="AT95" s="436"/>
      <c r="AU95" s="436"/>
      <c r="AV95" s="436"/>
      <c r="AW95" s="475"/>
      <c r="AX95" s="467"/>
      <c r="AY95" s="465"/>
      <c r="AZ95" s="465"/>
      <c r="BA95" s="465"/>
      <c r="BB95" s="465"/>
      <c r="BC95" s="465"/>
      <c r="BD95" s="465"/>
      <c r="BE95" s="465"/>
      <c r="BF95" s="465"/>
      <c r="BG95" s="466"/>
      <c r="BH95" s="55"/>
      <c r="BI95" s="516"/>
      <c r="BJ95" s="517"/>
      <c r="BK95" s="517"/>
      <c r="BL95" s="517"/>
      <c r="BM95" s="517"/>
      <c r="BN95" s="518"/>
      <c r="BO95" s="55"/>
      <c r="BP95" s="55"/>
      <c r="BQ95" s="55"/>
      <c r="BR95" s="55"/>
      <c r="BS95" s="55"/>
      <c r="BT95" s="55"/>
      <c r="BU95" s="55"/>
      <c r="BV95" s="55"/>
      <c r="BW95" s="55"/>
      <c r="BX95" s="55"/>
      <c r="BY95" s="55"/>
      <c r="BZ95" s="55"/>
      <c r="CA95" s="55"/>
      <c r="CB95" s="55"/>
      <c r="CC95" s="55"/>
      <c r="CD95" s="55"/>
      <c r="CE95" s="55"/>
      <c r="CF95" s="55"/>
      <c r="CG95" s="55"/>
      <c r="CH95" s="55"/>
      <c r="CI95" s="55"/>
      <c r="CJ95" s="55"/>
      <c r="CK95" s="55"/>
      <c r="CL95" s="55"/>
      <c r="CM95" s="55"/>
      <c r="CN95" s="55"/>
      <c r="CO95" s="55"/>
      <c r="CP95" s="55"/>
      <c r="CQ95" s="55"/>
      <c r="CR95" s="55"/>
      <c r="CS95" s="55"/>
      <c r="CT95" s="55"/>
      <c r="CU95" s="55"/>
      <c r="CV95" s="55"/>
    </row>
    <row r="96" spans="1:100" ht="15" customHeight="1" x14ac:dyDescent="0.25">
      <c r="A96" s="55"/>
      <c r="B96" s="301"/>
      <c r="C96" s="301"/>
      <c r="D96" s="302"/>
      <c r="E96" s="454"/>
      <c r="F96" s="455"/>
      <c r="G96" s="455"/>
      <c r="H96" s="455"/>
      <c r="I96" s="456"/>
      <c r="J96" s="437" t="str">
        <f>IF(AND('Mapa final'!$K$82="Muy Baja",'Mapa final'!$O$82="Leve"),CONCATENATE("R",'Mapa final'!$A$82),"")</f>
        <v/>
      </c>
      <c r="K96" s="438"/>
      <c r="L96" s="438" t="str">
        <f>IF(AND('Mapa final'!$K$85="Muy Baja",'Mapa final'!$O$85="Leve"),CONCATENATE("R",'Mapa final'!$A$85),"")</f>
        <v/>
      </c>
      <c r="M96" s="438"/>
      <c r="N96" s="438" t="str">
        <f>IF(AND('Mapa final'!$K$88="Muy Baja",'Mapa final'!$O$88="Leve"),CONCATENATE("R",'Mapa final'!$A$88),"")</f>
        <v/>
      </c>
      <c r="O96" s="438"/>
      <c r="P96" s="438" t="str">
        <f>IF(AND('Mapa final'!$K$91="Muy Baja",'Mapa final'!$O$91="Leve"),CONCATENATE("R",'Mapa final'!$A$91),"")</f>
        <v/>
      </c>
      <c r="Q96" s="438"/>
      <c r="R96" s="438" t="str">
        <f>IF(AND('Mapa final'!$K$94="Muy Baja",'Mapa final'!$O$94="Leve"),CONCATENATE("R",'Mapa final'!$A$94),"")</f>
        <v/>
      </c>
      <c r="S96" s="485"/>
      <c r="T96" s="437" t="str">
        <f>IF(AND('Mapa final'!$K$82="Muy Baja",'Mapa final'!$O$82="Menor"),CONCATENATE("R",'Mapa final'!$A$82),"")</f>
        <v/>
      </c>
      <c r="U96" s="438"/>
      <c r="V96" s="438" t="str">
        <f>IF(AND('Mapa final'!$K$85="Muy Baja",'Mapa final'!$O$85="Menor"),CONCATENATE("R",'Mapa final'!$A$85),"")</f>
        <v/>
      </c>
      <c r="W96" s="438"/>
      <c r="X96" s="438" t="str">
        <f>IF(AND('Mapa final'!$K$88="Muy Baja",'Mapa final'!$O$88="Menor"),CONCATENATE("R",'Mapa final'!$A$88),"")</f>
        <v/>
      </c>
      <c r="Y96" s="438"/>
      <c r="Z96" s="438" t="str">
        <f>IF(AND('Mapa final'!$K$91="Muy Baja",'Mapa final'!$O$91="Menor"),CONCATENATE("R",'Mapa final'!$A$91),"")</f>
        <v/>
      </c>
      <c r="AA96" s="438"/>
      <c r="AB96" s="438" t="str">
        <f>IF(AND('Mapa final'!$K$94="Muy Baja",'Mapa final'!$O$94="Menor"),CONCATENATE("R",'Mapa final'!$A$94),"")</f>
        <v/>
      </c>
      <c r="AC96" s="485"/>
      <c r="AD96" s="443" t="str">
        <f>IF(AND('Mapa final'!$K$82="Muy Baja",'Mapa final'!$O$82="Moderado"),CONCATENATE("R",'Mapa final'!$A$82),"")</f>
        <v>R26</v>
      </c>
      <c r="AE96" s="444"/>
      <c r="AF96" s="444" t="str">
        <f>IF(AND('Mapa final'!$K$85="Muy Baja",'Mapa final'!$O$85="Moderado"),CONCATENATE("R",'Mapa final'!$A$85),"")</f>
        <v/>
      </c>
      <c r="AG96" s="444"/>
      <c r="AH96" s="444" t="str">
        <f>IF(AND('Mapa final'!$K$88="Muy Baja",'Mapa final'!$O$88="Moderado"),CONCATENATE("R",'Mapa final'!$A$88),"")</f>
        <v/>
      </c>
      <c r="AI96" s="444"/>
      <c r="AJ96" s="444" t="str">
        <f>IF(AND('Mapa final'!$K$91="Muy Baja",'Mapa final'!$O$91="Moderado"),CONCATENATE("R",'Mapa final'!$A$91),"")</f>
        <v/>
      </c>
      <c r="AK96" s="444"/>
      <c r="AL96" s="444" t="str">
        <f>IF(AND('Mapa final'!$K$94="Muy Baja",'Mapa final'!$O$94="Moderado"),CONCATENATE("R",'Mapa final'!$A$94),"")</f>
        <v/>
      </c>
      <c r="AM96" s="447"/>
      <c r="AN96" s="476" t="str">
        <f>IF(AND('Mapa final'!$K$82="Muy Baja",'Mapa final'!$O$82="Mayor"),CONCATENATE("R",'Mapa final'!$A$82),"")</f>
        <v/>
      </c>
      <c r="AO96" s="436"/>
      <c r="AP96" s="436" t="str">
        <f>IF(AND('Mapa final'!$K$85="Muy Baja",'Mapa final'!$O$85="Mayor"),CONCATENATE("R",'Mapa final'!$A$85),"")</f>
        <v/>
      </c>
      <c r="AQ96" s="436"/>
      <c r="AR96" s="436" t="str">
        <f>IF(AND('Mapa final'!$K$88="Muy Baja",'Mapa final'!$O$88="Mayor"),CONCATENATE("R",'Mapa final'!$A$88),"")</f>
        <v/>
      </c>
      <c r="AS96" s="436"/>
      <c r="AT96" s="436" t="str">
        <f>IF(AND('Mapa final'!$K$91="Muy Baja",'Mapa final'!$O$91="Mayor"),CONCATENATE("R",'Mapa final'!$A$91),"")</f>
        <v/>
      </c>
      <c r="AU96" s="436"/>
      <c r="AV96" s="436" t="str">
        <f>IF(AND('Mapa final'!$K$94="Muy Baja",'Mapa final'!$O$94="Mayor"),CONCATENATE("R",'Mapa final'!$A$94),"")</f>
        <v/>
      </c>
      <c r="AW96" s="475"/>
      <c r="AX96" s="467" t="str">
        <f>IF(AND('Mapa final'!$K$82="Muy Baja",'Mapa final'!$O$82="Catastrófico"),CONCATENATE("R",'Mapa final'!$A$82),"")</f>
        <v/>
      </c>
      <c r="AY96" s="465"/>
      <c r="AZ96" s="465" t="str">
        <f>IF(AND('Mapa final'!$K$85="Muy Baja",'Mapa final'!$O$85="Catastrófico"),CONCATENATE("R",'Mapa final'!$A$85),"")</f>
        <v/>
      </c>
      <c r="BA96" s="465"/>
      <c r="BB96" s="465" t="str">
        <f>IF(AND('Mapa final'!$K$88="Muy Baja",'Mapa final'!$O$88="Catastrófico"),CONCATENATE("R",'Mapa final'!$A$88),"")</f>
        <v/>
      </c>
      <c r="BC96" s="465"/>
      <c r="BD96" s="465" t="str">
        <f>IF(AND('Mapa final'!$K$91="Muy Baja",'Mapa final'!$O$91="Catastrófico"),CONCATENATE("R",'Mapa final'!$A$91),"")</f>
        <v/>
      </c>
      <c r="BE96" s="465"/>
      <c r="BF96" s="465" t="str">
        <f>IF(AND('Mapa final'!$K$94="Muy Baja",'Mapa final'!$O$94="Catastrófico"),CONCATENATE("R",'Mapa final'!$A$94),"")</f>
        <v/>
      </c>
      <c r="BG96" s="466"/>
      <c r="BH96" s="55"/>
      <c r="BI96" s="516"/>
      <c r="BJ96" s="517"/>
      <c r="BK96" s="517"/>
      <c r="BL96" s="517"/>
      <c r="BM96" s="517"/>
      <c r="BN96" s="518"/>
      <c r="BO96" s="55"/>
      <c r="BP96" s="55"/>
      <c r="BQ96" s="55"/>
      <c r="BR96" s="55"/>
      <c r="BS96" s="55"/>
      <c r="BT96" s="55"/>
      <c r="BU96" s="55"/>
      <c r="BV96" s="55"/>
      <c r="BW96" s="55"/>
      <c r="BX96" s="55"/>
      <c r="BY96" s="55"/>
      <c r="BZ96" s="55"/>
      <c r="CA96" s="55"/>
      <c r="CB96" s="55"/>
      <c r="CC96" s="55"/>
      <c r="CD96" s="55"/>
      <c r="CE96" s="55"/>
      <c r="CF96" s="55"/>
      <c r="CG96" s="55"/>
      <c r="CH96" s="55"/>
      <c r="CI96" s="55"/>
      <c r="CJ96" s="55"/>
      <c r="CK96" s="55"/>
      <c r="CL96" s="55"/>
      <c r="CM96" s="55"/>
      <c r="CN96" s="55"/>
      <c r="CO96" s="55"/>
      <c r="CP96" s="55"/>
      <c r="CQ96" s="55"/>
      <c r="CR96" s="55"/>
      <c r="CS96" s="55"/>
      <c r="CT96" s="55"/>
      <c r="CU96" s="55"/>
      <c r="CV96" s="55"/>
    </row>
    <row r="97" spans="1:100" ht="15" customHeight="1" thickBot="1" x14ac:dyDescent="0.3">
      <c r="A97" s="55"/>
      <c r="B97" s="301"/>
      <c r="C97" s="301"/>
      <c r="D97" s="302"/>
      <c r="E97" s="454"/>
      <c r="F97" s="455"/>
      <c r="G97" s="455"/>
      <c r="H97" s="455"/>
      <c r="I97" s="456"/>
      <c r="J97" s="437"/>
      <c r="K97" s="438"/>
      <c r="L97" s="438"/>
      <c r="M97" s="438"/>
      <c r="N97" s="438"/>
      <c r="O97" s="438"/>
      <c r="P97" s="438"/>
      <c r="Q97" s="438"/>
      <c r="R97" s="438"/>
      <c r="S97" s="485"/>
      <c r="T97" s="437"/>
      <c r="U97" s="438"/>
      <c r="V97" s="438"/>
      <c r="W97" s="438"/>
      <c r="X97" s="438"/>
      <c r="Y97" s="438"/>
      <c r="Z97" s="438"/>
      <c r="AA97" s="438"/>
      <c r="AB97" s="438"/>
      <c r="AC97" s="485"/>
      <c r="AD97" s="443"/>
      <c r="AE97" s="444"/>
      <c r="AF97" s="444"/>
      <c r="AG97" s="444"/>
      <c r="AH97" s="444"/>
      <c r="AI97" s="444"/>
      <c r="AJ97" s="444"/>
      <c r="AK97" s="444"/>
      <c r="AL97" s="444"/>
      <c r="AM97" s="447"/>
      <c r="AN97" s="476"/>
      <c r="AO97" s="436"/>
      <c r="AP97" s="436"/>
      <c r="AQ97" s="436"/>
      <c r="AR97" s="436"/>
      <c r="AS97" s="436"/>
      <c r="AT97" s="436"/>
      <c r="AU97" s="436"/>
      <c r="AV97" s="436"/>
      <c r="AW97" s="475"/>
      <c r="AX97" s="467"/>
      <c r="AY97" s="465"/>
      <c r="AZ97" s="465"/>
      <c r="BA97" s="465"/>
      <c r="BB97" s="465"/>
      <c r="BC97" s="465"/>
      <c r="BD97" s="465"/>
      <c r="BE97" s="465"/>
      <c r="BF97" s="465"/>
      <c r="BG97" s="466"/>
      <c r="BH97" s="55"/>
      <c r="BI97" s="519"/>
      <c r="BJ97" s="520"/>
      <c r="BK97" s="520"/>
      <c r="BL97" s="520"/>
      <c r="BM97" s="520"/>
      <c r="BN97" s="521"/>
      <c r="BO97" s="55"/>
      <c r="BP97" s="55"/>
      <c r="BQ97" s="55"/>
      <c r="BR97" s="55"/>
      <c r="BS97" s="55"/>
      <c r="BT97" s="55"/>
      <c r="BU97" s="55"/>
      <c r="BV97" s="55"/>
      <c r="BW97" s="55"/>
      <c r="BX97" s="55"/>
      <c r="BY97" s="55"/>
      <c r="BZ97" s="55"/>
      <c r="CA97" s="55"/>
      <c r="CB97" s="55"/>
      <c r="CC97" s="55"/>
      <c r="CD97" s="55"/>
      <c r="CE97" s="55"/>
      <c r="CF97" s="55"/>
      <c r="CG97" s="55"/>
      <c r="CH97" s="55"/>
      <c r="CI97" s="55"/>
      <c r="CJ97" s="55"/>
      <c r="CK97" s="55"/>
      <c r="CL97" s="55"/>
      <c r="CM97" s="55"/>
      <c r="CN97" s="55"/>
      <c r="CO97" s="55"/>
      <c r="CP97" s="55"/>
      <c r="CQ97" s="55"/>
      <c r="CR97" s="55"/>
      <c r="CS97" s="55"/>
      <c r="CT97" s="55"/>
      <c r="CU97" s="55"/>
      <c r="CV97" s="55"/>
    </row>
    <row r="98" spans="1:100" ht="15" customHeight="1" x14ac:dyDescent="0.25">
      <c r="A98" s="55"/>
      <c r="B98" s="301"/>
      <c r="C98" s="301"/>
      <c r="D98" s="302"/>
      <c r="E98" s="454"/>
      <c r="F98" s="455"/>
      <c r="G98" s="455"/>
      <c r="H98" s="455"/>
      <c r="I98" s="456"/>
      <c r="J98" s="437" t="str">
        <f>IF(AND('Mapa final'!$K$97="Muy Baja",'Mapa final'!$O$97="Leve"),CONCATENATE("R",'Mapa final'!$A$97),"")</f>
        <v/>
      </c>
      <c r="K98" s="438"/>
      <c r="L98" s="438" t="e">
        <f>IF(AND('Mapa final'!#REF!="Muy Baja",'Mapa final'!#REF!="Leve"),CONCATENATE("R",'Mapa final'!#REF!),"")</f>
        <v>#REF!</v>
      </c>
      <c r="M98" s="438"/>
      <c r="N98" s="438" t="str">
        <f>IF(AND('Mapa final'!$K$100="Muy Baja",'Mapa final'!$O$100="Leve"),CONCATENATE("R",'Mapa final'!$A$100),"")</f>
        <v/>
      </c>
      <c r="O98" s="438"/>
      <c r="P98" s="438" t="str">
        <f>IF(AND('Mapa final'!$K$103="Muy Baja",'Mapa final'!$O$103="Leve"),CONCATENATE("R",'Mapa final'!$A$103),"")</f>
        <v/>
      </c>
      <c r="Q98" s="438"/>
      <c r="R98" s="438" t="str">
        <f>IF(AND('Mapa final'!$K$106="Muy Baja",'Mapa final'!$O$106="Leve"),CONCATENATE("R",'Mapa final'!$A$106),"")</f>
        <v/>
      </c>
      <c r="S98" s="485"/>
      <c r="T98" s="437" t="str">
        <f>IF(AND('Mapa final'!$K$97="Muy Baja",'Mapa final'!$O$97="Menor"),CONCATENATE("R",'Mapa final'!$A$97),"")</f>
        <v/>
      </c>
      <c r="U98" s="438"/>
      <c r="V98" s="438" t="e">
        <f>IF(AND('Mapa final'!#REF!="Muy Baja",'Mapa final'!#REF!="Menor"),CONCATENATE("R",'Mapa final'!#REF!),"")</f>
        <v>#REF!</v>
      </c>
      <c r="W98" s="438"/>
      <c r="X98" s="438" t="str">
        <f>IF(AND('Mapa final'!$K$100="Muy Baja",'Mapa final'!$O$100="Menor"),CONCATENATE("R",'Mapa final'!$A$100),"")</f>
        <v/>
      </c>
      <c r="Y98" s="438"/>
      <c r="Z98" s="438" t="str">
        <f>IF(AND('Mapa final'!$K$103="Muy Baja",'Mapa final'!$O$103="Menor"),CONCATENATE("R",'Mapa final'!$A$103),"")</f>
        <v/>
      </c>
      <c r="AA98" s="438"/>
      <c r="AB98" s="438" t="str">
        <f>IF(AND('Mapa final'!$K$106="Muy Baja",'Mapa final'!$O$106="Menor"),CONCATENATE("R",'Mapa final'!$A$106),"")</f>
        <v/>
      </c>
      <c r="AC98" s="485"/>
      <c r="AD98" s="443" t="str">
        <f>IF(AND('Mapa final'!$K$97="Muy Baja",'Mapa final'!$O$97="Moderado"),CONCATENATE("R",'Mapa final'!$A$97),"")</f>
        <v/>
      </c>
      <c r="AE98" s="444"/>
      <c r="AF98" s="444" t="e">
        <f>IF(AND('Mapa final'!#REF!="Muy Baja",'Mapa final'!#REF!="Moderado"),CONCATENATE("R",'Mapa final'!#REF!),"")</f>
        <v>#REF!</v>
      </c>
      <c r="AG98" s="444"/>
      <c r="AH98" s="444" t="str">
        <f>IF(AND('Mapa final'!$K$100="Muy Baja",'Mapa final'!$O$100="Moderado"),CONCATENATE("R",'Mapa final'!$A$100),"")</f>
        <v/>
      </c>
      <c r="AI98" s="444"/>
      <c r="AJ98" s="444" t="str">
        <f>IF(AND('Mapa final'!$K$103="Muy Baja",'Mapa final'!$O$103="Moderado"),CONCATENATE("R",'Mapa final'!$A$103),"")</f>
        <v/>
      </c>
      <c r="AK98" s="444"/>
      <c r="AL98" s="444" t="str">
        <f>IF(AND('Mapa final'!$K$106="Muy Baja",'Mapa final'!$O$106="Moderado"),CONCATENATE("R",'Mapa final'!$A$106),"")</f>
        <v/>
      </c>
      <c r="AM98" s="447"/>
      <c r="AN98" s="476" t="str">
        <f>IF(AND('Mapa final'!$K$97="Muy Baja",'Mapa final'!$O$97="Mayor"),CONCATENATE("R",'Mapa final'!$A$97),"")</f>
        <v/>
      </c>
      <c r="AO98" s="436"/>
      <c r="AP98" s="436" t="e">
        <f>IF(AND('Mapa final'!#REF!="Muy Baja",'Mapa final'!#REF!="Mayor"),CONCATENATE("R",'Mapa final'!#REF!),"")</f>
        <v>#REF!</v>
      </c>
      <c r="AQ98" s="436"/>
      <c r="AR98" s="436" t="str">
        <f>IF(AND('Mapa final'!$K$100="Muy Baja",'Mapa final'!$O$100="Mayor"),CONCATENATE("R",'Mapa final'!$A$100),"")</f>
        <v/>
      </c>
      <c r="AS98" s="436"/>
      <c r="AT98" s="436" t="str">
        <f>IF(AND('Mapa final'!$K$103="Muy Baja",'Mapa final'!$O$103="Mayor"),CONCATENATE("R",'Mapa final'!$A$103),"")</f>
        <v/>
      </c>
      <c r="AU98" s="436"/>
      <c r="AV98" s="436" t="str">
        <f>IF(AND('Mapa final'!$K$106="Muy Baja",'Mapa final'!$O$106="Mayor"),CONCATENATE("R",'Mapa final'!$A$106),"")</f>
        <v/>
      </c>
      <c r="AW98" s="475"/>
      <c r="AX98" s="467" t="str">
        <f>IF(AND('Mapa final'!$K$97="Muy Baja",'Mapa final'!$O$97="Catastrófico"),CONCATENATE("R",'Mapa final'!$A$97),"")</f>
        <v/>
      </c>
      <c r="AY98" s="465"/>
      <c r="AZ98" s="465" t="e">
        <f>IF(AND('Mapa final'!#REF!="Muy Baja",'Mapa final'!#REF!="Catastrófico"),CONCATENATE("R",'Mapa final'!#REF!),"")</f>
        <v>#REF!</v>
      </c>
      <c r="BA98" s="465"/>
      <c r="BB98" s="465" t="str">
        <f>IF(AND('Mapa final'!$K$100="Muy Baja",'Mapa final'!$O$100="Catastrófico"),CONCATENATE("R",'Mapa final'!$A$100),"")</f>
        <v/>
      </c>
      <c r="BC98" s="465"/>
      <c r="BD98" s="465" t="str">
        <f>IF(AND('Mapa final'!$K$103="Muy Baja",'Mapa final'!$O$103="Catastrófico"),CONCATENATE("R",'Mapa final'!$A$103),"")</f>
        <v/>
      </c>
      <c r="BE98" s="465"/>
      <c r="BF98" s="465" t="str">
        <f>IF(AND('Mapa final'!$K$106="Muy Baja",'Mapa final'!$O$106="Catastrófico"),CONCATENATE("R",'Mapa final'!$A$106),"")</f>
        <v/>
      </c>
      <c r="BG98" s="466"/>
      <c r="BH98" s="55"/>
      <c r="BI98" s="55"/>
      <c r="BJ98" s="55"/>
      <c r="BK98" s="55"/>
      <c r="BL98" s="55"/>
      <c r="BM98" s="55"/>
      <c r="BN98" s="55"/>
      <c r="BO98" s="55"/>
      <c r="BP98" s="55"/>
      <c r="BQ98" s="55"/>
      <c r="BR98" s="55"/>
      <c r="BS98" s="55"/>
      <c r="BT98" s="55"/>
      <c r="BU98" s="55"/>
      <c r="BV98" s="55"/>
      <c r="BW98" s="55"/>
      <c r="BX98" s="55"/>
      <c r="BY98" s="55"/>
      <c r="BZ98" s="55"/>
      <c r="CA98" s="55"/>
      <c r="CB98" s="55"/>
      <c r="CC98" s="55"/>
      <c r="CD98" s="55"/>
      <c r="CE98" s="55"/>
      <c r="CF98" s="55"/>
      <c r="CG98" s="55"/>
      <c r="CH98" s="55"/>
      <c r="CI98" s="55"/>
      <c r="CJ98" s="55"/>
      <c r="CK98" s="55"/>
      <c r="CL98" s="55"/>
      <c r="CM98" s="55"/>
      <c r="CN98" s="55"/>
      <c r="CO98" s="55"/>
      <c r="CP98" s="55"/>
      <c r="CQ98" s="55"/>
      <c r="CR98" s="55"/>
      <c r="CS98" s="55"/>
      <c r="CT98" s="55"/>
      <c r="CU98" s="55"/>
      <c r="CV98" s="55"/>
    </row>
    <row r="99" spans="1:100" ht="15" customHeight="1" x14ac:dyDescent="0.25">
      <c r="A99" s="55"/>
      <c r="B99" s="301"/>
      <c r="C99" s="301"/>
      <c r="D99" s="302"/>
      <c r="E99" s="454"/>
      <c r="F99" s="455"/>
      <c r="G99" s="455"/>
      <c r="H99" s="455"/>
      <c r="I99" s="456"/>
      <c r="J99" s="437"/>
      <c r="K99" s="438"/>
      <c r="L99" s="438"/>
      <c r="M99" s="438"/>
      <c r="N99" s="438"/>
      <c r="O99" s="438"/>
      <c r="P99" s="438"/>
      <c r="Q99" s="438"/>
      <c r="R99" s="438"/>
      <c r="S99" s="485"/>
      <c r="T99" s="437"/>
      <c r="U99" s="438"/>
      <c r="V99" s="438"/>
      <c r="W99" s="438"/>
      <c r="X99" s="438"/>
      <c r="Y99" s="438"/>
      <c r="Z99" s="438"/>
      <c r="AA99" s="438"/>
      <c r="AB99" s="438"/>
      <c r="AC99" s="485"/>
      <c r="AD99" s="443"/>
      <c r="AE99" s="444"/>
      <c r="AF99" s="444"/>
      <c r="AG99" s="444"/>
      <c r="AH99" s="444"/>
      <c r="AI99" s="444"/>
      <c r="AJ99" s="444"/>
      <c r="AK99" s="444"/>
      <c r="AL99" s="444"/>
      <c r="AM99" s="447"/>
      <c r="AN99" s="476"/>
      <c r="AO99" s="436"/>
      <c r="AP99" s="436"/>
      <c r="AQ99" s="436"/>
      <c r="AR99" s="436"/>
      <c r="AS99" s="436"/>
      <c r="AT99" s="436"/>
      <c r="AU99" s="436"/>
      <c r="AV99" s="436"/>
      <c r="AW99" s="475"/>
      <c r="AX99" s="467"/>
      <c r="AY99" s="465"/>
      <c r="AZ99" s="465"/>
      <c r="BA99" s="465"/>
      <c r="BB99" s="465"/>
      <c r="BC99" s="465"/>
      <c r="BD99" s="465"/>
      <c r="BE99" s="465"/>
      <c r="BF99" s="465"/>
      <c r="BG99" s="466"/>
      <c r="BH99" s="55"/>
      <c r="BI99" s="55"/>
      <c r="BJ99" s="55"/>
      <c r="BK99" s="55"/>
      <c r="BL99" s="55"/>
      <c r="BM99" s="55"/>
      <c r="BN99" s="55"/>
      <c r="BO99" s="55"/>
      <c r="BP99" s="55"/>
      <c r="BQ99" s="55"/>
      <c r="BR99" s="55"/>
      <c r="BS99" s="55"/>
      <c r="BT99" s="55"/>
      <c r="BU99" s="55"/>
      <c r="BV99" s="55"/>
      <c r="BW99" s="55"/>
      <c r="BX99" s="55"/>
      <c r="BY99" s="55"/>
      <c r="BZ99" s="55"/>
      <c r="CA99" s="55"/>
      <c r="CB99" s="55"/>
      <c r="CC99" s="55"/>
      <c r="CD99" s="55"/>
      <c r="CE99" s="55"/>
      <c r="CF99" s="55"/>
      <c r="CG99" s="55"/>
      <c r="CH99" s="55"/>
      <c r="CI99" s="55"/>
      <c r="CJ99" s="55"/>
      <c r="CK99" s="55"/>
      <c r="CL99" s="55"/>
      <c r="CM99" s="55"/>
      <c r="CN99" s="55"/>
      <c r="CO99" s="55"/>
      <c r="CP99" s="55"/>
      <c r="CQ99" s="55"/>
      <c r="CR99" s="55"/>
      <c r="CS99" s="55"/>
      <c r="CT99" s="55"/>
      <c r="CU99" s="55"/>
      <c r="CV99" s="55"/>
    </row>
    <row r="100" spans="1:100" ht="15" customHeight="1" x14ac:dyDescent="0.25">
      <c r="A100" s="55"/>
      <c r="B100" s="301"/>
      <c r="C100" s="301"/>
      <c r="D100" s="302"/>
      <c r="E100" s="454"/>
      <c r="F100" s="455"/>
      <c r="G100" s="455"/>
      <c r="H100" s="455"/>
      <c r="I100" s="456"/>
      <c r="J100" s="437" t="str">
        <f>IF(AND('Mapa final'!$K$109="Muy Baja",'Mapa final'!$O$109="Leve"),CONCATENATE("R",'Mapa final'!$A$109),"")</f>
        <v/>
      </c>
      <c r="K100" s="438"/>
      <c r="L100" s="438" t="str">
        <f>IF(AND('Mapa final'!$K$112="Muy Baja",'Mapa final'!$O$112="Leve"),CONCATENATE("R",'Mapa final'!$A$112),"")</f>
        <v/>
      </c>
      <c r="M100" s="438"/>
      <c r="N100" s="438" t="str">
        <f>IF(AND('Mapa final'!$K$115="Muy Baja",'Mapa final'!$O$115="Leve"),CONCATENATE("R",'Mapa final'!$A$115),"")</f>
        <v/>
      </c>
      <c r="O100" s="438"/>
      <c r="P100" s="438" t="str">
        <f>IF(AND('Mapa final'!$K$118="Muy Baja",'Mapa final'!$O$118="Leve"),CONCATENATE("R",'Mapa final'!$A$118),"")</f>
        <v/>
      </c>
      <c r="Q100" s="438"/>
      <c r="R100" s="438" t="str">
        <f>IF(AND('Mapa final'!$K$121="Muy Baja",'Mapa final'!$O$121="Leve"),CONCATENATE("R",'Mapa final'!$A$121),"")</f>
        <v/>
      </c>
      <c r="S100" s="485"/>
      <c r="T100" s="437" t="str">
        <f>IF(AND('Mapa final'!$K$109="Muy Baja",'Mapa final'!$O$109="Menor"),CONCATENATE("R",'Mapa final'!$A$109),"")</f>
        <v/>
      </c>
      <c r="U100" s="438"/>
      <c r="V100" s="438" t="str">
        <f>IF(AND('Mapa final'!$K$112="Muy Baja",'Mapa final'!$O$112="Menor"),CONCATENATE("R",'Mapa final'!$A$112),"")</f>
        <v/>
      </c>
      <c r="W100" s="438"/>
      <c r="X100" s="438" t="str">
        <f>IF(AND('Mapa final'!$K$115="Muy Baja",'Mapa final'!$O$115="Menor"),CONCATENATE("R",'Mapa final'!$A$115),"")</f>
        <v/>
      </c>
      <c r="Y100" s="438"/>
      <c r="Z100" s="438" t="str">
        <f>IF(AND('Mapa final'!$K$118="Muy Baja",'Mapa final'!$O$118="Menor"),CONCATENATE("R",'Mapa final'!$A$118),"")</f>
        <v/>
      </c>
      <c r="AA100" s="438"/>
      <c r="AB100" s="438" t="str">
        <f>IF(AND('Mapa final'!$K$121="Muy Baja",'Mapa final'!$O$121="Menor"),CONCATENATE("R",'Mapa final'!$A$121),"")</f>
        <v/>
      </c>
      <c r="AC100" s="485"/>
      <c r="AD100" s="443" t="str">
        <f>IF(AND('Mapa final'!$K$109="Muy Baja",'Mapa final'!$O$109="Moderado"),CONCATENATE("R",'Mapa final'!$A$109),"")</f>
        <v/>
      </c>
      <c r="AE100" s="444"/>
      <c r="AF100" s="444" t="str">
        <f>IF(AND('Mapa final'!$K$112="Muy Baja",'Mapa final'!$O$112="Moderado"),CONCATENATE("R",'Mapa final'!$A$112),"")</f>
        <v/>
      </c>
      <c r="AG100" s="444"/>
      <c r="AH100" s="444" t="str">
        <f>IF(AND('Mapa final'!$K$115="Muy Baja",'Mapa final'!$O$115="Moderado"),CONCATENATE("R",'Mapa final'!$A$115),"")</f>
        <v/>
      </c>
      <c r="AI100" s="444"/>
      <c r="AJ100" s="444" t="str">
        <f>IF(AND('Mapa final'!$K$118="Muy Baja",'Mapa final'!$O$118="Moderado"),CONCATENATE("R",'Mapa final'!$A$118),"")</f>
        <v/>
      </c>
      <c r="AK100" s="444"/>
      <c r="AL100" s="444" t="str">
        <f>IF(AND('Mapa final'!$K$121="Muy Baja",'Mapa final'!$O$121="Moderado"),CONCATENATE("R",'Mapa final'!$A$121),"")</f>
        <v/>
      </c>
      <c r="AM100" s="447"/>
      <c r="AN100" s="476" t="str">
        <f>IF(AND('Mapa final'!$K$109="Muy Baja",'Mapa final'!$O$109="Mayor"),CONCATENATE("R",'Mapa final'!$A$109),"")</f>
        <v/>
      </c>
      <c r="AO100" s="436"/>
      <c r="AP100" s="436" t="str">
        <f>IF(AND('Mapa final'!$K$112="Muy Baja",'Mapa final'!$O$112="Mayor"),CONCATENATE("R",'Mapa final'!$A$112),"")</f>
        <v/>
      </c>
      <c r="AQ100" s="436"/>
      <c r="AR100" s="436" t="str">
        <f>IF(AND('Mapa final'!$K$115="Muy Baja",'Mapa final'!$O$115="Mayor"),CONCATENATE("R",'Mapa final'!$A$115),"")</f>
        <v/>
      </c>
      <c r="AS100" s="436"/>
      <c r="AT100" s="436" t="str">
        <f>IF(AND('Mapa final'!$K$118="Muy Baja",'Mapa final'!$O$118="Mayor"),CONCATENATE("R",'Mapa final'!$A$118),"")</f>
        <v/>
      </c>
      <c r="AU100" s="436"/>
      <c r="AV100" s="436" t="str">
        <f>IF(AND('Mapa final'!$K$121="Muy Baja",'Mapa final'!$O$121="Mayor"),CONCATENATE("R",'Mapa final'!$A$121),"")</f>
        <v/>
      </c>
      <c r="AW100" s="475"/>
      <c r="AX100" s="467" t="str">
        <f>IF(AND('Mapa final'!$K$109="Muy Baja",'Mapa final'!$O$109="Catastrófico"),CONCATENATE("R",'Mapa final'!$A$109),"")</f>
        <v/>
      </c>
      <c r="AY100" s="465"/>
      <c r="AZ100" s="465" t="str">
        <f>IF(AND('Mapa final'!$K$112="Muy Baja",'Mapa final'!$O$112="Catastrófico"),CONCATENATE("R",'Mapa final'!$A$112),"")</f>
        <v/>
      </c>
      <c r="BA100" s="465"/>
      <c r="BB100" s="465" t="str">
        <f>IF(AND('Mapa final'!$K$115="Muy Baja",'Mapa final'!$O$115="Catastrófico"),CONCATENATE("R",'Mapa final'!$A$115),"")</f>
        <v/>
      </c>
      <c r="BC100" s="465"/>
      <c r="BD100" s="465" t="str">
        <f>IF(AND('Mapa final'!$K$118="Muy Baja",'Mapa final'!$O$118="Catastrófico"),CONCATENATE("R",'Mapa final'!$A$118),"")</f>
        <v/>
      </c>
      <c r="BE100" s="465"/>
      <c r="BF100" s="465" t="str">
        <f>IF(AND('Mapa final'!$K$121="Muy Baja",'Mapa final'!$O$121="Catastrófico"),CONCATENATE("R",'Mapa final'!$A$121),"")</f>
        <v/>
      </c>
      <c r="BG100" s="466"/>
      <c r="BH100" s="55"/>
      <c r="BI100" s="55"/>
      <c r="BJ100" s="55"/>
      <c r="BK100" s="55"/>
      <c r="BL100" s="55"/>
      <c r="BM100" s="55"/>
      <c r="BN100" s="55"/>
      <c r="BO100" s="55"/>
      <c r="BP100" s="55"/>
      <c r="BQ100" s="55"/>
      <c r="BR100" s="55"/>
      <c r="BS100" s="55"/>
      <c r="BT100" s="55"/>
      <c r="BU100" s="55"/>
      <c r="BV100" s="55"/>
      <c r="BW100" s="55"/>
      <c r="BX100" s="55"/>
      <c r="BY100" s="55"/>
      <c r="BZ100" s="55"/>
      <c r="CA100" s="55"/>
      <c r="CB100" s="55"/>
      <c r="CC100" s="55"/>
      <c r="CD100" s="55"/>
      <c r="CE100" s="55"/>
      <c r="CF100" s="55"/>
      <c r="CG100" s="55"/>
      <c r="CH100" s="55"/>
      <c r="CI100" s="55"/>
      <c r="CJ100" s="55"/>
      <c r="CK100" s="55"/>
      <c r="CL100" s="55"/>
      <c r="CM100" s="55"/>
      <c r="CN100" s="55"/>
      <c r="CO100" s="55"/>
      <c r="CP100" s="55"/>
      <c r="CQ100" s="55"/>
      <c r="CR100" s="55"/>
      <c r="CS100" s="55"/>
      <c r="CT100" s="55"/>
      <c r="CU100" s="55"/>
      <c r="CV100" s="55"/>
    </row>
    <row r="101" spans="1:100" ht="15" customHeight="1" x14ac:dyDescent="0.25">
      <c r="A101" s="55"/>
      <c r="B101" s="301"/>
      <c r="C101" s="301"/>
      <c r="D101" s="302"/>
      <c r="E101" s="454"/>
      <c r="F101" s="455"/>
      <c r="G101" s="455"/>
      <c r="H101" s="455"/>
      <c r="I101" s="456"/>
      <c r="J101" s="437"/>
      <c r="K101" s="438"/>
      <c r="L101" s="438"/>
      <c r="M101" s="438"/>
      <c r="N101" s="438"/>
      <c r="O101" s="438"/>
      <c r="P101" s="438"/>
      <c r="Q101" s="438"/>
      <c r="R101" s="438"/>
      <c r="S101" s="485"/>
      <c r="T101" s="437"/>
      <c r="U101" s="438"/>
      <c r="V101" s="438"/>
      <c r="W101" s="438"/>
      <c r="X101" s="438"/>
      <c r="Y101" s="438"/>
      <c r="Z101" s="438"/>
      <c r="AA101" s="438"/>
      <c r="AB101" s="438"/>
      <c r="AC101" s="485"/>
      <c r="AD101" s="443"/>
      <c r="AE101" s="444"/>
      <c r="AF101" s="444"/>
      <c r="AG101" s="444"/>
      <c r="AH101" s="444"/>
      <c r="AI101" s="444"/>
      <c r="AJ101" s="444"/>
      <c r="AK101" s="444"/>
      <c r="AL101" s="444"/>
      <c r="AM101" s="447"/>
      <c r="AN101" s="476"/>
      <c r="AO101" s="436"/>
      <c r="AP101" s="436"/>
      <c r="AQ101" s="436"/>
      <c r="AR101" s="436"/>
      <c r="AS101" s="436"/>
      <c r="AT101" s="436"/>
      <c r="AU101" s="436"/>
      <c r="AV101" s="436"/>
      <c r="AW101" s="475"/>
      <c r="AX101" s="467"/>
      <c r="AY101" s="465"/>
      <c r="AZ101" s="465"/>
      <c r="BA101" s="465"/>
      <c r="BB101" s="465"/>
      <c r="BC101" s="465"/>
      <c r="BD101" s="465"/>
      <c r="BE101" s="465"/>
      <c r="BF101" s="465"/>
      <c r="BG101" s="466"/>
      <c r="BH101" s="55"/>
      <c r="BI101" s="55"/>
      <c r="BJ101" s="55"/>
      <c r="BK101" s="55"/>
      <c r="BL101" s="55"/>
      <c r="BM101" s="55"/>
      <c r="BN101" s="55"/>
      <c r="BO101" s="55"/>
      <c r="BP101" s="55"/>
      <c r="BQ101" s="55"/>
      <c r="BR101" s="55"/>
      <c r="BS101" s="55"/>
      <c r="BT101" s="55"/>
      <c r="BU101" s="55"/>
      <c r="BV101" s="55"/>
      <c r="BW101" s="55"/>
      <c r="BX101" s="55"/>
      <c r="BY101" s="55"/>
      <c r="BZ101" s="55"/>
      <c r="CA101" s="55"/>
      <c r="CB101" s="55"/>
      <c r="CC101" s="55"/>
      <c r="CD101" s="55"/>
      <c r="CE101" s="55"/>
      <c r="CF101" s="55"/>
      <c r="CG101" s="55"/>
      <c r="CH101" s="55"/>
      <c r="CI101" s="55"/>
      <c r="CJ101" s="55"/>
      <c r="CK101" s="55"/>
      <c r="CL101" s="55"/>
      <c r="CM101" s="55"/>
      <c r="CN101" s="55"/>
      <c r="CO101" s="55"/>
      <c r="CP101" s="55"/>
      <c r="CQ101" s="55"/>
      <c r="CR101" s="55"/>
      <c r="CS101" s="55"/>
      <c r="CT101" s="55"/>
      <c r="CU101" s="55"/>
      <c r="CV101" s="55"/>
    </row>
    <row r="102" spans="1:100" ht="15" customHeight="1" x14ac:dyDescent="0.25">
      <c r="A102" s="55"/>
      <c r="B102" s="301"/>
      <c r="C102" s="301"/>
      <c r="D102" s="302"/>
      <c r="E102" s="454"/>
      <c r="F102" s="455"/>
      <c r="G102" s="455"/>
      <c r="H102" s="455"/>
      <c r="I102" s="456"/>
      <c r="J102" s="437" t="str">
        <f>IF(AND('Mapa final'!$K$124="Muy Baja",'Mapa final'!$O$124="Leve"),CONCATENATE("R",'Mapa final'!$A$124),"")</f>
        <v/>
      </c>
      <c r="K102" s="438"/>
      <c r="L102" s="438" t="str">
        <f>IF(AND('Mapa final'!$K$127="Muy Baja",'Mapa final'!$O$127="Leve"),CONCATENATE("R",'Mapa final'!$A$127),"")</f>
        <v/>
      </c>
      <c r="M102" s="438"/>
      <c r="N102" s="438" t="str">
        <f>IF(AND('Mapa final'!$K$130="Muy Baja",'Mapa final'!$O$130="Leve"),CONCATENATE("R",'Mapa final'!$A$130),"")</f>
        <v/>
      </c>
      <c r="O102" s="438"/>
      <c r="P102" s="438" t="str">
        <f>IF(AND('Mapa final'!$K$133="Muy Baja",'Mapa final'!$O$133="Leve"),CONCATENATE("R",'Mapa final'!$A$133),"")</f>
        <v/>
      </c>
      <c r="Q102" s="438"/>
      <c r="R102" s="438" t="str">
        <f>IF(AND('Mapa final'!$K$136="Muy Baja",'Mapa final'!$O$136="Leve"),CONCATENATE("R",'Mapa final'!$A$136),"")</f>
        <v/>
      </c>
      <c r="S102" s="485"/>
      <c r="T102" s="437" t="str">
        <f>IF(AND('Mapa final'!$K$124="Muy Baja",'Mapa final'!$O$124="Menor"),CONCATENATE("R",'Mapa final'!$A$124),"")</f>
        <v/>
      </c>
      <c r="U102" s="438"/>
      <c r="V102" s="438" t="str">
        <f>IF(AND('Mapa final'!$K$127="Muy Baja",'Mapa final'!$O$127="Menor"),CONCATENATE("R",'Mapa final'!$A$127),"")</f>
        <v/>
      </c>
      <c r="W102" s="438"/>
      <c r="X102" s="438" t="str">
        <f>IF(AND('Mapa final'!$K$130="Muy Baja",'Mapa final'!$O$130="Menor"),CONCATENATE("R",'Mapa final'!$A$130),"")</f>
        <v/>
      </c>
      <c r="Y102" s="438"/>
      <c r="Z102" s="438" t="str">
        <f>IF(AND('Mapa final'!$K$133="Muy Baja",'Mapa final'!$O$133="Menor"),CONCATENATE("R",'Mapa final'!$A$133),"")</f>
        <v/>
      </c>
      <c r="AA102" s="438"/>
      <c r="AB102" s="438" t="str">
        <f>IF(AND('Mapa final'!$K$136="Muy Baja",'Mapa final'!$O$136="Menor"),CONCATENATE("R",'Mapa final'!$A$136),"")</f>
        <v/>
      </c>
      <c r="AC102" s="485"/>
      <c r="AD102" s="443" t="str">
        <f>IF(AND('Mapa final'!$K$124="Muy Baja",'Mapa final'!$O$124="Moderado"),CONCATENATE("R",'Mapa final'!$A$124),"")</f>
        <v/>
      </c>
      <c r="AE102" s="444"/>
      <c r="AF102" s="444" t="str">
        <f>IF(AND('Mapa final'!$K$127="Muy Baja",'Mapa final'!$O$127="Moderado"),CONCATENATE("R",'Mapa final'!$A$127),"")</f>
        <v/>
      </c>
      <c r="AG102" s="444"/>
      <c r="AH102" s="444" t="str">
        <f>IF(AND('Mapa final'!$K$130="Muy Baja",'Mapa final'!$O$130="Moderado"),CONCATENATE("R",'Mapa final'!$A$130),"")</f>
        <v/>
      </c>
      <c r="AI102" s="444"/>
      <c r="AJ102" s="444" t="str">
        <f>IF(AND('Mapa final'!$K$133="Muy Baja",'Mapa final'!$O$133="Moderado"),CONCATENATE("R",'Mapa final'!$A$133),"")</f>
        <v/>
      </c>
      <c r="AK102" s="444"/>
      <c r="AL102" s="444" t="str">
        <f>IF(AND('Mapa final'!$K$136="Muy Baja",'Mapa final'!$O$136="Moderado"),CONCATENATE("R",'Mapa final'!$A$136),"")</f>
        <v/>
      </c>
      <c r="AM102" s="447"/>
      <c r="AN102" s="476" t="str">
        <f>IF(AND('Mapa final'!$K$124="Muy Baja",'Mapa final'!$O$124="Mayor"),CONCATENATE("R",'Mapa final'!$A$124),"")</f>
        <v/>
      </c>
      <c r="AO102" s="436"/>
      <c r="AP102" s="436" t="str">
        <f>IF(AND('Mapa final'!$K$127="Muy Baja",'Mapa final'!$O$127="Mayor"),CONCATENATE("R",'Mapa final'!$A$127),"")</f>
        <v/>
      </c>
      <c r="AQ102" s="436"/>
      <c r="AR102" s="436" t="str">
        <f>IF(AND('Mapa final'!$K$130="Muy Baja",'Mapa final'!$O$130="Mayor"),CONCATENATE("R",'Mapa final'!$A$130),"")</f>
        <v/>
      </c>
      <c r="AS102" s="436"/>
      <c r="AT102" s="436" t="str">
        <f>IF(AND('Mapa final'!$K$133="Muy Baja",'Mapa final'!$O$133="Mayor"),CONCATENATE("R",'Mapa final'!$A$133),"")</f>
        <v/>
      </c>
      <c r="AU102" s="436"/>
      <c r="AV102" s="436" t="str">
        <f>IF(AND('Mapa final'!$K$136="Muy Baja",'Mapa final'!$O$136="Mayor"),CONCATENATE("R",'Mapa final'!$A$136),"")</f>
        <v/>
      </c>
      <c r="AW102" s="475"/>
      <c r="AX102" s="467" t="str">
        <f>IF(AND('Mapa final'!$K$124="Muy Baja",'Mapa final'!$O$124="Catastrófico"),CONCATENATE("R",'Mapa final'!$A$124),"")</f>
        <v/>
      </c>
      <c r="AY102" s="465"/>
      <c r="AZ102" s="465" t="str">
        <f>IF(AND('Mapa final'!$K$127="Muy Baja",'Mapa final'!$O$127="Catastrófico"),CONCATENATE("R",'Mapa final'!$A$127),"")</f>
        <v/>
      </c>
      <c r="BA102" s="465"/>
      <c r="BB102" s="465" t="str">
        <f>IF(AND('Mapa final'!$K$130="Muy Baja",'Mapa final'!$O$130="Catastrófico"),CONCATENATE("R",'Mapa final'!$A$130),"")</f>
        <v/>
      </c>
      <c r="BC102" s="465"/>
      <c r="BD102" s="465" t="str">
        <f>IF(AND('Mapa final'!$K$133="Muy Baja",'Mapa final'!$O$133="Catastrófico"),CONCATENATE("R",'Mapa final'!$A$133),"")</f>
        <v/>
      </c>
      <c r="BE102" s="465"/>
      <c r="BF102" s="465" t="str">
        <f>IF(AND('Mapa final'!$K$136="Muy Baja",'Mapa final'!$O$136="Catastrófico"),CONCATENATE("R",'Mapa final'!$A$136),"")</f>
        <v/>
      </c>
      <c r="BG102" s="466"/>
      <c r="BH102" s="55"/>
      <c r="BI102" s="55"/>
      <c r="BJ102" s="55"/>
      <c r="BK102" s="55"/>
      <c r="BL102" s="55"/>
      <c r="BM102" s="55"/>
      <c r="BN102" s="55"/>
      <c r="BO102" s="55"/>
      <c r="BP102" s="55"/>
      <c r="BQ102" s="55"/>
      <c r="BR102" s="55"/>
      <c r="BS102" s="55"/>
      <c r="BT102" s="55"/>
      <c r="BU102" s="55"/>
      <c r="BV102" s="55"/>
      <c r="BW102" s="55"/>
      <c r="BX102" s="55"/>
      <c r="BY102" s="55"/>
      <c r="BZ102" s="55"/>
      <c r="CA102" s="55"/>
      <c r="CB102" s="55"/>
      <c r="CC102" s="55"/>
      <c r="CD102" s="55"/>
      <c r="CE102" s="55"/>
      <c r="CF102" s="55"/>
      <c r="CG102" s="55"/>
      <c r="CH102" s="55"/>
      <c r="CI102" s="55"/>
      <c r="CJ102" s="55"/>
      <c r="CK102" s="55"/>
      <c r="CL102" s="55"/>
      <c r="CM102" s="55"/>
      <c r="CN102" s="55"/>
      <c r="CO102" s="55"/>
      <c r="CP102" s="55"/>
      <c r="CQ102" s="55"/>
      <c r="CR102" s="55"/>
      <c r="CS102" s="55"/>
      <c r="CT102" s="55"/>
      <c r="CU102" s="55"/>
      <c r="CV102" s="55"/>
    </row>
    <row r="103" spans="1:100" ht="15" customHeight="1" x14ac:dyDescent="0.25">
      <c r="A103" s="55"/>
      <c r="B103" s="301"/>
      <c r="C103" s="301"/>
      <c r="D103" s="302"/>
      <c r="E103" s="454"/>
      <c r="F103" s="455"/>
      <c r="G103" s="455"/>
      <c r="H103" s="455"/>
      <c r="I103" s="456"/>
      <c r="J103" s="437"/>
      <c r="K103" s="438"/>
      <c r="L103" s="438"/>
      <c r="M103" s="438"/>
      <c r="N103" s="438"/>
      <c r="O103" s="438"/>
      <c r="P103" s="438"/>
      <c r="Q103" s="438"/>
      <c r="R103" s="438"/>
      <c r="S103" s="485"/>
      <c r="T103" s="437"/>
      <c r="U103" s="438"/>
      <c r="V103" s="438"/>
      <c r="W103" s="438"/>
      <c r="X103" s="438"/>
      <c r="Y103" s="438"/>
      <c r="Z103" s="438"/>
      <c r="AA103" s="438"/>
      <c r="AB103" s="438"/>
      <c r="AC103" s="485"/>
      <c r="AD103" s="443"/>
      <c r="AE103" s="444"/>
      <c r="AF103" s="444"/>
      <c r="AG103" s="444"/>
      <c r="AH103" s="444"/>
      <c r="AI103" s="444"/>
      <c r="AJ103" s="444"/>
      <c r="AK103" s="444"/>
      <c r="AL103" s="444"/>
      <c r="AM103" s="447"/>
      <c r="AN103" s="476"/>
      <c r="AO103" s="436"/>
      <c r="AP103" s="436"/>
      <c r="AQ103" s="436"/>
      <c r="AR103" s="436"/>
      <c r="AS103" s="436"/>
      <c r="AT103" s="436"/>
      <c r="AU103" s="436"/>
      <c r="AV103" s="436"/>
      <c r="AW103" s="475"/>
      <c r="AX103" s="467"/>
      <c r="AY103" s="465"/>
      <c r="AZ103" s="465"/>
      <c r="BA103" s="465"/>
      <c r="BB103" s="465"/>
      <c r="BC103" s="465"/>
      <c r="BD103" s="465"/>
      <c r="BE103" s="465"/>
      <c r="BF103" s="465"/>
      <c r="BG103" s="466"/>
      <c r="BH103" s="55"/>
      <c r="BI103" s="55"/>
      <c r="BJ103" s="55"/>
      <c r="BK103" s="55"/>
      <c r="BL103" s="55"/>
      <c r="BM103" s="55"/>
      <c r="BN103" s="55"/>
      <c r="BO103" s="55"/>
      <c r="BP103" s="55"/>
      <c r="BQ103" s="55"/>
      <c r="BR103" s="55"/>
      <c r="BS103" s="55"/>
      <c r="BT103" s="55"/>
      <c r="BU103" s="55"/>
      <c r="BV103" s="55"/>
      <c r="BW103" s="55"/>
      <c r="BX103" s="55"/>
      <c r="BY103" s="55"/>
      <c r="BZ103" s="55"/>
      <c r="CA103" s="55"/>
      <c r="CB103" s="55"/>
      <c r="CC103" s="55"/>
      <c r="CD103" s="55"/>
      <c r="CE103" s="55"/>
      <c r="CF103" s="55"/>
      <c r="CG103" s="55"/>
      <c r="CH103" s="55"/>
      <c r="CI103" s="55"/>
      <c r="CJ103" s="55"/>
      <c r="CK103" s="55"/>
      <c r="CL103" s="55"/>
      <c r="CM103" s="55"/>
      <c r="CN103" s="55"/>
      <c r="CO103" s="55"/>
      <c r="CP103" s="55"/>
      <c r="CQ103" s="55"/>
      <c r="CR103" s="55"/>
      <c r="CS103" s="55"/>
      <c r="CT103" s="55"/>
      <c r="CU103" s="55"/>
      <c r="CV103" s="55"/>
    </row>
    <row r="104" spans="1:100" ht="15" customHeight="1" x14ac:dyDescent="0.25">
      <c r="A104" s="55"/>
      <c r="B104" s="301"/>
      <c r="C104" s="301"/>
      <c r="D104" s="302"/>
      <c r="E104" s="454"/>
      <c r="F104" s="455"/>
      <c r="G104" s="455"/>
      <c r="H104" s="455"/>
      <c r="I104" s="456"/>
      <c r="J104" s="437" t="str">
        <f>IF(AND('Mapa final'!$K$139="Muy Baja",'Mapa final'!$O$139="Leve"),CONCATENATE("R",'Mapa final'!$A$139),"")</f>
        <v/>
      </c>
      <c r="K104" s="438"/>
      <c r="L104" s="438" t="str">
        <f>IF(AND('Mapa final'!$K$142="Muy Baja",'Mapa final'!$O$142="Leve"),CONCATENATE("R",'Mapa final'!$A$142),"")</f>
        <v/>
      </c>
      <c r="M104" s="438"/>
      <c r="N104" s="438" t="str">
        <f>IF(AND('Mapa final'!$K$145="Muy Baja",'Mapa final'!$O$145="Leve"),CONCATENATE("R",'Mapa final'!$A$145),"")</f>
        <v/>
      </c>
      <c r="O104" s="438"/>
      <c r="P104" s="438" t="str">
        <f>IF(AND('Mapa final'!$K$148="Muy Baja",'Mapa final'!$O$148="Leve"),CONCATENATE("R",'Mapa final'!$A$148),"")</f>
        <v/>
      </c>
      <c r="Q104" s="438"/>
      <c r="R104" s="438" t="str">
        <f>IF(AND('Mapa final'!$K$151="Muy Baja",'Mapa final'!$O$151="Leve"),CONCATENATE("R",'Mapa final'!$A$151),"")</f>
        <v/>
      </c>
      <c r="S104" s="485"/>
      <c r="T104" s="437" t="str">
        <f>IF(AND('Mapa final'!$K$139="Muy Baja",'Mapa final'!$O$139="Menor"),CONCATENATE("R",'Mapa final'!$A$139),"")</f>
        <v/>
      </c>
      <c r="U104" s="438"/>
      <c r="V104" s="438" t="str">
        <f>IF(AND('Mapa final'!$K$142="Muy Baja",'Mapa final'!$O$142="Menor"),CONCATENATE("R",'Mapa final'!$A$142),"")</f>
        <v/>
      </c>
      <c r="W104" s="438"/>
      <c r="X104" s="438" t="str">
        <f>IF(AND('Mapa final'!$K$145="Muy Baja",'Mapa final'!$O$145="Menor"),CONCATENATE("R",'Mapa final'!$A$145),"")</f>
        <v/>
      </c>
      <c r="Y104" s="438"/>
      <c r="Z104" s="438" t="str">
        <f>IF(AND('Mapa final'!$K$148="Muy Baja",'Mapa final'!$O$148="Menor"),CONCATENATE("R",'Mapa final'!$A$148),"")</f>
        <v/>
      </c>
      <c r="AA104" s="438"/>
      <c r="AB104" s="438" t="str">
        <f>IF(AND('Mapa final'!$K$151="Muy Baja",'Mapa final'!$O$151="Menor"),CONCATENATE("R",'Mapa final'!$A$151),"")</f>
        <v/>
      </c>
      <c r="AC104" s="485"/>
      <c r="AD104" s="443" t="str">
        <f>IF(AND('Mapa final'!$K$139="Muy Baja",'Mapa final'!$O$139="Moderado"),CONCATENATE("R",'Mapa final'!$A$139),"")</f>
        <v/>
      </c>
      <c r="AE104" s="444"/>
      <c r="AF104" s="444" t="str">
        <f>IF(AND('Mapa final'!$K$142="Muy Baja",'Mapa final'!$O$142="Moderado"),CONCATENATE("R",'Mapa final'!$A$142),"")</f>
        <v/>
      </c>
      <c r="AG104" s="444"/>
      <c r="AH104" s="444" t="str">
        <f>IF(AND('Mapa final'!$K$145="Muy Baja",'Mapa final'!$O$145="Moderado"),CONCATENATE("R",'Mapa final'!$A$145),"")</f>
        <v/>
      </c>
      <c r="AI104" s="444"/>
      <c r="AJ104" s="444" t="str">
        <f>IF(AND('Mapa final'!$K$148="Muy Baja",'Mapa final'!$O$148="Moderado"),CONCATENATE("R",'Mapa final'!$A$148),"")</f>
        <v/>
      </c>
      <c r="AK104" s="444"/>
      <c r="AL104" s="444" t="str">
        <f>IF(AND('Mapa final'!$K$151="Muy Baja",'Mapa final'!$O$151="Moderado"),CONCATENATE("R",'Mapa final'!$A$151),"")</f>
        <v/>
      </c>
      <c r="AM104" s="447"/>
      <c r="AN104" s="476" t="str">
        <f>IF(AND('Mapa final'!$K$139="Muy Baja",'Mapa final'!$O$139="Mayor"),CONCATENATE("R",'Mapa final'!$A$139),"")</f>
        <v/>
      </c>
      <c r="AO104" s="436"/>
      <c r="AP104" s="436" t="str">
        <f>IF(AND('Mapa final'!$K$142="Muy Baja",'Mapa final'!$O$142="Mayor"),CONCATENATE("R",'Mapa final'!$A$142),"")</f>
        <v/>
      </c>
      <c r="AQ104" s="436"/>
      <c r="AR104" s="436" t="str">
        <f>IF(AND('Mapa final'!$K$145="Muy Baja",'Mapa final'!$O$145="Mayor"),CONCATENATE("R",'Mapa final'!$A$145),"")</f>
        <v/>
      </c>
      <c r="AS104" s="436"/>
      <c r="AT104" s="436" t="str">
        <f>IF(AND('Mapa final'!$K$148="Muy Baja",'Mapa final'!$O$148="Mayor"),CONCATENATE("R",'Mapa final'!$A$148),"")</f>
        <v/>
      </c>
      <c r="AU104" s="436"/>
      <c r="AV104" s="436" t="str">
        <f>IF(AND('Mapa final'!$K$151="Muy Baja",'Mapa final'!$O$151="Mayor"),CONCATENATE("R",'Mapa final'!$A$151),"")</f>
        <v/>
      </c>
      <c r="AW104" s="475"/>
      <c r="AX104" s="467" t="str">
        <f>IF(AND('Mapa final'!$K$139="Muy Baja",'Mapa final'!$O$139="Catastrófico"),CONCATENATE("R",'Mapa final'!$A$139),"")</f>
        <v/>
      </c>
      <c r="AY104" s="465"/>
      <c r="AZ104" s="465" t="str">
        <f>IF(AND('Mapa final'!$K$142="Muy Baja",'Mapa final'!$O$142="Catastrófico"),CONCATENATE("R",'Mapa final'!$A$142),"")</f>
        <v/>
      </c>
      <c r="BA104" s="465"/>
      <c r="BB104" s="465" t="str">
        <f>IF(AND('Mapa final'!$K$145="Muy Baja",'Mapa final'!$O$145="Catastrófico"),CONCATENATE("R",'Mapa final'!$A$145),"")</f>
        <v/>
      </c>
      <c r="BC104" s="465"/>
      <c r="BD104" s="465" t="str">
        <f>IF(AND('Mapa final'!$K$148="Muy Baja",'Mapa final'!$O$148="Catastrófico"),CONCATENATE("R",'Mapa final'!$A$148),"")</f>
        <v/>
      </c>
      <c r="BE104" s="465"/>
      <c r="BF104" s="465" t="str">
        <f>IF(AND('Mapa final'!$K$151="Muy Baja",'Mapa final'!$O$151="Catastrófico"),CONCATENATE("R",'Mapa final'!$A$151),"")</f>
        <v/>
      </c>
      <c r="BG104" s="466"/>
      <c r="BH104" s="55"/>
      <c r="BI104" s="55"/>
      <c r="BJ104" s="55"/>
      <c r="BK104" s="55"/>
      <c r="BL104" s="55"/>
      <c r="BM104" s="55"/>
      <c r="BN104" s="55"/>
      <c r="BO104" s="55"/>
      <c r="BP104" s="55"/>
      <c r="BQ104" s="55"/>
      <c r="BR104" s="55"/>
      <c r="BS104" s="55"/>
      <c r="BT104" s="55"/>
      <c r="BU104" s="55"/>
      <c r="BV104" s="55"/>
      <c r="BW104" s="55"/>
      <c r="BX104" s="55"/>
      <c r="BY104" s="55"/>
      <c r="BZ104" s="55"/>
      <c r="CA104" s="55"/>
      <c r="CB104" s="55"/>
      <c r="CC104" s="55"/>
      <c r="CD104" s="55"/>
      <c r="CE104" s="55"/>
      <c r="CF104" s="55"/>
      <c r="CG104" s="55"/>
      <c r="CH104" s="55"/>
      <c r="CI104" s="55"/>
      <c r="CJ104" s="55"/>
      <c r="CK104" s="55"/>
      <c r="CL104" s="55"/>
      <c r="CM104" s="55"/>
      <c r="CN104" s="55"/>
      <c r="CO104" s="55"/>
      <c r="CP104" s="55"/>
      <c r="CQ104" s="55"/>
      <c r="CR104" s="55"/>
      <c r="CS104" s="55"/>
      <c r="CT104" s="55"/>
      <c r="CU104" s="55"/>
      <c r="CV104" s="55"/>
    </row>
    <row r="105" spans="1:100" ht="15.75" customHeight="1" thickBot="1" x14ac:dyDescent="0.3">
      <c r="A105" s="55"/>
      <c r="B105" s="301"/>
      <c r="C105" s="301"/>
      <c r="D105" s="302"/>
      <c r="E105" s="457"/>
      <c r="F105" s="458"/>
      <c r="G105" s="458"/>
      <c r="H105" s="458"/>
      <c r="I105" s="459"/>
      <c r="J105" s="439"/>
      <c r="K105" s="440"/>
      <c r="L105" s="440"/>
      <c r="M105" s="440"/>
      <c r="N105" s="440"/>
      <c r="O105" s="440"/>
      <c r="P105" s="440"/>
      <c r="Q105" s="440"/>
      <c r="R105" s="440"/>
      <c r="S105" s="522"/>
      <c r="T105" s="439"/>
      <c r="U105" s="440"/>
      <c r="V105" s="440"/>
      <c r="W105" s="440"/>
      <c r="X105" s="440"/>
      <c r="Y105" s="440"/>
      <c r="Z105" s="440"/>
      <c r="AA105" s="440"/>
      <c r="AB105" s="440"/>
      <c r="AC105" s="522"/>
      <c r="AD105" s="445"/>
      <c r="AE105" s="446"/>
      <c r="AF105" s="446"/>
      <c r="AG105" s="446"/>
      <c r="AH105" s="446"/>
      <c r="AI105" s="446"/>
      <c r="AJ105" s="446"/>
      <c r="AK105" s="446"/>
      <c r="AL105" s="446"/>
      <c r="AM105" s="448"/>
      <c r="AN105" s="477"/>
      <c r="AO105" s="474"/>
      <c r="AP105" s="474"/>
      <c r="AQ105" s="474"/>
      <c r="AR105" s="474"/>
      <c r="AS105" s="474"/>
      <c r="AT105" s="474"/>
      <c r="AU105" s="474"/>
      <c r="AV105" s="474"/>
      <c r="AW105" s="478"/>
      <c r="AX105" s="468"/>
      <c r="AY105" s="469"/>
      <c r="AZ105" s="469"/>
      <c r="BA105" s="469"/>
      <c r="BB105" s="469"/>
      <c r="BC105" s="469"/>
      <c r="BD105" s="469"/>
      <c r="BE105" s="469"/>
      <c r="BF105" s="469"/>
      <c r="BG105" s="470"/>
      <c r="BH105" s="55"/>
      <c r="BI105" s="55"/>
      <c r="BJ105" s="55"/>
      <c r="BK105" s="55"/>
      <c r="BL105" s="55"/>
      <c r="BM105" s="55"/>
      <c r="BN105" s="55"/>
      <c r="BO105" s="55"/>
      <c r="BP105" s="55"/>
      <c r="BQ105" s="55"/>
      <c r="BR105" s="55"/>
      <c r="BS105" s="55"/>
      <c r="BT105" s="55"/>
      <c r="BU105" s="55"/>
      <c r="BV105" s="55"/>
      <c r="BW105" s="55"/>
      <c r="BX105" s="55"/>
      <c r="BY105" s="55"/>
      <c r="BZ105" s="55"/>
      <c r="CA105" s="55"/>
      <c r="CB105" s="55"/>
      <c r="CC105" s="55"/>
      <c r="CD105" s="55"/>
      <c r="CE105" s="55"/>
      <c r="CF105" s="55"/>
      <c r="CG105" s="55"/>
      <c r="CH105" s="55"/>
      <c r="CI105" s="55"/>
      <c r="CJ105" s="55"/>
      <c r="CK105" s="55"/>
      <c r="CL105" s="55"/>
      <c r="CM105" s="55"/>
      <c r="CN105" s="55"/>
      <c r="CO105" s="55"/>
      <c r="CP105" s="55"/>
      <c r="CQ105" s="55"/>
      <c r="CR105" s="55"/>
      <c r="CS105" s="55"/>
      <c r="CT105" s="55"/>
      <c r="CU105" s="55"/>
      <c r="CV105" s="55"/>
    </row>
    <row r="106" spans="1:100" x14ac:dyDescent="0.25">
      <c r="A106" s="55"/>
      <c r="B106" s="55"/>
      <c r="C106" s="55"/>
      <c r="D106" s="55"/>
      <c r="E106" s="55"/>
      <c r="F106" s="55"/>
      <c r="G106" s="55"/>
      <c r="H106" s="55"/>
      <c r="I106" s="55"/>
      <c r="J106" s="482" t="s">
        <v>103</v>
      </c>
      <c r="K106" s="455"/>
      <c r="L106" s="455"/>
      <c r="M106" s="455"/>
      <c r="N106" s="455"/>
      <c r="O106" s="455"/>
      <c r="P106" s="455"/>
      <c r="Q106" s="455"/>
      <c r="R106" s="455"/>
      <c r="S106" s="456"/>
      <c r="T106" s="482" t="s">
        <v>102</v>
      </c>
      <c r="U106" s="455"/>
      <c r="V106" s="455"/>
      <c r="W106" s="455"/>
      <c r="X106" s="455"/>
      <c r="Y106" s="455"/>
      <c r="Z106" s="455"/>
      <c r="AA106" s="455"/>
      <c r="AB106" s="455"/>
      <c r="AC106" s="456"/>
      <c r="AD106" s="482" t="s">
        <v>101</v>
      </c>
      <c r="AE106" s="455"/>
      <c r="AF106" s="455"/>
      <c r="AG106" s="455"/>
      <c r="AH106" s="455"/>
      <c r="AI106" s="455"/>
      <c r="AJ106" s="455"/>
      <c r="AK106" s="455"/>
      <c r="AL106" s="455"/>
      <c r="AM106" s="456"/>
      <c r="AN106" s="482" t="s">
        <v>100</v>
      </c>
      <c r="AO106" s="483"/>
      <c r="AP106" s="483"/>
      <c r="AQ106" s="483"/>
      <c r="AR106" s="483"/>
      <c r="AS106" s="483"/>
      <c r="AT106" s="455"/>
      <c r="AU106" s="455"/>
      <c r="AV106" s="455"/>
      <c r="AW106" s="456"/>
      <c r="AX106" s="482" t="s">
        <v>99</v>
      </c>
      <c r="AY106" s="455"/>
      <c r="AZ106" s="455"/>
      <c r="BA106" s="455"/>
      <c r="BB106" s="455"/>
      <c r="BC106" s="455"/>
      <c r="BD106" s="455"/>
      <c r="BE106" s="455"/>
      <c r="BF106" s="455"/>
      <c r="BG106" s="456"/>
      <c r="BH106" s="55"/>
      <c r="BI106" s="55"/>
      <c r="BJ106" s="55"/>
      <c r="BK106" s="55"/>
      <c r="BL106" s="55"/>
      <c r="BM106" s="55"/>
      <c r="BN106" s="55"/>
      <c r="BO106" s="55"/>
      <c r="BP106" s="55"/>
      <c r="BQ106" s="55"/>
      <c r="BR106" s="55"/>
      <c r="BS106" s="55"/>
      <c r="BT106" s="55"/>
      <c r="BU106" s="55"/>
      <c r="BV106" s="55"/>
      <c r="BW106" s="55"/>
      <c r="BX106" s="55"/>
      <c r="BY106" s="55"/>
      <c r="BZ106" s="55"/>
      <c r="CA106" s="55"/>
      <c r="CB106" s="55"/>
      <c r="CC106" s="55"/>
      <c r="CD106" s="55"/>
      <c r="CE106" s="55"/>
      <c r="CF106" s="55"/>
      <c r="CG106" s="55"/>
      <c r="CH106" s="55"/>
      <c r="CI106" s="55"/>
      <c r="CJ106" s="55"/>
      <c r="CK106" s="55"/>
      <c r="CL106" s="55"/>
      <c r="CM106" s="55"/>
      <c r="CN106" s="55"/>
      <c r="CO106" s="55"/>
      <c r="CP106" s="55"/>
      <c r="CQ106" s="55"/>
      <c r="CR106" s="55"/>
      <c r="CS106" s="55"/>
      <c r="CT106" s="55"/>
      <c r="CU106" s="55"/>
      <c r="CV106" s="55"/>
    </row>
    <row r="107" spans="1:100" x14ac:dyDescent="0.25">
      <c r="A107" s="55"/>
      <c r="B107" s="55"/>
      <c r="C107" s="55"/>
      <c r="D107" s="55"/>
      <c r="E107" s="55"/>
      <c r="F107" s="55"/>
      <c r="G107" s="55"/>
      <c r="H107" s="55"/>
      <c r="I107" s="55"/>
      <c r="J107" s="454"/>
      <c r="K107" s="455"/>
      <c r="L107" s="455"/>
      <c r="M107" s="455"/>
      <c r="N107" s="455"/>
      <c r="O107" s="455"/>
      <c r="P107" s="455"/>
      <c r="Q107" s="455"/>
      <c r="R107" s="455"/>
      <c r="S107" s="456"/>
      <c r="T107" s="454"/>
      <c r="U107" s="455"/>
      <c r="V107" s="455"/>
      <c r="W107" s="455"/>
      <c r="X107" s="455"/>
      <c r="Y107" s="455"/>
      <c r="Z107" s="455"/>
      <c r="AA107" s="455"/>
      <c r="AB107" s="455"/>
      <c r="AC107" s="456"/>
      <c r="AD107" s="454"/>
      <c r="AE107" s="455"/>
      <c r="AF107" s="455"/>
      <c r="AG107" s="455"/>
      <c r="AH107" s="455"/>
      <c r="AI107" s="455"/>
      <c r="AJ107" s="455"/>
      <c r="AK107" s="455"/>
      <c r="AL107" s="455"/>
      <c r="AM107" s="456"/>
      <c r="AN107" s="454"/>
      <c r="AO107" s="455"/>
      <c r="AP107" s="455"/>
      <c r="AQ107" s="455"/>
      <c r="AR107" s="455"/>
      <c r="AS107" s="455"/>
      <c r="AT107" s="455"/>
      <c r="AU107" s="455"/>
      <c r="AV107" s="455"/>
      <c r="AW107" s="456"/>
      <c r="AX107" s="454"/>
      <c r="AY107" s="455"/>
      <c r="AZ107" s="455"/>
      <c r="BA107" s="455"/>
      <c r="BB107" s="455"/>
      <c r="BC107" s="455"/>
      <c r="BD107" s="455"/>
      <c r="BE107" s="455"/>
      <c r="BF107" s="455"/>
      <c r="BG107" s="456"/>
      <c r="BH107" s="55"/>
      <c r="BI107" s="55"/>
      <c r="BJ107" s="55"/>
      <c r="BK107" s="55"/>
      <c r="BL107" s="55"/>
      <c r="BM107" s="55"/>
      <c r="BN107" s="55"/>
      <c r="BO107" s="55"/>
      <c r="BP107" s="55"/>
      <c r="BQ107" s="55"/>
      <c r="BR107" s="55"/>
      <c r="BS107" s="55"/>
      <c r="BT107" s="55"/>
      <c r="BU107" s="55"/>
      <c r="BV107" s="55"/>
      <c r="BW107" s="55"/>
      <c r="BX107" s="55"/>
      <c r="BY107" s="55"/>
      <c r="BZ107" s="55"/>
      <c r="CA107" s="55"/>
      <c r="CB107" s="55"/>
      <c r="CC107" s="55"/>
      <c r="CD107" s="55"/>
      <c r="CE107" s="55"/>
      <c r="CF107" s="55"/>
      <c r="CG107" s="55"/>
      <c r="CH107" s="55"/>
      <c r="CI107" s="55"/>
      <c r="CJ107" s="55"/>
      <c r="CK107" s="55"/>
      <c r="CL107" s="55"/>
      <c r="CM107" s="55"/>
      <c r="CN107" s="55"/>
      <c r="CO107" s="55"/>
      <c r="CP107" s="55"/>
      <c r="CQ107" s="55"/>
      <c r="CR107" s="55"/>
      <c r="CS107" s="55"/>
      <c r="CT107" s="55"/>
      <c r="CU107" s="55"/>
      <c r="CV107" s="55"/>
    </row>
    <row r="108" spans="1:100" x14ac:dyDescent="0.25">
      <c r="A108" s="55"/>
      <c r="B108" s="55"/>
      <c r="C108" s="55"/>
      <c r="D108" s="55"/>
      <c r="E108" s="55"/>
      <c r="F108" s="55"/>
      <c r="G108" s="55"/>
      <c r="H108" s="55"/>
      <c r="I108" s="55"/>
      <c r="J108" s="454"/>
      <c r="K108" s="455"/>
      <c r="L108" s="455"/>
      <c r="M108" s="455"/>
      <c r="N108" s="455"/>
      <c r="O108" s="455"/>
      <c r="P108" s="455"/>
      <c r="Q108" s="455"/>
      <c r="R108" s="455"/>
      <c r="S108" s="456"/>
      <c r="T108" s="454"/>
      <c r="U108" s="455"/>
      <c r="V108" s="455"/>
      <c r="W108" s="455"/>
      <c r="X108" s="455"/>
      <c r="Y108" s="455"/>
      <c r="Z108" s="455"/>
      <c r="AA108" s="455"/>
      <c r="AB108" s="455"/>
      <c r="AC108" s="456"/>
      <c r="AD108" s="454"/>
      <c r="AE108" s="455"/>
      <c r="AF108" s="455"/>
      <c r="AG108" s="455"/>
      <c r="AH108" s="455"/>
      <c r="AI108" s="455"/>
      <c r="AJ108" s="455"/>
      <c r="AK108" s="455"/>
      <c r="AL108" s="455"/>
      <c r="AM108" s="456"/>
      <c r="AN108" s="454"/>
      <c r="AO108" s="455"/>
      <c r="AP108" s="455"/>
      <c r="AQ108" s="455"/>
      <c r="AR108" s="455"/>
      <c r="AS108" s="455"/>
      <c r="AT108" s="455"/>
      <c r="AU108" s="455"/>
      <c r="AV108" s="455"/>
      <c r="AW108" s="456"/>
      <c r="AX108" s="454"/>
      <c r="AY108" s="455"/>
      <c r="AZ108" s="455"/>
      <c r="BA108" s="455"/>
      <c r="BB108" s="455"/>
      <c r="BC108" s="455"/>
      <c r="BD108" s="455"/>
      <c r="BE108" s="455"/>
      <c r="BF108" s="455"/>
      <c r="BG108" s="456"/>
      <c r="BH108" s="55"/>
      <c r="BI108" s="55"/>
      <c r="BJ108" s="55"/>
      <c r="BK108" s="55"/>
      <c r="BL108" s="55"/>
      <c r="BM108" s="55"/>
      <c r="BN108" s="55"/>
      <c r="BO108" s="55"/>
      <c r="BP108" s="55"/>
      <c r="BQ108" s="55"/>
      <c r="BR108" s="55"/>
      <c r="BS108" s="55"/>
      <c r="BT108" s="55"/>
      <c r="BU108" s="55"/>
      <c r="BV108" s="55"/>
      <c r="BW108" s="55"/>
      <c r="BX108" s="55"/>
      <c r="BY108" s="55"/>
      <c r="BZ108" s="55"/>
      <c r="CA108" s="55"/>
      <c r="CB108" s="55"/>
      <c r="CC108" s="55"/>
      <c r="CD108" s="55"/>
      <c r="CE108" s="55"/>
      <c r="CF108" s="55"/>
      <c r="CG108" s="55"/>
      <c r="CH108" s="55"/>
      <c r="CI108" s="55"/>
      <c r="CJ108" s="55"/>
      <c r="CK108" s="55"/>
      <c r="CL108" s="55"/>
      <c r="CM108" s="55"/>
      <c r="CN108" s="55"/>
      <c r="CO108" s="55"/>
      <c r="CP108" s="55"/>
      <c r="CQ108" s="55"/>
      <c r="CR108" s="55"/>
      <c r="CS108" s="55"/>
      <c r="CT108" s="55"/>
      <c r="CU108" s="55"/>
      <c r="CV108" s="55"/>
    </row>
    <row r="109" spans="1:100" x14ac:dyDescent="0.25">
      <c r="A109" s="55"/>
      <c r="B109" s="55"/>
      <c r="C109" s="55"/>
      <c r="D109" s="55"/>
      <c r="E109" s="55"/>
      <c r="F109" s="55"/>
      <c r="G109" s="55"/>
      <c r="H109" s="55"/>
      <c r="I109" s="55"/>
      <c r="J109" s="454"/>
      <c r="K109" s="455"/>
      <c r="L109" s="455"/>
      <c r="M109" s="455"/>
      <c r="N109" s="455"/>
      <c r="O109" s="455"/>
      <c r="P109" s="455"/>
      <c r="Q109" s="455"/>
      <c r="R109" s="455"/>
      <c r="S109" s="456"/>
      <c r="T109" s="454"/>
      <c r="U109" s="455"/>
      <c r="V109" s="455"/>
      <c r="W109" s="455"/>
      <c r="X109" s="455"/>
      <c r="Y109" s="455"/>
      <c r="Z109" s="455"/>
      <c r="AA109" s="455"/>
      <c r="AB109" s="455"/>
      <c r="AC109" s="456"/>
      <c r="AD109" s="454"/>
      <c r="AE109" s="455"/>
      <c r="AF109" s="455"/>
      <c r="AG109" s="455"/>
      <c r="AH109" s="455"/>
      <c r="AI109" s="455"/>
      <c r="AJ109" s="455"/>
      <c r="AK109" s="455"/>
      <c r="AL109" s="455"/>
      <c r="AM109" s="456"/>
      <c r="AN109" s="454"/>
      <c r="AO109" s="455"/>
      <c r="AP109" s="455"/>
      <c r="AQ109" s="455"/>
      <c r="AR109" s="455"/>
      <c r="AS109" s="455"/>
      <c r="AT109" s="455"/>
      <c r="AU109" s="455"/>
      <c r="AV109" s="455"/>
      <c r="AW109" s="456"/>
      <c r="AX109" s="454"/>
      <c r="AY109" s="455"/>
      <c r="AZ109" s="455"/>
      <c r="BA109" s="455"/>
      <c r="BB109" s="455"/>
      <c r="BC109" s="455"/>
      <c r="BD109" s="455"/>
      <c r="BE109" s="455"/>
      <c r="BF109" s="455"/>
      <c r="BG109" s="456"/>
      <c r="BH109" s="55"/>
      <c r="BI109" s="55"/>
      <c r="BJ109" s="55"/>
      <c r="BK109" s="55"/>
      <c r="BL109" s="55"/>
      <c r="BM109" s="55"/>
      <c r="BN109" s="55"/>
      <c r="BO109" s="55"/>
      <c r="BP109" s="55"/>
      <c r="BQ109" s="55"/>
      <c r="BR109" s="55"/>
      <c r="BS109" s="55"/>
      <c r="BT109" s="55"/>
      <c r="BU109" s="55"/>
      <c r="BV109" s="55"/>
      <c r="BW109" s="55"/>
      <c r="BX109" s="55"/>
      <c r="BY109" s="55"/>
      <c r="BZ109" s="55"/>
      <c r="CA109" s="55"/>
      <c r="CB109" s="55"/>
      <c r="CC109" s="55"/>
      <c r="CD109" s="55"/>
      <c r="CE109" s="55"/>
      <c r="CF109" s="55"/>
      <c r="CG109" s="55"/>
      <c r="CH109" s="55"/>
      <c r="CI109" s="55"/>
      <c r="CJ109" s="55"/>
      <c r="CK109" s="55"/>
      <c r="CL109" s="55"/>
      <c r="CM109" s="55"/>
      <c r="CN109" s="55"/>
      <c r="CO109" s="55"/>
      <c r="CP109" s="55"/>
      <c r="CQ109" s="55"/>
      <c r="CR109" s="55"/>
      <c r="CS109" s="55"/>
      <c r="CT109" s="55"/>
      <c r="CU109" s="55"/>
      <c r="CV109" s="55"/>
    </row>
    <row r="110" spans="1:100" x14ac:dyDescent="0.25">
      <c r="A110" s="55"/>
      <c r="B110" s="55"/>
      <c r="C110" s="55"/>
      <c r="D110" s="55"/>
      <c r="E110" s="55"/>
      <c r="F110" s="55"/>
      <c r="G110" s="55"/>
      <c r="H110" s="55"/>
      <c r="I110" s="55"/>
      <c r="J110" s="454"/>
      <c r="K110" s="455"/>
      <c r="L110" s="455"/>
      <c r="M110" s="455"/>
      <c r="N110" s="455"/>
      <c r="O110" s="455"/>
      <c r="P110" s="455"/>
      <c r="Q110" s="455"/>
      <c r="R110" s="455"/>
      <c r="S110" s="456"/>
      <c r="T110" s="454"/>
      <c r="U110" s="455"/>
      <c r="V110" s="455"/>
      <c r="W110" s="455"/>
      <c r="X110" s="455"/>
      <c r="Y110" s="455"/>
      <c r="Z110" s="455"/>
      <c r="AA110" s="455"/>
      <c r="AB110" s="455"/>
      <c r="AC110" s="456"/>
      <c r="AD110" s="454"/>
      <c r="AE110" s="455"/>
      <c r="AF110" s="455"/>
      <c r="AG110" s="455"/>
      <c r="AH110" s="455"/>
      <c r="AI110" s="455"/>
      <c r="AJ110" s="455"/>
      <c r="AK110" s="455"/>
      <c r="AL110" s="455"/>
      <c r="AM110" s="456"/>
      <c r="AN110" s="454"/>
      <c r="AO110" s="455"/>
      <c r="AP110" s="455"/>
      <c r="AQ110" s="455"/>
      <c r="AR110" s="455"/>
      <c r="AS110" s="455"/>
      <c r="AT110" s="455"/>
      <c r="AU110" s="455"/>
      <c r="AV110" s="455"/>
      <c r="AW110" s="456"/>
      <c r="AX110" s="454"/>
      <c r="AY110" s="455"/>
      <c r="AZ110" s="455"/>
      <c r="BA110" s="455"/>
      <c r="BB110" s="455"/>
      <c r="BC110" s="455"/>
      <c r="BD110" s="455"/>
      <c r="BE110" s="455"/>
      <c r="BF110" s="455"/>
      <c r="BG110" s="456"/>
      <c r="BH110" s="55"/>
      <c r="BI110" s="55"/>
      <c r="BJ110" s="55"/>
      <c r="BK110" s="55"/>
      <c r="BL110" s="55"/>
      <c r="BM110" s="55"/>
      <c r="BN110" s="55"/>
      <c r="BO110" s="55"/>
      <c r="BP110" s="55"/>
      <c r="BQ110" s="55"/>
      <c r="BR110" s="55"/>
      <c r="BS110" s="55"/>
      <c r="BT110" s="55"/>
      <c r="BU110" s="55"/>
      <c r="BV110" s="55"/>
      <c r="BW110" s="55"/>
      <c r="BX110" s="55"/>
      <c r="BY110" s="55"/>
      <c r="BZ110" s="55"/>
      <c r="CA110" s="55"/>
      <c r="CB110" s="55"/>
      <c r="CC110" s="55"/>
      <c r="CD110" s="55"/>
      <c r="CE110" s="55"/>
      <c r="CF110" s="55"/>
      <c r="CG110" s="55"/>
      <c r="CH110" s="55"/>
      <c r="CI110" s="55"/>
      <c r="CJ110" s="55"/>
      <c r="CK110" s="55"/>
      <c r="CL110" s="55"/>
      <c r="CM110" s="55"/>
      <c r="CN110" s="55"/>
      <c r="CO110" s="55"/>
      <c r="CP110" s="55"/>
      <c r="CQ110" s="55"/>
      <c r="CR110" s="55"/>
      <c r="CS110" s="55"/>
      <c r="CT110" s="55"/>
      <c r="CU110" s="55"/>
      <c r="CV110" s="55"/>
    </row>
    <row r="111" spans="1:100" ht="15.75" thickBot="1" x14ac:dyDescent="0.3">
      <c r="A111" s="55"/>
      <c r="B111" s="55"/>
      <c r="C111" s="55"/>
      <c r="D111" s="55"/>
      <c r="E111" s="55"/>
      <c r="F111" s="55"/>
      <c r="G111" s="55"/>
      <c r="H111" s="55"/>
      <c r="I111" s="55"/>
      <c r="J111" s="457"/>
      <c r="K111" s="458"/>
      <c r="L111" s="458"/>
      <c r="M111" s="458"/>
      <c r="N111" s="458"/>
      <c r="O111" s="458"/>
      <c r="P111" s="458"/>
      <c r="Q111" s="458"/>
      <c r="R111" s="458"/>
      <c r="S111" s="459"/>
      <c r="T111" s="457"/>
      <c r="U111" s="458"/>
      <c r="V111" s="458"/>
      <c r="W111" s="458"/>
      <c r="X111" s="458"/>
      <c r="Y111" s="458"/>
      <c r="Z111" s="458"/>
      <c r="AA111" s="458"/>
      <c r="AB111" s="458"/>
      <c r="AC111" s="459"/>
      <c r="AD111" s="457"/>
      <c r="AE111" s="458"/>
      <c r="AF111" s="458"/>
      <c r="AG111" s="458"/>
      <c r="AH111" s="458"/>
      <c r="AI111" s="458"/>
      <c r="AJ111" s="458"/>
      <c r="AK111" s="458"/>
      <c r="AL111" s="458"/>
      <c r="AM111" s="459"/>
      <c r="AN111" s="457"/>
      <c r="AO111" s="458"/>
      <c r="AP111" s="458"/>
      <c r="AQ111" s="458"/>
      <c r="AR111" s="458"/>
      <c r="AS111" s="458"/>
      <c r="AT111" s="458"/>
      <c r="AU111" s="458"/>
      <c r="AV111" s="458"/>
      <c r="AW111" s="459"/>
      <c r="AX111" s="457"/>
      <c r="AY111" s="458"/>
      <c r="AZ111" s="458"/>
      <c r="BA111" s="458"/>
      <c r="BB111" s="458"/>
      <c r="BC111" s="458"/>
      <c r="BD111" s="458"/>
      <c r="BE111" s="458"/>
      <c r="BF111" s="458"/>
      <c r="BG111" s="459"/>
      <c r="BH111" s="55"/>
      <c r="BI111" s="55"/>
      <c r="BJ111" s="55"/>
      <c r="BK111" s="55"/>
      <c r="BL111" s="55"/>
      <c r="BM111" s="55"/>
      <c r="BN111" s="55"/>
      <c r="BO111" s="55"/>
      <c r="BP111" s="55"/>
      <c r="BQ111" s="55"/>
      <c r="BR111" s="55"/>
      <c r="BS111" s="55"/>
      <c r="BT111" s="55"/>
      <c r="BU111" s="55"/>
      <c r="BV111" s="55"/>
      <c r="BW111" s="55"/>
      <c r="BX111" s="55"/>
      <c r="BY111" s="55"/>
      <c r="BZ111" s="55"/>
      <c r="CA111" s="55"/>
      <c r="CB111" s="55"/>
      <c r="CC111" s="55"/>
      <c r="CD111" s="55"/>
      <c r="CE111" s="55"/>
      <c r="CF111" s="55"/>
      <c r="CG111" s="55"/>
      <c r="CH111" s="55"/>
      <c r="CI111" s="55"/>
      <c r="CJ111" s="55"/>
      <c r="CK111" s="55"/>
      <c r="CL111" s="55"/>
      <c r="CM111" s="55"/>
      <c r="CN111" s="55"/>
      <c r="CO111" s="55"/>
      <c r="CP111" s="55"/>
      <c r="CQ111" s="55"/>
      <c r="CR111" s="55"/>
      <c r="CS111" s="55"/>
      <c r="CT111" s="55"/>
      <c r="CU111" s="55"/>
      <c r="CV111" s="55"/>
    </row>
    <row r="112" spans="1:100" x14ac:dyDescent="0.25">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c r="BI112" s="55"/>
      <c r="BJ112" s="55"/>
      <c r="BK112" s="55"/>
      <c r="BL112" s="55"/>
      <c r="BM112" s="55"/>
      <c r="BN112" s="55"/>
      <c r="BO112" s="55"/>
      <c r="BP112" s="55"/>
      <c r="BQ112" s="55"/>
      <c r="BR112" s="55"/>
      <c r="BS112" s="55"/>
      <c r="BT112" s="55"/>
      <c r="BU112" s="55"/>
      <c r="BV112" s="55"/>
      <c r="BW112" s="55"/>
      <c r="BX112" s="55"/>
      <c r="BY112" s="55"/>
      <c r="BZ112" s="55"/>
      <c r="CA112" s="55"/>
      <c r="CB112" s="55"/>
      <c r="CC112" s="55"/>
      <c r="CD112" s="55"/>
      <c r="CE112" s="55"/>
      <c r="CF112" s="55"/>
      <c r="CG112" s="55"/>
      <c r="CH112" s="55"/>
      <c r="CI112" s="55"/>
      <c r="CJ112" s="55"/>
      <c r="CK112" s="55"/>
      <c r="CL112" s="55"/>
      <c r="CM112" s="55"/>
      <c r="CN112" s="55"/>
      <c r="CO112" s="55"/>
      <c r="CP112" s="55"/>
      <c r="CQ112" s="55"/>
      <c r="CR112" s="55"/>
      <c r="CS112" s="55"/>
      <c r="CT112" s="55"/>
      <c r="CU112" s="55"/>
      <c r="CV112" s="55"/>
    </row>
    <row r="113" spans="1:100" ht="15" customHeight="1" x14ac:dyDescent="0.25">
      <c r="A113" s="55"/>
      <c r="B113" s="59"/>
      <c r="C113" s="59"/>
      <c r="D113" s="59"/>
      <c r="E113" s="59"/>
      <c r="F113" s="59"/>
      <c r="G113" s="59"/>
      <c r="H113" s="59"/>
      <c r="I113" s="59"/>
      <c r="J113" s="59"/>
      <c r="K113" s="59"/>
      <c r="L113" s="59"/>
      <c r="M113" s="59"/>
      <c r="N113" s="59"/>
      <c r="O113" s="59"/>
      <c r="P113" s="59"/>
      <c r="Q113" s="59"/>
      <c r="R113" s="59"/>
      <c r="S113" s="59"/>
      <c r="T113" s="59"/>
      <c r="U113" s="59"/>
      <c r="V113" s="59"/>
      <c r="W113" s="59"/>
      <c r="X113" s="59"/>
      <c r="Y113" s="59"/>
      <c r="Z113" s="59"/>
      <c r="AA113" s="59"/>
      <c r="AB113" s="59"/>
      <c r="AC113" s="59"/>
      <c r="AD113" s="59"/>
      <c r="AE113" s="59"/>
      <c r="AF113" s="59"/>
      <c r="AG113" s="59"/>
      <c r="AH113" s="59"/>
      <c r="AI113" s="59"/>
      <c r="AJ113" s="59"/>
      <c r="AK113" s="59"/>
      <c r="AL113" s="59"/>
      <c r="AM113" s="59"/>
      <c r="AN113" s="59"/>
      <c r="AO113" s="59"/>
      <c r="AP113" s="59"/>
      <c r="AQ113" s="59"/>
      <c r="AR113" s="59"/>
      <c r="AS113" s="59"/>
      <c r="AT113" s="59"/>
      <c r="AU113" s="59"/>
      <c r="AV113" s="59"/>
      <c r="AW113" s="59"/>
      <c r="AX113" s="59"/>
      <c r="AY113" s="59"/>
      <c r="AZ113" s="59"/>
      <c r="BA113" s="59"/>
      <c r="BB113" s="59"/>
      <c r="BC113" s="59"/>
      <c r="BD113" s="59"/>
      <c r="BE113" s="59"/>
      <c r="BF113" s="59"/>
      <c r="BG113" s="59"/>
      <c r="BH113" s="59"/>
      <c r="BI113" s="55"/>
      <c r="BJ113" s="55"/>
      <c r="BK113" s="55"/>
      <c r="BL113" s="55"/>
      <c r="BM113" s="55"/>
      <c r="BN113" s="55"/>
      <c r="BO113" s="55"/>
      <c r="BP113" s="55"/>
      <c r="BQ113" s="55"/>
      <c r="BR113" s="55"/>
      <c r="BS113" s="55"/>
      <c r="BT113" s="55"/>
      <c r="BU113" s="55"/>
      <c r="BV113" s="55"/>
      <c r="BW113" s="55"/>
      <c r="BX113" s="55"/>
      <c r="BY113" s="55"/>
      <c r="BZ113" s="55"/>
      <c r="CA113" s="55"/>
      <c r="CB113" s="55"/>
      <c r="CC113" s="55"/>
      <c r="CD113" s="55"/>
      <c r="CE113" s="55"/>
      <c r="CF113" s="55"/>
      <c r="CG113" s="55"/>
      <c r="CH113" s="55"/>
      <c r="CI113" s="55"/>
      <c r="CJ113" s="55"/>
      <c r="CK113" s="55"/>
      <c r="CL113" s="55"/>
      <c r="CM113" s="55"/>
      <c r="CN113" s="55"/>
      <c r="CO113" s="55"/>
      <c r="CP113" s="55"/>
      <c r="CQ113" s="55"/>
      <c r="CR113" s="55"/>
      <c r="CS113" s="55"/>
      <c r="CT113" s="55"/>
      <c r="CU113" s="55"/>
      <c r="CV113" s="55"/>
    </row>
    <row r="114" spans="1:100" ht="15" customHeight="1" x14ac:dyDescent="0.25">
      <c r="A114" s="55"/>
      <c r="B114" s="59"/>
      <c r="C114" s="59"/>
      <c r="D114" s="59"/>
      <c r="E114" s="59"/>
      <c r="F114" s="59"/>
      <c r="G114" s="59"/>
      <c r="H114" s="59"/>
      <c r="I114" s="59"/>
      <c r="J114" s="59"/>
      <c r="K114" s="59"/>
      <c r="L114" s="59"/>
      <c r="M114" s="59"/>
      <c r="N114" s="59"/>
      <c r="O114" s="59"/>
      <c r="P114" s="59"/>
      <c r="Q114" s="59"/>
      <c r="R114" s="59"/>
      <c r="S114" s="59"/>
      <c r="T114" s="59"/>
      <c r="U114" s="59"/>
      <c r="V114" s="59"/>
      <c r="W114" s="59"/>
      <c r="X114" s="59"/>
      <c r="Y114" s="59"/>
      <c r="Z114" s="59"/>
      <c r="AA114" s="59"/>
      <c r="AB114" s="59"/>
      <c r="AC114" s="59"/>
      <c r="AD114" s="59"/>
      <c r="AE114" s="59"/>
      <c r="AF114" s="59"/>
      <c r="AG114" s="59"/>
      <c r="AH114" s="59"/>
      <c r="AI114" s="59"/>
      <c r="AJ114" s="59"/>
      <c r="AK114" s="59"/>
      <c r="AL114" s="59"/>
      <c r="AM114" s="59"/>
      <c r="AN114" s="59"/>
      <c r="AO114" s="59"/>
      <c r="AP114" s="59"/>
      <c r="AQ114" s="59"/>
      <c r="AR114" s="59"/>
      <c r="AS114" s="59"/>
      <c r="AT114" s="59"/>
      <c r="AU114" s="59"/>
      <c r="AV114" s="59"/>
      <c r="AW114" s="59"/>
      <c r="AX114" s="59"/>
      <c r="AY114" s="59"/>
      <c r="AZ114" s="59"/>
      <c r="BA114" s="59"/>
      <c r="BB114" s="59"/>
      <c r="BC114" s="59"/>
      <c r="BD114" s="59"/>
      <c r="BE114" s="59"/>
      <c r="BF114" s="59"/>
      <c r="BG114" s="59"/>
      <c r="BH114" s="59"/>
      <c r="BI114" s="55"/>
      <c r="BJ114" s="55"/>
      <c r="BK114" s="55"/>
      <c r="BL114" s="55"/>
      <c r="BM114" s="55"/>
      <c r="BN114" s="55"/>
      <c r="BO114" s="55"/>
      <c r="BP114" s="55"/>
      <c r="BQ114" s="55"/>
      <c r="BR114" s="55"/>
      <c r="BS114" s="55"/>
      <c r="BT114" s="55"/>
      <c r="BU114" s="55"/>
      <c r="BV114" s="55"/>
      <c r="BW114" s="55"/>
      <c r="BX114" s="55"/>
      <c r="BY114" s="55"/>
      <c r="BZ114" s="55"/>
      <c r="CA114" s="55"/>
      <c r="CB114" s="55"/>
      <c r="CC114" s="55"/>
      <c r="CD114" s="55"/>
      <c r="CE114" s="55"/>
      <c r="CF114" s="55"/>
      <c r="CG114" s="55"/>
      <c r="CH114" s="55"/>
      <c r="CI114" s="55"/>
      <c r="CJ114" s="55"/>
      <c r="CK114" s="55"/>
      <c r="CL114" s="55"/>
      <c r="CM114" s="55"/>
      <c r="CN114" s="55"/>
      <c r="CO114" s="55"/>
      <c r="CP114" s="55"/>
      <c r="CQ114" s="55"/>
      <c r="CR114" s="55"/>
      <c r="CS114" s="55"/>
      <c r="CT114" s="55"/>
      <c r="CU114" s="55"/>
      <c r="CV114" s="55"/>
    </row>
    <row r="115" spans="1:100" x14ac:dyDescent="0.25">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c r="BI115" s="55"/>
      <c r="BJ115" s="55"/>
      <c r="BK115" s="55"/>
      <c r="BL115" s="55"/>
      <c r="BM115" s="55"/>
      <c r="BN115" s="55"/>
      <c r="BO115" s="55"/>
      <c r="BP115" s="55"/>
      <c r="BQ115" s="55"/>
      <c r="BR115" s="55"/>
      <c r="BS115" s="55"/>
      <c r="BT115" s="55"/>
      <c r="BU115" s="55"/>
      <c r="BV115" s="55"/>
      <c r="BW115" s="55"/>
      <c r="BX115" s="55"/>
      <c r="BY115" s="55"/>
      <c r="BZ115" s="55"/>
      <c r="CA115" s="55"/>
      <c r="CB115" s="55"/>
      <c r="CC115" s="55"/>
      <c r="CD115" s="55"/>
      <c r="CE115" s="55"/>
      <c r="CF115" s="55"/>
      <c r="CG115" s="55"/>
      <c r="CH115" s="55"/>
      <c r="CI115" s="55"/>
      <c r="CJ115" s="55"/>
      <c r="CK115" s="55"/>
      <c r="CL115" s="55"/>
      <c r="CM115" s="55"/>
      <c r="CN115" s="55"/>
      <c r="CO115" s="55"/>
      <c r="CP115" s="55"/>
      <c r="CQ115" s="55"/>
      <c r="CR115" s="55"/>
      <c r="CS115" s="55"/>
      <c r="CT115" s="55"/>
      <c r="CU115" s="55"/>
      <c r="CV115" s="55"/>
    </row>
    <row r="116" spans="1:100" x14ac:dyDescent="0.25">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c r="BI116" s="55"/>
      <c r="BJ116" s="55"/>
      <c r="BK116" s="55"/>
      <c r="BL116" s="55"/>
      <c r="BM116" s="55"/>
      <c r="BN116" s="55"/>
      <c r="BO116" s="55"/>
      <c r="BP116" s="55"/>
      <c r="BQ116" s="55"/>
      <c r="BR116" s="55"/>
      <c r="BS116" s="55"/>
      <c r="BT116" s="55"/>
      <c r="BU116" s="55"/>
      <c r="BV116" s="55"/>
      <c r="BW116" s="55"/>
      <c r="BX116" s="55"/>
      <c r="BY116" s="55"/>
      <c r="BZ116" s="55"/>
      <c r="CA116" s="55"/>
      <c r="CB116" s="55"/>
      <c r="CC116" s="55"/>
      <c r="CD116" s="55"/>
      <c r="CE116" s="55"/>
      <c r="CF116" s="55"/>
      <c r="CG116" s="55"/>
      <c r="CH116" s="55"/>
      <c r="CI116" s="55"/>
      <c r="CJ116" s="55"/>
      <c r="CK116" s="55"/>
      <c r="CL116" s="55"/>
      <c r="CM116" s="55"/>
      <c r="CN116" s="55"/>
      <c r="CO116" s="55"/>
      <c r="CP116" s="55"/>
      <c r="CQ116" s="55"/>
      <c r="CR116" s="55"/>
      <c r="CS116" s="55"/>
      <c r="CT116" s="55"/>
      <c r="CU116" s="55"/>
      <c r="CV116" s="55"/>
    </row>
    <row r="117" spans="1:100" x14ac:dyDescent="0.25">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c r="BH117" s="55"/>
      <c r="BI117" s="55"/>
      <c r="BJ117" s="55"/>
      <c r="BK117" s="55"/>
      <c r="BL117" s="55"/>
      <c r="BM117" s="55"/>
      <c r="BN117" s="55"/>
      <c r="BO117" s="55"/>
      <c r="BP117" s="55"/>
      <c r="BQ117" s="55"/>
      <c r="BR117" s="55"/>
      <c r="BS117" s="55"/>
      <c r="BT117" s="55"/>
      <c r="BU117" s="55"/>
      <c r="BV117" s="55"/>
      <c r="BW117" s="55"/>
      <c r="BX117" s="55"/>
      <c r="BY117" s="55"/>
      <c r="BZ117" s="55"/>
      <c r="CA117" s="55"/>
      <c r="CB117" s="55"/>
      <c r="CC117" s="55"/>
      <c r="CD117" s="55"/>
      <c r="CE117" s="55"/>
      <c r="CF117" s="55"/>
      <c r="CG117" s="55"/>
      <c r="CH117" s="55"/>
      <c r="CI117" s="55"/>
      <c r="CJ117" s="55"/>
      <c r="CK117" s="55"/>
      <c r="CL117" s="55"/>
      <c r="CM117" s="55"/>
      <c r="CN117" s="55"/>
      <c r="CO117" s="55"/>
      <c r="CP117" s="55"/>
      <c r="CQ117" s="55"/>
      <c r="CR117" s="55"/>
      <c r="CS117" s="55"/>
      <c r="CT117" s="55"/>
      <c r="CU117" s="55"/>
      <c r="CV117" s="55"/>
    </row>
    <row r="118" spans="1:100" x14ac:dyDescent="0.25">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c r="AZ118" s="55"/>
      <c r="BA118" s="55"/>
      <c r="BB118" s="55"/>
      <c r="BC118" s="55"/>
      <c r="BD118" s="55"/>
      <c r="BE118" s="55"/>
      <c r="BF118" s="55"/>
      <c r="BG118" s="55"/>
      <c r="BH118" s="55"/>
      <c r="BI118" s="55"/>
      <c r="BJ118" s="55"/>
      <c r="BK118" s="55"/>
      <c r="BL118" s="55"/>
      <c r="BM118" s="55"/>
      <c r="BN118" s="55"/>
      <c r="BO118" s="55"/>
      <c r="BP118" s="55"/>
      <c r="BQ118" s="55"/>
      <c r="BR118" s="55"/>
      <c r="BS118" s="55"/>
      <c r="BT118" s="55"/>
      <c r="BU118" s="55"/>
      <c r="BV118" s="55"/>
      <c r="BW118" s="55"/>
      <c r="BX118" s="55"/>
      <c r="BY118" s="55"/>
      <c r="BZ118" s="55"/>
      <c r="CA118" s="55"/>
      <c r="CB118" s="55"/>
      <c r="CC118" s="55"/>
      <c r="CD118" s="55"/>
      <c r="CE118" s="55"/>
      <c r="CF118" s="55"/>
      <c r="CG118" s="55"/>
      <c r="CH118" s="55"/>
      <c r="CI118" s="55"/>
      <c r="CJ118" s="55"/>
      <c r="CK118" s="55"/>
      <c r="CL118" s="55"/>
      <c r="CM118" s="55"/>
      <c r="CN118" s="55"/>
      <c r="CO118" s="55"/>
      <c r="CP118" s="55"/>
      <c r="CQ118" s="55"/>
      <c r="CR118" s="55"/>
      <c r="CS118" s="55"/>
      <c r="CT118" s="55"/>
      <c r="CU118" s="55"/>
      <c r="CV118" s="55"/>
    </row>
    <row r="119" spans="1:100" x14ac:dyDescent="0.25">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c r="BI119" s="55"/>
      <c r="BJ119" s="55"/>
      <c r="BK119" s="55"/>
      <c r="BL119" s="55"/>
      <c r="BM119" s="55"/>
      <c r="BN119" s="55"/>
      <c r="BO119" s="55"/>
      <c r="BP119" s="55"/>
      <c r="BQ119" s="55"/>
      <c r="BR119" s="55"/>
      <c r="BS119" s="55"/>
      <c r="BT119" s="55"/>
      <c r="BU119" s="55"/>
      <c r="BV119" s="55"/>
      <c r="BW119" s="55"/>
      <c r="BX119" s="55"/>
      <c r="BY119" s="55"/>
      <c r="BZ119" s="55"/>
      <c r="CA119" s="55"/>
      <c r="CB119" s="55"/>
      <c r="CC119" s="55"/>
      <c r="CD119" s="55"/>
      <c r="CE119" s="55"/>
      <c r="CF119" s="55"/>
      <c r="CG119" s="55"/>
      <c r="CH119" s="55"/>
      <c r="CI119" s="55"/>
      <c r="CJ119" s="55"/>
      <c r="CK119" s="55"/>
      <c r="CL119" s="55"/>
      <c r="CM119" s="55"/>
      <c r="CN119" s="55"/>
      <c r="CO119" s="55"/>
      <c r="CP119" s="55"/>
      <c r="CQ119" s="55"/>
      <c r="CR119" s="55"/>
      <c r="CS119" s="55"/>
      <c r="CT119" s="55"/>
      <c r="CU119" s="55"/>
      <c r="CV119" s="55"/>
    </row>
    <row r="120" spans="1:100" x14ac:dyDescent="0.25">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c r="BI120" s="55"/>
      <c r="BJ120" s="55"/>
      <c r="BK120" s="55"/>
      <c r="BL120" s="55"/>
      <c r="BM120" s="55"/>
      <c r="BN120" s="55"/>
      <c r="BO120" s="55"/>
      <c r="BP120" s="55"/>
      <c r="BQ120" s="55"/>
      <c r="BR120" s="55"/>
      <c r="BS120" s="55"/>
      <c r="BT120" s="55"/>
      <c r="BU120" s="55"/>
      <c r="BV120" s="55"/>
      <c r="BW120" s="55"/>
      <c r="BX120" s="55"/>
      <c r="BY120" s="55"/>
      <c r="BZ120" s="55"/>
      <c r="CA120" s="55"/>
      <c r="CB120" s="55"/>
      <c r="CC120" s="55"/>
      <c r="CD120" s="55"/>
      <c r="CE120" s="55"/>
      <c r="CF120" s="55"/>
      <c r="CG120" s="55"/>
      <c r="CH120" s="55"/>
      <c r="CI120" s="55"/>
      <c r="CJ120" s="55"/>
      <c r="CK120" s="55"/>
      <c r="CL120" s="55"/>
      <c r="CM120" s="55"/>
      <c r="CN120" s="55"/>
      <c r="CO120" s="55"/>
      <c r="CP120" s="55"/>
      <c r="CQ120" s="55"/>
      <c r="CR120" s="55"/>
      <c r="CS120" s="55"/>
      <c r="CT120" s="55"/>
      <c r="CU120" s="55"/>
      <c r="CV120" s="55"/>
    </row>
    <row r="121" spans="1:100" ht="21" x14ac:dyDescent="0.25">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c r="AR121" s="55"/>
      <c r="AS121" s="55"/>
      <c r="AT121" s="55"/>
      <c r="AU121" s="55"/>
      <c r="AV121" s="55"/>
      <c r="AW121" s="55"/>
      <c r="AX121" s="55"/>
      <c r="AY121" s="55"/>
      <c r="AZ121" s="55"/>
      <c r="BA121" s="55"/>
      <c r="BB121" s="55"/>
      <c r="BC121" s="55"/>
      <c r="BD121" s="55"/>
      <c r="BE121" s="55"/>
      <c r="BF121" s="55"/>
      <c r="BG121" s="55"/>
      <c r="BH121" s="55"/>
      <c r="BI121" s="59"/>
      <c r="BJ121" s="59"/>
      <c r="BK121" s="59"/>
      <c r="BL121" s="59"/>
      <c r="BM121" s="59"/>
      <c r="BN121" s="59"/>
      <c r="BO121" s="55"/>
      <c r="BP121" s="55"/>
      <c r="BQ121" s="55"/>
      <c r="BR121" s="55"/>
      <c r="BS121" s="55"/>
      <c r="BT121" s="55"/>
      <c r="BU121" s="55"/>
      <c r="BV121" s="55"/>
      <c r="BW121" s="55"/>
      <c r="BX121" s="55"/>
      <c r="BY121" s="55"/>
      <c r="BZ121" s="55"/>
      <c r="CA121" s="55"/>
      <c r="CB121" s="55"/>
      <c r="CC121" s="55"/>
      <c r="CD121" s="55"/>
      <c r="CE121" s="55"/>
      <c r="CF121" s="55"/>
      <c r="CG121" s="55"/>
      <c r="CH121" s="55"/>
      <c r="CI121" s="55"/>
      <c r="CJ121" s="55"/>
      <c r="CK121" s="55"/>
      <c r="CL121" s="55"/>
      <c r="CM121" s="55"/>
      <c r="CN121" s="55"/>
      <c r="CO121" s="55"/>
      <c r="CP121" s="55"/>
      <c r="CQ121" s="55"/>
      <c r="CR121" s="55"/>
      <c r="CS121" s="55"/>
      <c r="CT121" s="55"/>
      <c r="CU121" s="55"/>
      <c r="CV121" s="55"/>
    </row>
    <row r="122" spans="1:100" ht="21" x14ac:dyDescent="0.25">
      <c r="A122" s="55"/>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c r="AO122" s="55"/>
      <c r="AP122" s="55"/>
      <c r="AQ122" s="55"/>
      <c r="AR122" s="55"/>
      <c r="AS122" s="55"/>
      <c r="AT122" s="55"/>
      <c r="AU122" s="55"/>
      <c r="AV122" s="55"/>
      <c r="AW122" s="55"/>
      <c r="AX122" s="55"/>
      <c r="AY122" s="55"/>
      <c r="AZ122" s="55"/>
      <c r="BA122" s="55"/>
      <c r="BB122" s="55"/>
      <c r="BC122" s="55"/>
      <c r="BD122" s="55"/>
      <c r="BE122" s="55"/>
      <c r="BF122" s="55"/>
      <c r="BG122" s="55"/>
      <c r="BH122" s="55"/>
      <c r="BI122" s="59"/>
      <c r="BJ122" s="59"/>
      <c r="BK122" s="59"/>
      <c r="BL122" s="59"/>
      <c r="BM122" s="59"/>
      <c r="BN122" s="59"/>
      <c r="BO122" s="55"/>
      <c r="BP122" s="55"/>
      <c r="BQ122" s="55"/>
      <c r="BR122" s="55"/>
      <c r="BS122" s="55"/>
      <c r="BT122" s="55"/>
      <c r="BU122" s="55"/>
      <c r="BV122" s="55"/>
      <c r="BW122" s="55"/>
      <c r="BX122" s="55"/>
      <c r="BY122" s="55"/>
      <c r="BZ122" s="55"/>
      <c r="CA122" s="55"/>
      <c r="CB122" s="55"/>
      <c r="CC122" s="55"/>
      <c r="CD122" s="55"/>
      <c r="CE122" s="55"/>
      <c r="CF122" s="55"/>
      <c r="CG122" s="55"/>
      <c r="CH122" s="55"/>
      <c r="CI122" s="55"/>
      <c r="CJ122" s="55"/>
      <c r="CK122" s="55"/>
      <c r="CL122" s="55"/>
      <c r="CM122" s="55"/>
      <c r="CN122" s="55"/>
      <c r="CO122" s="55"/>
      <c r="CP122" s="55"/>
      <c r="CQ122" s="55"/>
      <c r="CR122" s="55"/>
      <c r="CS122" s="55"/>
      <c r="CT122" s="55"/>
      <c r="CU122" s="55"/>
      <c r="CV122" s="55"/>
    </row>
    <row r="123" spans="1:100" x14ac:dyDescent="0.25">
      <c r="A123" s="55"/>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c r="BB123" s="55"/>
      <c r="BC123" s="55"/>
      <c r="BD123" s="55"/>
      <c r="BE123" s="55"/>
      <c r="BF123" s="55"/>
      <c r="BG123" s="55"/>
      <c r="BH123" s="55"/>
      <c r="BI123" s="55"/>
      <c r="BJ123" s="55"/>
      <c r="BK123" s="55"/>
      <c r="BL123" s="55"/>
      <c r="BM123" s="55"/>
      <c r="BN123" s="55"/>
      <c r="BO123" s="55"/>
      <c r="BP123" s="55"/>
      <c r="BQ123" s="55"/>
      <c r="BR123" s="55"/>
      <c r="BS123" s="55"/>
      <c r="BT123" s="55"/>
      <c r="BU123" s="55"/>
      <c r="BV123" s="55"/>
      <c r="BW123" s="55"/>
      <c r="BX123" s="55"/>
      <c r="BY123" s="55"/>
      <c r="BZ123" s="55"/>
      <c r="CA123" s="55"/>
      <c r="CB123" s="55"/>
      <c r="CC123" s="55"/>
      <c r="CD123" s="55"/>
      <c r="CE123" s="55"/>
      <c r="CF123" s="55"/>
      <c r="CG123" s="55"/>
      <c r="CH123" s="55"/>
      <c r="CI123" s="55"/>
      <c r="CJ123" s="55"/>
      <c r="CK123" s="55"/>
      <c r="CL123" s="55"/>
      <c r="CM123" s="55"/>
      <c r="CN123" s="55"/>
      <c r="CO123" s="55"/>
      <c r="CP123" s="55"/>
      <c r="CQ123" s="55"/>
      <c r="CR123" s="55"/>
      <c r="CS123" s="55"/>
      <c r="CT123" s="55"/>
      <c r="CU123" s="55"/>
      <c r="CV123" s="55"/>
    </row>
    <row r="124" spans="1:100" x14ac:dyDescent="0.25">
      <c r="A124" s="5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c r="AO124" s="55"/>
      <c r="AP124" s="55"/>
      <c r="AQ124" s="55"/>
      <c r="AR124" s="55"/>
      <c r="AS124" s="55"/>
      <c r="AT124" s="55"/>
      <c r="AU124" s="55"/>
      <c r="AV124" s="55"/>
      <c r="AW124" s="55"/>
      <c r="AX124" s="55"/>
      <c r="AY124" s="55"/>
      <c r="AZ124" s="55"/>
      <c r="BA124" s="55"/>
      <c r="BB124" s="55"/>
      <c r="BC124" s="55"/>
      <c r="BD124" s="55"/>
      <c r="BE124" s="55"/>
      <c r="BF124" s="55"/>
      <c r="BG124" s="55"/>
      <c r="BH124" s="55"/>
      <c r="BI124" s="55"/>
      <c r="BJ124" s="55"/>
      <c r="BK124" s="55"/>
      <c r="BL124" s="55"/>
      <c r="BM124" s="55"/>
      <c r="BN124" s="55"/>
      <c r="BO124" s="55"/>
      <c r="BP124" s="55"/>
      <c r="BQ124" s="55"/>
      <c r="BR124" s="55"/>
      <c r="BS124" s="55"/>
      <c r="BT124" s="55"/>
      <c r="BU124" s="55"/>
      <c r="BV124" s="55"/>
      <c r="BW124" s="55"/>
      <c r="BX124" s="55"/>
      <c r="BY124" s="55"/>
      <c r="BZ124" s="55"/>
      <c r="CA124" s="55"/>
      <c r="CB124" s="55"/>
      <c r="CC124" s="55"/>
      <c r="CD124" s="55"/>
      <c r="CE124" s="55"/>
      <c r="CF124" s="55"/>
      <c r="CG124" s="55"/>
      <c r="CH124" s="55"/>
      <c r="CI124" s="55"/>
      <c r="CJ124" s="55"/>
      <c r="CK124" s="55"/>
      <c r="CL124" s="55"/>
      <c r="CM124" s="55"/>
      <c r="CN124" s="55"/>
      <c r="CO124" s="55"/>
      <c r="CP124" s="55"/>
      <c r="CQ124" s="55"/>
      <c r="CR124" s="55"/>
      <c r="CS124" s="55"/>
      <c r="CT124" s="55"/>
      <c r="CU124" s="55"/>
      <c r="CV124" s="55"/>
    </row>
    <row r="125" spans="1:100" x14ac:dyDescent="0.25">
      <c r="A125" s="55"/>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c r="AR125" s="55"/>
      <c r="AS125" s="55"/>
      <c r="AT125" s="55"/>
      <c r="AU125" s="55"/>
      <c r="AV125" s="55"/>
      <c r="AW125" s="55"/>
      <c r="AX125" s="55"/>
      <c r="AY125" s="55"/>
      <c r="AZ125" s="55"/>
      <c r="BA125" s="55"/>
      <c r="BB125" s="55"/>
      <c r="BC125" s="55"/>
      <c r="BD125" s="55"/>
      <c r="BE125" s="55"/>
      <c r="BF125" s="55"/>
      <c r="BG125" s="55"/>
      <c r="BH125" s="55"/>
      <c r="BI125" s="55"/>
      <c r="BJ125" s="55"/>
      <c r="BK125" s="55"/>
      <c r="BL125" s="55"/>
      <c r="BM125" s="55"/>
      <c r="BN125" s="55"/>
      <c r="BO125" s="55"/>
      <c r="BP125" s="55"/>
      <c r="BQ125" s="55"/>
      <c r="BR125" s="55"/>
      <c r="BS125" s="55"/>
      <c r="BT125" s="55"/>
      <c r="BU125" s="55"/>
      <c r="BV125" s="55"/>
      <c r="BW125" s="55"/>
      <c r="BX125" s="55"/>
      <c r="BY125" s="55"/>
      <c r="BZ125" s="55"/>
      <c r="CA125" s="55"/>
      <c r="CB125" s="55"/>
      <c r="CC125" s="55"/>
      <c r="CD125" s="55"/>
      <c r="CE125" s="55"/>
      <c r="CF125" s="55"/>
      <c r="CG125" s="55"/>
      <c r="CH125" s="55"/>
      <c r="CI125" s="55"/>
      <c r="CJ125" s="55"/>
      <c r="CK125" s="55"/>
      <c r="CL125" s="55"/>
      <c r="CM125" s="55"/>
      <c r="CN125" s="55"/>
      <c r="CO125" s="55"/>
      <c r="CP125" s="55"/>
      <c r="CQ125" s="55"/>
      <c r="CR125" s="55"/>
      <c r="CS125" s="55"/>
      <c r="CT125" s="55"/>
      <c r="CU125" s="55"/>
      <c r="CV125" s="55"/>
    </row>
    <row r="126" spans="1:100" x14ac:dyDescent="0.25">
      <c r="A126" s="55"/>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c r="AS126" s="55"/>
      <c r="AT126" s="55"/>
      <c r="AU126" s="55"/>
      <c r="AV126" s="55"/>
      <c r="AW126" s="55"/>
      <c r="AX126" s="55"/>
      <c r="AY126" s="55"/>
      <c r="AZ126" s="55"/>
      <c r="BA126" s="55"/>
      <c r="BB126" s="55"/>
      <c r="BC126" s="55"/>
      <c r="BD126" s="55"/>
      <c r="BE126" s="55"/>
      <c r="BF126" s="55"/>
      <c r="BG126" s="55"/>
      <c r="BH126" s="55"/>
      <c r="BI126" s="55"/>
      <c r="BJ126" s="55"/>
      <c r="BK126" s="55"/>
      <c r="BL126" s="55"/>
      <c r="BM126" s="55"/>
      <c r="BN126" s="55"/>
      <c r="BO126" s="55"/>
      <c r="BP126" s="55"/>
      <c r="BQ126" s="55"/>
      <c r="BR126" s="55"/>
      <c r="BS126" s="55"/>
      <c r="BT126" s="55"/>
      <c r="BU126" s="55"/>
      <c r="BV126" s="55"/>
      <c r="BW126" s="55"/>
      <c r="BX126" s="55"/>
      <c r="BY126" s="55"/>
      <c r="BZ126" s="55"/>
      <c r="CA126" s="55"/>
      <c r="CB126" s="55"/>
      <c r="CC126" s="55"/>
      <c r="CD126" s="55"/>
      <c r="CE126" s="55"/>
      <c r="CF126" s="55"/>
      <c r="CG126" s="55"/>
      <c r="CH126" s="55"/>
      <c r="CI126" s="55"/>
      <c r="CJ126" s="55"/>
      <c r="CK126" s="55"/>
      <c r="CL126" s="55"/>
      <c r="CM126" s="55"/>
      <c r="CN126" s="55"/>
      <c r="CO126" s="55"/>
      <c r="CP126" s="55"/>
      <c r="CQ126" s="55"/>
      <c r="CR126" s="55"/>
      <c r="CS126" s="55"/>
      <c r="CT126" s="55"/>
      <c r="CU126" s="55"/>
      <c r="CV126" s="55"/>
    </row>
    <row r="127" spans="1:100" x14ac:dyDescent="0.25">
      <c r="A127" s="55"/>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c r="AS127" s="55"/>
      <c r="AT127" s="55"/>
      <c r="AU127" s="55"/>
      <c r="AV127" s="55"/>
      <c r="AW127" s="55"/>
      <c r="AX127" s="55"/>
      <c r="AY127" s="55"/>
      <c r="AZ127" s="55"/>
      <c r="BA127" s="55"/>
      <c r="BB127" s="55"/>
      <c r="BC127" s="55"/>
      <c r="BD127" s="55"/>
      <c r="BE127" s="55"/>
      <c r="BF127" s="55"/>
      <c r="BG127" s="55"/>
      <c r="BH127" s="55"/>
      <c r="BI127" s="55"/>
      <c r="BJ127" s="55"/>
      <c r="BK127" s="55"/>
      <c r="BL127" s="55"/>
      <c r="BM127" s="55"/>
      <c r="BN127" s="55"/>
      <c r="BO127" s="55"/>
      <c r="BP127" s="55"/>
      <c r="BQ127" s="55"/>
      <c r="BR127" s="55"/>
      <c r="BS127" s="55"/>
      <c r="BT127" s="55"/>
      <c r="BU127" s="55"/>
      <c r="BV127" s="55"/>
      <c r="BW127" s="55"/>
      <c r="BX127" s="55"/>
      <c r="BY127" s="55"/>
      <c r="BZ127" s="55"/>
      <c r="CA127" s="55"/>
      <c r="CB127" s="55"/>
      <c r="CC127" s="55"/>
      <c r="CD127" s="55"/>
      <c r="CE127" s="55"/>
      <c r="CF127" s="55"/>
      <c r="CG127" s="55"/>
      <c r="CH127" s="55"/>
      <c r="CI127" s="55"/>
      <c r="CJ127" s="55"/>
      <c r="CK127" s="55"/>
      <c r="CL127" s="55"/>
      <c r="CM127" s="55"/>
      <c r="CN127" s="55"/>
      <c r="CO127" s="55"/>
      <c r="CP127" s="55"/>
      <c r="CQ127" s="55"/>
      <c r="CR127" s="55"/>
      <c r="CS127" s="55"/>
      <c r="CT127" s="55"/>
      <c r="CU127" s="55"/>
      <c r="CV127" s="55"/>
    </row>
    <row r="128" spans="1:100" x14ac:dyDescent="0.25">
      <c r="A128" s="55"/>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c r="AR128" s="55"/>
      <c r="AS128" s="55"/>
      <c r="AT128" s="55"/>
      <c r="AU128" s="55"/>
      <c r="AV128" s="55"/>
      <c r="AW128" s="55"/>
      <c r="AX128" s="55"/>
      <c r="AY128" s="55"/>
      <c r="AZ128" s="55"/>
      <c r="BA128" s="55"/>
      <c r="BB128" s="55"/>
      <c r="BC128" s="55"/>
      <c r="BD128" s="55"/>
      <c r="BE128" s="55"/>
      <c r="BF128" s="55"/>
      <c r="BG128" s="55"/>
      <c r="BH128" s="55"/>
      <c r="BI128" s="55"/>
      <c r="BJ128" s="55"/>
      <c r="BK128" s="55"/>
      <c r="BL128" s="55"/>
      <c r="BM128" s="55"/>
      <c r="BN128" s="55"/>
      <c r="BO128" s="55"/>
      <c r="BP128" s="55"/>
      <c r="BQ128" s="55"/>
      <c r="BR128" s="55"/>
      <c r="BS128" s="55"/>
      <c r="BT128" s="55"/>
      <c r="BU128" s="55"/>
      <c r="BV128" s="55"/>
      <c r="BW128" s="55"/>
      <c r="BX128" s="55"/>
      <c r="BY128" s="55"/>
      <c r="BZ128" s="55"/>
      <c r="CA128" s="55"/>
      <c r="CB128" s="55"/>
      <c r="CC128" s="55"/>
      <c r="CD128" s="55"/>
      <c r="CE128" s="55"/>
      <c r="CF128" s="55"/>
      <c r="CG128" s="55"/>
      <c r="CH128" s="55"/>
      <c r="CI128" s="55"/>
      <c r="CJ128" s="55"/>
      <c r="CK128" s="55"/>
      <c r="CL128" s="55"/>
      <c r="CM128" s="55"/>
      <c r="CN128" s="55"/>
      <c r="CO128" s="55"/>
      <c r="CP128" s="55"/>
      <c r="CQ128" s="55"/>
      <c r="CR128" s="55"/>
      <c r="CS128" s="55"/>
      <c r="CT128" s="55"/>
      <c r="CU128" s="55"/>
      <c r="CV128" s="55"/>
    </row>
    <row r="129" spans="1:100" x14ac:dyDescent="0.25">
      <c r="A129" s="55"/>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5"/>
      <c r="BC129" s="55"/>
      <c r="BD129" s="55"/>
      <c r="BE129" s="55"/>
      <c r="BF129" s="55"/>
      <c r="BG129" s="55"/>
      <c r="BH129" s="55"/>
      <c r="BI129" s="55"/>
      <c r="BJ129" s="55"/>
      <c r="BK129" s="55"/>
      <c r="BL129" s="55"/>
      <c r="BM129" s="55"/>
      <c r="BN129" s="55"/>
      <c r="BO129" s="55"/>
      <c r="BP129" s="55"/>
      <c r="BQ129" s="55"/>
      <c r="BR129" s="55"/>
      <c r="BS129" s="55"/>
      <c r="BT129" s="55"/>
      <c r="BU129" s="55"/>
      <c r="BV129" s="55"/>
      <c r="BW129" s="55"/>
      <c r="BX129" s="55"/>
      <c r="BY129" s="55"/>
      <c r="BZ129" s="55"/>
      <c r="CA129" s="55"/>
      <c r="CB129" s="55"/>
      <c r="CC129" s="55"/>
      <c r="CD129" s="55"/>
      <c r="CE129" s="55"/>
      <c r="CF129" s="55"/>
      <c r="CG129" s="55"/>
      <c r="CH129" s="55"/>
      <c r="CI129" s="55"/>
      <c r="CJ129" s="55"/>
      <c r="CK129" s="55"/>
      <c r="CL129" s="55"/>
      <c r="CM129" s="55"/>
      <c r="CN129" s="55"/>
      <c r="CO129" s="55"/>
      <c r="CP129" s="55"/>
      <c r="CQ129" s="55"/>
      <c r="CR129" s="55"/>
      <c r="CS129" s="55"/>
      <c r="CT129" s="55"/>
      <c r="CU129" s="55"/>
      <c r="CV129" s="55"/>
    </row>
    <row r="130" spans="1:100" x14ac:dyDescent="0.25">
      <c r="A130" s="55"/>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c r="AS130" s="55"/>
      <c r="AT130" s="55"/>
      <c r="AU130" s="55"/>
      <c r="AV130" s="55"/>
      <c r="AW130" s="55"/>
      <c r="AX130" s="55"/>
      <c r="AY130" s="55"/>
      <c r="AZ130" s="55"/>
      <c r="BA130" s="55"/>
      <c r="BB130" s="55"/>
      <c r="BC130" s="55"/>
      <c r="BD130" s="55"/>
      <c r="BE130" s="55"/>
      <c r="BF130" s="55"/>
      <c r="BG130" s="55"/>
      <c r="BH130" s="55"/>
      <c r="BI130" s="55"/>
      <c r="BJ130" s="55"/>
      <c r="BK130" s="55"/>
      <c r="BL130" s="55"/>
      <c r="BM130" s="55"/>
      <c r="BN130" s="55"/>
      <c r="BO130" s="55"/>
      <c r="BP130" s="55"/>
      <c r="BQ130" s="55"/>
      <c r="BR130" s="55"/>
      <c r="BS130" s="55"/>
      <c r="BT130" s="55"/>
      <c r="BU130" s="55"/>
      <c r="BV130" s="55"/>
      <c r="BW130" s="55"/>
      <c r="BX130" s="55"/>
      <c r="BY130" s="55"/>
      <c r="BZ130" s="55"/>
      <c r="CA130" s="55"/>
      <c r="CB130" s="55"/>
      <c r="CC130" s="55"/>
      <c r="CD130" s="55"/>
      <c r="CE130" s="55"/>
      <c r="CF130" s="55"/>
      <c r="CG130" s="55"/>
      <c r="CH130" s="55"/>
      <c r="CI130" s="55"/>
      <c r="CJ130" s="55"/>
      <c r="CK130" s="55"/>
      <c r="CL130" s="55"/>
      <c r="CM130" s="55"/>
      <c r="CN130" s="55"/>
      <c r="CO130" s="55"/>
      <c r="CP130" s="55"/>
      <c r="CQ130" s="55"/>
      <c r="CR130" s="55"/>
      <c r="CS130" s="55"/>
      <c r="CT130" s="55"/>
      <c r="CU130" s="55"/>
      <c r="CV130" s="55"/>
    </row>
    <row r="131" spans="1:100" x14ac:dyDescent="0.25">
      <c r="A131" s="55"/>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c r="AT131" s="55"/>
      <c r="AU131" s="55"/>
      <c r="AV131" s="55"/>
      <c r="AW131" s="55"/>
      <c r="AX131" s="55"/>
      <c r="AY131" s="55"/>
      <c r="AZ131" s="55"/>
      <c r="BA131" s="55"/>
      <c r="BB131" s="55"/>
      <c r="BC131" s="55"/>
      <c r="BD131" s="55"/>
      <c r="BE131" s="55"/>
      <c r="BF131" s="55"/>
      <c r="BG131" s="55"/>
      <c r="BH131" s="55"/>
      <c r="BI131" s="55"/>
      <c r="BJ131" s="55"/>
      <c r="BK131" s="55"/>
      <c r="BL131" s="55"/>
      <c r="BM131" s="55"/>
      <c r="BN131" s="55"/>
      <c r="BO131" s="55"/>
      <c r="BP131" s="55"/>
      <c r="BQ131" s="55"/>
      <c r="BR131" s="55"/>
      <c r="BS131" s="55"/>
      <c r="BT131" s="55"/>
      <c r="BU131" s="55"/>
      <c r="BV131" s="55"/>
      <c r="BW131" s="55"/>
      <c r="BX131" s="55"/>
      <c r="BY131" s="55"/>
      <c r="BZ131" s="55"/>
      <c r="CA131" s="55"/>
      <c r="CB131" s="55"/>
      <c r="CC131" s="55"/>
      <c r="CD131" s="55"/>
      <c r="CE131" s="55"/>
      <c r="CF131" s="55"/>
      <c r="CG131" s="55"/>
      <c r="CH131" s="55"/>
      <c r="CI131" s="55"/>
      <c r="CJ131" s="55"/>
      <c r="CK131" s="55"/>
      <c r="CL131" s="55"/>
      <c r="CM131" s="55"/>
      <c r="CN131" s="55"/>
      <c r="CO131" s="55"/>
      <c r="CP131" s="55"/>
      <c r="CQ131" s="55"/>
      <c r="CR131" s="55"/>
      <c r="CS131" s="55"/>
      <c r="CT131" s="55"/>
      <c r="CU131" s="55"/>
      <c r="CV131" s="55"/>
    </row>
    <row r="132" spans="1:100" x14ac:dyDescent="0.25">
      <c r="A132" s="55"/>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5"/>
      <c r="BC132" s="55"/>
      <c r="BD132" s="55"/>
      <c r="BE132" s="55"/>
      <c r="BF132" s="55"/>
      <c r="BG132" s="55"/>
      <c r="BH132" s="55"/>
      <c r="BI132" s="55"/>
      <c r="BJ132" s="55"/>
      <c r="BK132" s="55"/>
      <c r="BL132" s="55"/>
      <c r="BM132" s="55"/>
      <c r="BN132" s="55"/>
      <c r="BO132" s="55"/>
      <c r="BP132" s="55"/>
      <c r="BQ132" s="55"/>
      <c r="BR132" s="55"/>
      <c r="BS132" s="55"/>
      <c r="BT132" s="55"/>
      <c r="BU132" s="55"/>
      <c r="BV132" s="55"/>
      <c r="BW132" s="55"/>
      <c r="BX132" s="55"/>
      <c r="BY132" s="55"/>
      <c r="BZ132" s="55"/>
      <c r="CA132" s="55"/>
      <c r="CB132" s="55"/>
      <c r="CC132" s="55"/>
      <c r="CD132" s="55"/>
      <c r="CE132" s="55"/>
      <c r="CF132" s="55"/>
      <c r="CG132" s="55"/>
      <c r="CH132" s="55"/>
      <c r="CI132" s="55"/>
      <c r="CJ132" s="55"/>
      <c r="CK132" s="55"/>
      <c r="CL132" s="55"/>
      <c r="CM132" s="55"/>
      <c r="CN132" s="55"/>
      <c r="CO132" s="55"/>
      <c r="CP132" s="55"/>
      <c r="CQ132" s="55"/>
      <c r="CR132" s="55"/>
      <c r="CS132" s="55"/>
      <c r="CT132" s="55"/>
      <c r="CU132" s="55"/>
      <c r="CV132" s="55"/>
    </row>
    <row r="133" spans="1:100" x14ac:dyDescent="0.25">
      <c r="A133" s="55"/>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c r="AR133" s="55"/>
      <c r="AS133" s="55"/>
      <c r="AT133" s="55"/>
      <c r="AU133" s="55"/>
      <c r="AV133" s="55"/>
      <c r="AW133" s="55"/>
      <c r="AX133" s="55"/>
      <c r="AY133" s="55"/>
      <c r="AZ133" s="55"/>
      <c r="BA133" s="55"/>
      <c r="BB133" s="55"/>
      <c r="BC133" s="55"/>
      <c r="BD133" s="55"/>
      <c r="BE133" s="55"/>
      <c r="BF133" s="55"/>
      <c r="BG133" s="55"/>
      <c r="BH133" s="55"/>
      <c r="BI133" s="55"/>
      <c r="BJ133" s="55"/>
      <c r="BK133" s="55"/>
      <c r="BL133" s="55"/>
      <c r="BM133" s="55"/>
      <c r="BN133" s="55"/>
      <c r="BO133" s="55"/>
      <c r="BP133" s="55"/>
      <c r="BQ133" s="55"/>
      <c r="BR133" s="55"/>
      <c r="BS133" s="55"/>
      <c r="BT133" s="55"/>
      <c r="BU133" s="55"/>
      <c r="BV133" s="55"/>
      <c r="BW133" s="55"/>
      <c r="BX133" s="55"/>
      <c r="BY133" s="55"/>
      <c r="BZ133" s="55"/>
      <c r="CA133" s="55"/>
      <c r="CB133" s="55"/>
      <c r="CC133" s="55"/>
      <c r="CD133" s="55"/>
      <c r="CE133" s="55"/>
      <c r="CF133" s="55"/>
      <c r="CG133" s="55"/>
      <c r="CH133" s="55"/>
      <c r="CI133" s="55"/>
      <c r="CJ133" s="55"/>
      <c r="CK133" s="55"/>
      <c r="CL133" s="55"/>
      <c r="CM133" s="55"/>
      <c r="CN133" s="55"/>
      <c r="CO133" s="55"/>
      <c r="CP133" s="55"/>
      <c r="CQ133" s="55"/>
      <c r="CR133" s="55"/>
      <c r="CS133" s="55"/>
      <c r="CT133" s="55"/>
      <c r="CU133" s="55"/>
      <c r="CV133" s="55"/>
    </row>
    <row r="134" spans="1:100" x14ac:dyDescent="0.25">
      <c r="A134" s="55"/>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c r="AR134" s="55"/>
      <c r="AS134" s="55"/>
      <c r="AT134" s="55"/>
      <c r="AU134" s="55"/>
      <c r="AV134" s="55"/>
      <c r="AW134" s="55"/>
      <c r="AX134" s="55"/>
      <c r="AY134" s="55"/>
      <c r="AZ134" s="55"/>
      <c r="BA134" s="55"/>
      <c r="BB134" s="55"/>
      <c r="BC134" s="55"/>
      <c r="BD134" s="55"/>
      <c r="BE134" s="55"/>
      <c r="BF134" s="55"/>
      <c r="BG134" s="55"/>
      <c r="BH134" s="55"/>
      <c r="BI134" s="55"/>
      <c r="BJ134" s="55"/>
      <c r="BK134" s="55"/>
      <c r="BL134" s="55"/>
      <c r="BM134" s="55"/>
      <c r="BN134" s="55"/>
      <c r="BO134" s="55"/>
      <c r="BP134" s="55"/>
      <c r="BQ134" s="55"/>
      <c r="BR134" s="55"/>
      <c r="BS134" s="55"/>
      <c r="BT134" s="55"/>
      <c r="BU134" s="55"/>
      <c r="BV134" s="55"/>
      <c r="BW134" s="55"/>
      <c r="BX134" s="55"/>
      <c r="BY134" s="55"/>
      <c r="BZ134" s="55"/>
      <c r="CA134" s="55"/>
      <c r="CB134" s="55"/>
      <c r="CC134" s="55"/>
      <c r="CD134" s="55"/>
      <c r="CE134" s="55"/>
      <c r="CF134" s="55"/>
      <c r="CG134" s="55"/>
      <c r="CH134" s="55"/>
      <c r="CI134" s="55"/>
      <c r="CJ134" s="55"/>
      <c r="CK134" s="55"/>
      <c r="CL134" s="55"/>
      <c r="CM134" s="55"/>
      <c r="CN134" s="55"/>
      <c r="CO134" s="55"/>
      <c r="CP134" s="55"/>
      <c r="CQ134" s="55"/>
      <c r="CR134" s="55"/>
      <c r="CS134" s="55"/>
      <c r="CT134" s="55"/>
      <c r="CU134" s="55"/>
      <c r="CV134" s="55"/>
    </row>
    <row r="135" spans="1:100" x14ac:dyDescent="0.25">
      <c r="A135" s="55"/>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5"/>
      <c r="BC135" s="55"/>
      <c r="BD135" s="55"/>
      <c r="BE135" s="55"/>
      <c r="BF135" s="55"/>
      <c r="BG135" s="55"/>
      <c r="BH135" s="55"/>
      <c r="BI135" s="55"/>
      <c r="BJ135" s="55"/>
      <c r="BK135" s="55"/>
      <c r="BL135" s="55"/>
      <c r="BM135" s="55"/>
      <c r="BN135" s="55"/>
      <c r="BO135" s="55"/>
      <c r="BP135" s="55"/>
      <c r="BQ135" s="55"/>
      <c r="BR135" s="55"/>
      <c r="BS135" s="55"/>
      <c r="BT135" s="55"/>
      <c r="BU135" s="55"/>
      <c r="BV135" s="55"/>
      <c r="BW135" s="55"/>
      <c r="BX135" s="55"/>
      <c r="BY135" s="55"/>
      <c r="BZ135" s="55"/>
      <c r="CA135" s="55"/>
      <c r="CB135" s="55"/>
      <c r="CC135" s="55"/>
      <c r="CD135" s="55"/>
      <c r="CE135" s="55"/>
      <c r="CF135" s="55"/>
      <c r="CG135" s="55"/>
      <c r="CH135" s="55"/>
      <c r="CI135" s="55"/>
      <c r="CJ135" s="55"/>
      <c r="CK135" s="55"/>
      <c r="CL135" s="55"/>
      <c r="CM135" s="55"/>
      <c r="CN135" s="55"/>
      <c r="CO135" s="55"/>
      <c r="CP135" s="55"/>
      <c r="CQ135" s="55"/>
      <c r="CR135" s="55"/>
      <c r="CS135" s="55"/>
      <c r="CT135" s="55"/>
      <c r="CU135" s="55"/>
      <c r="CV135" s="55"/>
    </row>
    <row r="136" spans="1:100" x14ac:dyDescent="0.25">
      <c r="A136" s="55"/>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c r="BI136" s="55"/>
      <c r="BJ136" s="55"/>
      <c r="BK136" s="55"/>
      <c r="BL136" s="55"/>
      <c r="BM136" s="55"/>
      <c r="BN136" s="55"/>
      <c r="BO136" s="55"/>
      <c r="BP136" s="55"/>
      <c r="BQ136" s="55"/>
      <c r="BR136" s="55"/>
      <c r="BS136" s="55"/>
      <c r="BT136" s="55"/>
      <c r="BU136" s="55"/>
      <c r="BV136" s="55"/>
      <c r="BW136" s="55"/>
      <c r="BX136" s="55"/>
      <c r="BY136" s="55"/>
      <c r="BZ136" s="55"/>
      <c r="CA136" s="55"/>
      <c r="CB136" s="55"/>
      <c r="CC136" s="55"/>
      <c r="CD136" s="55"/>
      <c r="CE136" s="55"/>
      <c r="CF136" s="55"/>
      <c r="CG136" s="55"/>
      <c r="CH136" s="55"/>
      <c r="CI136" s="55"/>
      <c r="CJ136" s="55"/>
      <c r="CK136" s="55"/>
      <c r="CL136" s="55"/>
      <c r="CM136" s="55"/>
      <c r="CN136" s="55"/>
      <c r="CO136" s="55"/>
      <c r="CP136" s="55"/>
      <c r="CQ136" s="55"/>
      <c r="CR136" s="55"/>
      <c r="CS136" s="55"/>
      <c r="CT136" s="55"/>
      <c r="CU136" s="55"/>
      <c r="CV136" s="55"/>
    </row>
    <row r="137" spans="1:100" x14ac:dyDescent="0.25">
      <c r="A137" s="55"/>
      <c r="B137" s="55"/>
      <c r="C137" s="55"/>
      <c r="D137" s="55"/>
      <c r="E137" s="55"/>
      <c r="F137" s="55"/>
      <c r="G137" s="55"/>
      <c r="H137" s="55"/>
      <c r="I137" s="55"/>
      <c r="J137" s="55"/>
      <c r="K137" s="55"/>
      <c r="L137" s="55"/>
      <c r="M137" s="55"/>
      <c r="N137" s="55"/>
      <c r="O137" s="55"/>
      <c r="P137" s="55"/>
      <c r="Q137" s="55"/>
      <c r="R137" s="55"/>
      <c r="S137" s="55"/>
      <c r="T137" s="55"/>
      <c r="U137" s="55"/>
      <c r="V137" s="55"/>
      <c r="W137" s="55"/>
      <c r="X137" s="55"/>
      <c r="Y137" s="55"/>
      <c r="Z137" s="55"/>
      <c r="AA137" s="55"/>
      <c r="AB137" s="55"/>
      <c r="AC137" s="55"/>
      <c r="AD137" s="55"/>
      <c r="AE137" s="55"/>
      <c r="AF137" s="55"/>
      <c r="AG137" s="55"/>
      <c r="AH137" s="55"/>
      <c r="AI137" s="55"/>
      <c r="AJ137" s="55"/>
      <c r="AK137" s="55"/>
      <c r="AL137" s="55"/>
      <c r="AM137" s="55"/>
      <c r="AN137" s="55"/>
      <c r="AO137" s="55"/>
      <c r="AP137" s="55"/>
      <c r="AQ137" s="55"/>
      <c r="AR137" s="55"/>
      <c r="AS137" s="55"/>
      <c r="AT137" s="55"/>
      <c r="AU137" s="55"/>
      <c r="AV137" s="55"/>
      <c r="AW137" s="55"/>
      <c r="AX137" s="55"/>
      <c r="AY137" s="55"/>
      <c r="AZ137" s="55"/>
      <c r="BA137" s="55"/>
      <c r="BB137" s="55"/>
      <c r="BC137" s="55"/>
      <c r="BD137" s="55"/>
      <c r="BE137" s="55"/>
      <c r="BF137" s="55"/>
      <c r="BG137" s="55"/>
      <c r="BH137" s="55"/>
      <c r="BI137" s="55"/>
      <c r="BJ137" s="55"/>
      <c r="BK137" s="55"/>
      <c r="BL137" s="55"/>
      <c r="BM137" s="55"/>
      <c r="BN137" s="55"/>
      <c r="BO137" s="55"/>
      <c r="BP137" s="55"/>
      <c r="BQ137" s="55"/>
      <c r="BR137" s="55"/>
      <c r="BS137" s="55"/>
      <c r="BT137" s="55"/>
      <c r="BU137" s="55"/>
      <c r="BV137" s="55"/>
      <c r="BW137" s="55"/>
      <c r="BX137" s="55"/>
      <c r="BY137" s="55"/>
      <c r="BZ137" s="55"/>
      <c r="CA137" s="55"/>
      <c r="CB137" s="55"/>
      <c r="CC137" s="55"/>
      <c r="CD137" s="55"/>
      <c r="CE137" s="55"/>
      <c r="CF137" s="55"/>
      <c r="CG137" s="55"/>
      <c r="CH137" s="55"/>
      <c r="CI137" s="55"/>
      <c r="CJ137" s="55"/>
      <c r="CK137" s="55"/>
      <c r="CL137" s="55"/>
      <c r="CM137" s="55"/>
      <c r="CN137" s="55"/>
      <c r="CO137" s="55"/>
      <c r="CP137" s="55"/>
      <c r="CQ137" s="55"/>
      <c r="CR137" s="55"/>
      <c r="CS137" s="55"/>
      <c r="CT137" s="55"/>
      <c r="CU137" s="55"/>
      <c r="CV137" s="55"/>
    </row>
    <row r="138" spans="1:100" x14ac:dyDescent="0.25">
      <c r="A138" s="55"/>
      <c r="B138" s="55"/>
      <c r="C138" s="55"/>
      <c r="D138" s="55"/>
      <c r="E138" s="55"/>
      <c r="F138" s="55"/>
      <c r="G138" s="55"/>
      <c r="H138" s="55"/>
      <c r="I138" s="55"/>
      <c r="J138" s="55"/>
      <c r="K138" s="55"/>
      <c r="L138" s="55"/>
      <c r="M138" s="55"/>
      <c r="N138" s="55"/>
      <c r="O138" s="55"/>
      <c r="P138" s="55"/>
      <c r="Q138" s="55"/>
      <c r="R138" s="55"/>
      <c r="S138" s="55"/>
      <c r="T138" s="55"/>
      <c r="U138" s="55"/>
      <c r="V138" s="55"/>
      <c r="W138" s="55"/>
      <c r="X138" s="55"/>
      <c r="Y138" s="55"/>
      <c r="Z138" s="55"/>
      <c r="AA138" s="55"/>
      <c r="AB138" s="55"/>
      <c r="AC138" s="55"/>
      <c r="AD138" s="55"/>
      <c r="AE138" s="55"/>
      <c r="AF138" s="55"/>
      <c r="AG138" s="55"/>
      <c r="AH138" s="55"/>
      <c r="AI138" s="55"/>
      <c r="AJ138" s="55"/>
      <c r="AK138" s="55"/>
      <c r="AL138" s="55"/>
      <c r="AM138" s="55"/>
      <c r="AN138" s="55"/>
      <c r="AO138" s="55"/>
      <c r="AP138" s="55"/>
      <c r="AQ138" s="55"/>
      <c r="AR138" s="55"/>
      <c r="AS138" s="55"/>
      <c r="AT138" s="55"/>
      <c r="AU138" s="55"/>
      <c r="AV138" s="55"/>
      <c r="AW138" s="55"/>
      <c r="AX138" s="55"/>
      <c r="AY138" s="55"/>
      <c r="AZ138" s="55"/>
      <c r="BA138" s="55"/>
      <c r="BB138" s="55"/>
      <c r="BC138" s="55"/>
      <c r="BD138" s="55"/>
      <c r="BE138" s="55"/>
      <c r="BF138" s="55"/>
      <c r="BG138" s="55"/>
      <c r="BH138" s="55"/>
      <c r="BI138" s="55"/>
      <c r="BJ138" s="55"/>
      <c r="BK138" s="55"/>
      <c r="BL138" s="55"/>
      <c r="BM138" s="55"/>
      <c r="BN138" s="55"/>
      <c r="BO138" s="55"/>
      <c r="BP138" s="55"/>
      <c r="BQ138" s="55"/>
      <c r="BR138" s="55"/>
      <c r="BS138" s="55"/>
      <c r="BT138" s="55"/>
      <c r="BU138" s="55"/>
      <c r="BV138" s="55"/>
      <c r="BW138" s="55"/>
      <c r="BX138" s="55"/>
      <c r="BY138" s="55"/>
      <c r="BZ138" s="55"/>
      <c r="CA138" s="55"/>
      <c r="CB138" s="55"/>
      <c r="CC138" s="55"/>
      <c r="CD138" s="55"/>
      <c r="CE138" s="55"/>
      <c r="CF138" s="55"/>
      <c r="CG138" s="55"/>
      <c r="CH138" s="55"/>
      <c r="CI138" s="55"/>
      <c r="CJ138" s="55"/>
      <c r="CK138" s="55"/>
      <c r="CL138" s="55"/>
      <c r="CM138" s="55"/>
      <c r="CN138" s="55"/>
      <c r="CO138" s="55"/>
      <c r="CP138" s="55"/>
      <c r="CQ138" s="55"/>
      <c r="CR138" s="55"/>
      <c r="CS138" s="55"/>
      <c r="CT138" s="55"/>
      <c r="CU138" s="55"/>
      <c r="CV138" s="55"/>
    </row>
    <row r="139" spans="1:100" x14ac:dyDescent="0.25">
      <c r="A139" s="55"/>
      <c r="B139" s="55"/>
      <c r="C139" s="55"/>
      <c r="D139" s="55"/>
      <c r="E139" s="55"/>
      <c r="F139" s="55"/>
      <c r="G139" s="55"/>
      <c r="H139" s="55"/>
      <c r="I139" s="55"/>
      <c r="J139" s="55"/>
      <c r="K139" s="55"/>
      <c r="L139" s="55"/>
      <c r="M139" s="55"/>
      <c r="N139" s="55"/>
      <c r="O139" s="55"/>
      <c r="P139" s="55"/>
      <c r="Q139" s="55"/>
      <c r="R139" s="55"/>
      <c r="S139" s="55"/>
      <c r="T139" s="55"/>
      <c r="U139" s="55"/>
      <c r="V139" s="55"/>
      <c r="W139" s="55"/>
      <c r="X139" s="55"/>
      <c r="Y139" s="55"/>
      <c r="Z139" s="55"/>
      <c r="AA139" s="55"/>
      <c r="AB139" s="55"/>
      <c r="AC139" s="55"/>
      <c r="AD139" s="55"/>
      <c r="AE139" s="55"/>
      <c r="AF139" s="55"/>
      <c r="AG139" s="55"/>
      <c r="AH139" s="55"/>
      <c r="AI139" s="55"/>
      <c r="AJ139" s="55"/>
      <c r="AK139" s="55"/>
      <c r="AL139" s="55"/>
      <c r="AM139" s="55"/>
      <c r="AN139" s="55"/>
      <c r="AO139" s="55"/>
      <c r="AP139" s="55"/>
      <c r="AQ139" s="55"/>
      <c r="AR139" s="55"/>
      <c r="AS139" s="55"/>
      <c r="AT139" s="55"/>
      <c r="AU139" s="55"/>
      <c r="AV139" s="55"/>
      <c r="AW139" s="55"/>
      <c r="AX139" s="55"/>
      <c r="AY139" s="55"/>
      <c r="AZ139" s="55"/>
      <c r="BA139" s="55"/>
      <c r="BB139" s="55"/>
      <c r="BC139" s="55"/>
      <c r="BD139" s="55"/>
      <c r="BE139" s="55"/>
      <c r="BF139" s="55"/>
      <c r="BG139" s="55"/>
      <c r="BH139" s="55"/>
      <c r="BI139" s="55"/>
      <c r="BJ139" s="55"/>
      <c r="BK139" s="55"/>
      <c r="BL139" s="55"/>
      <c r="BM139" s="55"/>
      <c r="BN139" s="55"/>
      <c r="BO139" s="55"/>
      <c r="BP139" s="55"/>
      <c r="BQ139" s="55"/>
      <c r="BR139" s="55"/>
      <c r="BS139" s="55"/>
      <c r="BT139" s="55"/>
      <c r="BU139" s="55"/>
      <c r="BV139" s="55"/>
      <c r="BW139" s="55"/>
      <c r="BX139" s="55"/>
      <c r="BY139" s="55"/>
      <c r="BZ139" s="55"/>
      <c r="CA139" s="55"/>
      <c r="CB139" s="55"/>
      <c r="CC139" s="55"/>
      <c r="CD139" s="55"/>
      <c r="CE139" s="55"/>
    </row>
    <row r="140" spans="1:100" x14ac:dyDescent="0.25">
      <c r="A140" s="55"/>
      <c r="B140" s="55"/>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c r="AA140" s="55"/>
      <c r="AB140" s="55"/>
      <c r="AC140" s="55"/>
      <c r="AD140" s="55"/>
      <c r="AE140" s="55"/>
      <c r="AF140" s="55"/>
      <c r="AG140" s="55"/>
      <c r="AH140" s="55"/>
      <c r="AI140" s="55"/>
      <c r="AJ140" s="55"/>
      <c r="AK140" s="55"/>
      <c r="AL140" s="55"/>
      <c r="AM140" s="55"/>
      <c r="AN140" s="55"/>
      <c r="AO140" s="55"/>
      <c r="AP140" s="55"/>
      <c r="AQ140" s="55"/>
      <c r="AR140" s="55"/>
      <c r="AS140" s="55"/>
      <c r="AT140" s="55"/>
      <c r="AU140" s="55"/>
      <c r="AV140" s="55"/>
      <c r="AW140" s="55"/>
      <c r="AX140" s="55"/>
      <c r="AY140" s="55"/>
      <c r="AZ140" s="55"/>
      <c r="BA140" s="55"/>
      <c r="BB140" s="55"/>
      <c r="BC140" s="55"/>
      <c r="BD140" s="55"/>
      <c r="BE140" s="55"/>
      <c r="BF140" s="55"/>
      <c r="BG140" s="55"/>
      <c r="BH140" s="55"/>
      <c r="BI140" s="55"/>
      <c r="BJ140" s="55"/>
      <c r="BK140" s="55"/>
      <c r="BL140" s="55"/>
      <c r="BM140" s="55"/>
      <c r="BN140" s="55"/>
      <c r="BO140" s="55"/>
      <c r="BP140" s="55"/>
      <c r="BQ140" s="55"/>
      <c r="BR140" s="55"/>
      <c r="BS140" s="55"/>
      <c r="BT140" s="55"/>
      <c r="BU140" s="55"/>
      <c r="BV140" s="55"/>
      <c r="BW140" s="55"/>
      <c r="BX140" s="55"/>
      <c r="BY140" s="55"/>
      <c r="BZ140" s="55"/>
      <c r="CA140" s="55"/>
      <c r="CB140" s="55"/>
      <c r="CC140" s="55"/>
      <c r="CD140" s="55"/>
      <c r="CE140" s="55"/>
    </row>
    <row r="141" spans="1:100" x14ac:dyDescent="0.25">
      <c r="A141" s="55"/>
      <c r="B141" s="55"/>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c r="AA141" s="55"/>
      <c r="AB141" s="55"/>
      <c r="AC141" s="55"/>
      <c r="AD141" s="55"/>
      <c r="AE141" s="55"/>
      <c r="AF141" s="55"/>
      <c r="AG141" s="55"/>
      <c r="AH141" s="55"/>
      <c r="AI141" s="55"/>
      <c r="AJ141" s="55"/>
      <c r="AK141" s="55"/>
      <c r="AL141" s="55"/>
      <c r="AM141" s="55"/>
      <c r="AN141" s="55"/>
      <c r="AO141" s="55"/>
      <c r="AP141" s="55"/>
      <c r="AQ141" s="55"/>
      <c r="AR141" s="55"/>
      <c r="AS141" s="55"/>
      <c r="AT141" s="55"/>
      <c r="AU141" s="55"/>
      <c r="AV141" s="55"/>
      <c r="AW141" s="55"/>
      <c r="AX141" s="55"/>
      <c r="AY141" s="55"/>
      <c r="AZ141" s="55"/>
      <c r="BA141" s="55"/>
      <c r="BB141" s="55"/>
      <c r="BC141" s="55"/>
      <c r="BD141" s="55"/>
      <c r="BE141" s="55"/>
      <c r="BF141" s="55"/>
      <c r="BG141" s="55"/>
      <c r="BH141" s="55"/>
      <c r="BI141" s="55"/>
      <c r="BJ141" s="55"/>
      <c r="BK141" s="55"/>
      <c r="BL141" s="55"/>
      <c r="BM141" s="55"/>
      <c r="BN141" s="55"/>
      <c r="BO141" s="55"/>
      <c r="BP141" s="55"/>
      <c r="BQ141" s="55"/>
      <c r="BR141" s="55"/>
      <c r="BS141" s="55"/>
      <c r="BT141" s="55"/>
      <c r="BU141" s="55"/>
      <c r="BV141" s="55"/>
      <c r="BW141" s="55"/>
      <c r="BX141" s="55"/>
      <c r="BY141" s="55"/>
      <c r="BZ141" s="55"/>
      <c r="CA141" s="55"/>
      <c r="CB141" s="55"/>
      <c r="CC141" s="55"/>
      <c r="CD141" s="55"/>
      <c r="CE141" s="55"/>
    </row>
    <row r="142" spans="1:100" x14ac:dyDescent="0.25">
      <c r="A142" s="55"/>
      <c r="B142" s="55"/>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c r="AA142" s="55"/>
      <c r="AB142" s="55"/>
      <c r="AC142" s="55"/>
      <c r="AD142" s="55"/>
      <c r="AE142" s="55"/>
      <c r="AF142" s="55"/>
      <c r="AG142" s="55"/>
      <c r="AH142" s="55"/>
      <c r="AI142" s="55"/>
      <c r="AJ142" s="55"/>
      <c r="AK142" s="55"/>
      <c r="AL142" s="55"/>
      <c r="AM142" s="55"/>
      <c r="AN142" s="55"/>
      <c r="AO142" s="55"/>
      <c r="AP142" s="55"/>
      <c r="AQ142" s="55"/>
      <c r="AR142" s="55"/>
      <c r="AS142" s="55"/>
      <c r="AT142" s="55"/>
      <c r="AU142" s="55"/>
      <c r="AV142" s="55"/>
      <c r="AW142" s="55"/>
      <c r="AX142" s="55"/>
      <c r="AY142" s="55"/>
      <c r="AZ142" s="55"/>
      <c r="BA142" s="55"/>
      <c r="BB142" s="55"/>
      <c r="BC142" s="55"/>
      <c r="BD142" s="55"/>
      <c r="BE142" s="55"/>
      <c r="BF142" s="55"/>
      <c r="BG142" s="55"/>
      <c r="BH142" s="55"/>
      <c r="BI142" s="55"/>
      <c r="BJ142" s="55"/>
      <c r="BK142" s="55"/>
      <c r="BL142" s="55"/>
      <c r="BM142" s="55"/>
      <c r="BN142" s="55"/>
      <c r="BO142" s="55"/>
      <c r="BP142" s="55"/>
      <c r="BQ142" s="55"/>
      <c r="BR142" s="55"/>
      <c r="BS142" s="55"/>
      <c r="BT142" s="55"/>
      <c r="BU142" s="55"/>
      <c r="BV142" s="55"/>
      <c r="BW142" s="55"/>
      <c r="BX142" s="55"/>
      <c r="BY142" s="55"/>
      <c r="BZ142" s="55"/>
      <c r="CA142" s="55"/>
      <c r="CB142" s="55"/>
      <c r="CC142" s="55"/>
      <c r="CD142" s="55"/>
      <c r="CE142" s="55"/>
    </row>
    <row r="143" spans="1:100" x14ac:dyDescent="0.25">
      <c r="A143" s="55"/>
      <c r="B143" s="55"/>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c r="AA143" s="55"/>
      <c r="AB143" s="55"/>
      <c r="AC143" s="55"/>
      <c r="AD143" s="55"/>
      <c r="AE143" s="55"/>
      <c r="AF143" s="55"/>
      <c r="AG143" s="55"/>
      <c r="AH143" s="55"/>
      <c r="AI143" s="55"/>
      <c r="AJ143" s="55"/>
      <c r="AK143" s="55"/>
      <c r="AL143" s="55"/>
      <c r="AM143" s="55"/>
      <c r="AN143" s="55"/>
      <c r="AO143" s="55"/>
      <c r="AP143" s="55"/>
      <c r="AQ143" s="55"/>
      <c r="AR143" s="55"/>
      <c r="AS143" s="55"/>
      <c r="AT143" s="55"/>
      <c r="AU143" s="55"/>
      <c r="AV143" s="55"/>
      <c r="AW143" s="55"/>
      <c r="AX143" s="55"/>
      <c r="AY143" s="55"/>
      <c r="AZ143" s="55"/>
      <c r="BA143" s="55"/>
      <c r="BB143" s="55"/>
      <c r="BC143" s="55"/>
      <c r="BD143" s="55"/>
      <c r="BE143" s="55"/>
      <c r="BF143" s="55"/>
      <c r="BG143" s="55"/>
      <c r="BH143" s="55"/>
      <c r="BI143" s="55"/>
      <c r="BJ143" s="55"/>
      <c r="BK143" s="55"/>
      <c r="BL143" s="55"/>
      <c r="BM143" s="55"/>
      <c r="BN143" s="55"/>
      <c r="BO143" s="55"/>
      <c r="BP143" s="55"/>
      <c r="BQ143" s="55"/>
      <c r="BR143" s="55"/>
      <c r="BS143" s="55"/>
      <c r="BT143" s="55"/>
      <c r="BU143" s="55"/>
      <c r="BV143" s="55"/>
      <c r="BW143" s="55"/>
      <c r="BX143" s="55"/>
      <c r="BY143" s="55"/>
      <c r="BZ143" s="55"/>
      <c r="CA143" s="55"/>
      <c r="CB143" s="55"/>
      <c r="CC143" s="55"/>
      <c r="CD143" s="55"/>
      <c r="CE143" s="55"/>
    </row>
    <row r="144" spans="1:100" x14ac:dyDescent="0.25">
      <c r="A144" s="55"/>
      <c r="B144" s="55"/>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c r="AA144" s="55"/>
      <c r="AB144" s="55"/>
      <c r="AC144" s="55"/>
      <c r="AD144" s="55"/>
      <c r="AE144" s="55"/>
      <c r="AF144" s="55"/>
      <c r="AG144" s="55"/>
      <c r="AH144" s="55"/>
      <c r="AI144" s="55"/>
      <c r="AJ144" s="55"/>
      <c r="AK144" s="55"/>
      <c r="AL144" s="55"/>
      <c r="AM144" s="55"/>
      <c r="AN144" s="55"/>
      <c r="AO144" s="55"/>
      <c r="AP144" s="55"/>
      <c r="AQ144" s="55"/>
      <c r="AR144" s="55"/>
      <c r="AS144" s="55"/>
      <c r="AT144" s="55"/>
      <c r="AU144" s="55"/>
      <c r="AV144" s="55"/>
      <c r="AW144" s="55"/>
      <c r="AX144" s="55"/>
      <c r="AY144" s="55"/>
      <c r="AZ144" s="55"/>
      <c r="BA144" s="55"/>
      <c r="BB144" s="55"/>
      <c r="BC144" s="55"/>
      <c r="BD144" s="55"/>
      <c r="BE144" s="55"/>
      <c r="BF144" s="55"/>
      <c r="BG144" s="55"/>
      <c r="BH144" s="55"/>
      <c r="BI144" s="55"/>
      <c r="BJ144" s="55"/>
      <c r="BK144" s="55"/>
      <c r="BL144" s="55"/>
      <c r="BM144" s="55"/>
      <c r="BN144" s="55"/>
      <c r="BO144" s="55"/>
      <c r="BP144" s="55"/>
      <c r="BQ144" s="55"/>
      <c r="BR144" s="55"/>
      <c r="BS144" s="55"/>
      <c r="BT144" s="55"/>
      <c r="BU144" s="55"/>
      <c r="BV144" s="55"/>
      <c r="BW144" s="55"/>
      <c r="BX144" s="55"/>
      <c r="BY144" s="55"/>
      <c r="BZ144" s="55"/>
      <c r="CA144" s="55"/>
      <c r="CB144" s="55"/>
      <c r="CC144" s="55"/>
      <c r="CD144" s="55"/>
      <c r="CE144" s="55"/>
    </row>
    <row r="145" spans="1:83" x14ac:dyDescent="0.25">
      <c r="A145" s="55"/>
      <c r="B145" s="55"/>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c r="AA145" s="55"/>
      <c r="AB145" s="55"/>
      <c r="AC145" s="55"/>
      <c r="AD145" s="55"/>
      <c r="AE145" s="55"/>
      <c r="AF145" s="55"/>
      <c r="AG145" s="55"/>
      <c r="AH145" s="55"/>
      <c r="AI145" s="55"/>
      <c r="AJ145" s="55"/>
      <c r="AK145" s="55"/>
      <c r="AL145" s="55"/>
      <c r="AM145" s="55"/>
      <c r="AN145" s="55"/>
      <c r="AO145" s="55"/>
      <c r="AP145" s="55"/>
      <c r="AQ145" s="55"/>
      <c r="AR145" s="55"/>
      <c r="AS145" s="55"/>
      <c r="AT145" s="55"/>
      <c r="AU145" s="55"/>
      <c r="AV145" s="55"/>
      <c r="AW145" s="55"/>
      <c r="AX145" s="55"/>
      <c r="AY145" s="55"/>
      <c r="AZ145" s="55"/>
      <c r="BA145" s="55"/>
      <c r="BB145" s="55"/>
      <c r="BC145" s="55"/>
      <c r="BD145" s="55"/>
      <c r="BE145" s="55"/>
      <c r="BF145" s="55"/>
      <c r="BG145" s="55"/>
      <c r="BH145" s="55"/>
      <c r="BI145" s="55"/>
      <c r="BJ145" s="55"/>
      <c r="BK145" s="55"/>
      <c r="BL145" s="55"/>
      <c r="BM145" s="55"/>
      <c r="BN145" s="55"/>
      <c r="BO145" s="55"/>
      <c r="BP145" s="55"/>
      <c r="BQ145" s="55"/>
      <c r="BR145" s="55"/>
      <c r="BS145" s="55"/>
      <c r="BT145" s="55"/>
      <c r="BU145" s="55"/>
      <c r="BV145" s="55"/>
      <c r="BW145" s="55"/>
      <c r="BX145" s="55"/>
      <c r="BY145" s="55"/>
      <c r="BZ145" s="55"/>
      <c r="CA145" s="55"/>
      <c r="CB145" s="55"/>
      <c r="CC145" s="55"/>
      <c r="CD145" s="55"/>
      <c r="CE145" s="55"/>
    </row>
    <row r="146" spans="1:83" x14ac:dyDescent="0.25">
      <c r="A146" s="55"/>
      <c r="B146" s="55"/>
      <c r="C146" s="55"/>
      <c r="D146" s="55"/>
      <c r="E146" s="55"/>
      <c r="F146" s="55"/>
      <c r="G146" s="55"/>
      <c r="H146" s="55"/>
      <c r="I146" s="55"/>
      <c r="J146" s="55"/>
      <c r="K146" s="55"/>
      <c r="L146" s="55"/>
      <c r="M146" s="55"/>
      <c r="N146" s="55"/>
      <c r="O146" s="55"/>
      <c r="P146" s="55"/>
      <c r="Q146" s="55"/>
      <c r="R146" s="55"/>
      <c r="S146" s="55"/>
      <c r="T146" s="55"/>
      <c r="U146" s="55"/>
      <c r="V146" s="55"/>
      <c r="W146" s="55"/>
      <c r="X146" s="55"/>
      <c r="Y146" s="55"/>
      <c r="Z146" s="55"/>
      <c r="AA146" s="55"/>
      <c r="AB146" s="55"/>
      <c r="AC146" s="55"/>
      <c r="AD146" s="55"/>
      <c r="AE146" s="55"/>
      <c r="AF146" s="55"/>
      <c r="AG146" s="55"/>
      <c r="AH146" s="55"/>
      <c r="AI146" s="55"/>
      <c r="AJ146" s="55"/>
      <c r="AK146" s="55"/>
      <c r="AL146" s="55"/>
      <c r="AM146" s="55"/>
      <c r="AN146" s="55"/>
      <c r="AO146" s="55"/>
      <c r="AP146" s="55"/>
      <c r="AQ146" s="55"/>
      <c r="AR146" s="55"/>
      <c r="AS146" s="55"/>
      <c r="AT146" s="55"/>
      <c r="AU146" s="55"/>
      <c r="AV146" s="55"/>
      <c r="AW146" s="55"/>
      <c r="AX146" s="55"/>
      <c r="AY146" s="55"/>
      <c r="AZ146" s="55"/>
      <c r="BA146" s="55"/>
      <c r="BB146" s="55"/>
      <c r="BC146" s="55"/>
      <c r="BD146" s="55"/>
      <c r="BE146" s="55"/>
      <c r="BF146" s="55"/>
      <c r="BG146" s="55"/>
      <c r="BH146" s="55"/>
      <c r="BI146" s="55"/>
      <c r="BJ146" s="55"/>
      <c r="BK146" s="55"/>
      <c r="BL146" s="55"/>
      <c r="BM146" s="55"/>
      <c r="BN146" s="55"/>
      <c r="BO146" s="55"/>
      <c r="BP146" s="55"/>
      <c r="BQ146" s="55"/>
      <c r="BR146" s="55"/>
      <c r="BS146" s="55"/>
      <c r="BT146" s="55"/>
      <c r="BU146" s="55"/>
      <c r="BV146" s="55"/>
      <c r="BW146" s="55"/>
      <c r="BX146" s="55"/>
      <c r="BY146" s="55"/>
      <c r="BZ146" s="55"/>
      <c r="CA146" s="55"/>
      <c r="CB146" s="55"/>
      <c r="CC146" s="55"/>
      <c r="CD146" s="55"/>
      <c r="CE146" s="55"/>
    </row>
    <row r="147" spans="1:83" x14ac:dyDescent="0.25">
      <c r="A147" s="55"/>
      <c r="B147" s="55"/>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c r="AA147" s="55"/>
      <c r="AB147" s="55"/>
      <c r="AC147" s="55"/>
      <c r="AD147" s="55"/>
      <c r="AE147" s="55"/>
      <c r="AF147" s="55"/>
      <c r="AG147" s="55"/>
      <c r="AH147" s="55"/>
      <c r="AI147" s="55"/>
      <c r="AJ147" s="55"/>
      <c r="AK147" s="55"/>
      <c r="AL147" s="55"/>
      <c r="AM147" s="55"/>
      <c r="AN147" s="55"/>
      <c r="AO147" s="55"/>
      <c r="AP147" s="55"/>
      <c r="AQ147" s="55"/>
      <c r="AR147" s="55"/>
      <c r="AS147" s="55"/>
      <c r="AT147" s="55"/>
      <c r="AU147" s="55"/>
      <c r="AV147" s="55"/>
      <c r="AW147" s="55"/>
      <c r="AX147" s="55"/>
      <c r="AY147" s="55"/>
      <c r="AZ147" s="55"/>
      <c r="BA147" s="55"/>
      <c r="BB147" s="55"/>
      <c r="BC147" s="55"/>
      <c r="BD147" s="55"/>
      <c r="BE147" s="55"/>
      <c r="BF147" s="55"/>
      <c r="BG147" s="55"/>
      <c r="BH147" s="55"/>
      <c r="BI147" s="55"/>
      <c r="BJ147" s="55"/>
      <c r="BK147" s="55"/>
      <c r="BL147" s="55"/>
      <c r="BM147" s="55"/>
      <c r="BN147" s="55"/>
      <c r="BO147" s="55"/>
      <c r="BP147" s="55"/>
      <c r="BQ147" s="55"/>
      <c r="BR147" s="55"/>
      <c r="BS147" s="55"/>
      <c r="BT147" s="55"/>
      <c r="BU147" s="55"/>
      <c r="BV147" s="55"/>
      <c r="BW147" s="55"/>
      <c r="BX147" s="55"/>
      <c r="BY147" s="55"/>
      <c r="BZ147" s="55"/>
      <c r="CA147" s="55"/>
      <c r="CB147" s="55"/>
      <c r="CC147" s="55"/>
      <c r="CD147" s="55"/>
      <c r="CE147" s="55"/>
    </row>
    <row r="148" spans="1:83" x14ac:dyDescent="0.25">
      <c r="A148" s="55"/>
      <c r="B148" s="55"/>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c r="AS148" s="55"/>
      <c r="AT148" s="55"/>
      <c r="AU148" s="55"/>
      <c r="AV148" s="55"/>
      <c r="AW148" s="55"/>
      <c r="AX148" s="55"/>
      <c r="AY148" s="55"/>
      <c r="AZ148" s="55"/>
      <c r="BA148" s="55"/>
      <c r="BB148" s="55"/>
      <c r="BC148" s="55"/>
      <c r="BD148" s="55"/>
      <c r="BE148" s="55"/>
      <c r="BF148" s="55"/>
      <c r="BG148" s="55"/>
      <c r="BH148" s="55"/>
      <c r="BI148" s="55"/>
      <c r="BJ148" s="55"/>
      <c r="BK148" s="55"/>
      <c r="BL148" s="55"/>
      <c r="BM148" s="55"/>
      <c r="BN148" s="55"/>
      <c r="BO148" s="55"/>
      <c r="BP148" s="55"/>
      <c r="BQ148" s="55"/>
      <c r="BR148" s="55"/>
      <c r="BS148" s="55"/>
      <c r="BT148" s="55"/>
      <c r="BU148" s="55"/>
      <c r="BV148" s="55"/>
      <c r="BW148" s="55"/>
      <c r="BX148" s="55"/>
      <c r="BY148" s="55"/>
      <c r="BZ148" s="55"/>
      <c r="CA148" s="55"/>
      <c r="CB148" s="55"/>
      <c r="CC148" s="55"/>
      <c r="CD148" s="55"/>
      <c r="CE148" s="55"/>
    </row>
    <row r="149" spans="1:83" x14ac:dyDescent="0.25">
      <c r="A149" s="55"/>
      <c r="B149" s="55"/>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c r="AA149" s="55"/>
      <c r="AB149" s="55"/>
      <c r="AC149" s="55"/>
      <c r="AD149" s="55"/>
      <c r="AE149" s="55"/>
      <c r="AF149" s="55"/>
      <c r="AG149" s="55"/>
      <c r="AH149" s="55"/>
      <c r="AI149" s="55"/>
      <c r="AJ149" s="55"/>
      <c r="AK149" s="55"/>
      <c r="AL149" s="55"/>
      <c r="AM149" s="55"/>
      <c r="AN149" s="55"/>
      <c r="AO149" s="55"/>
      <c r="AP149" s="55"/>
      <c r="AQ149" s="55"/>
      <c r="AR149" s="55"/>
      <c r="AS149" s="55"/>
      <c r="AT149" s="55"/>
      <c r="AU149" s="55"/>
      <c r="AV149" s="55"/>
      <c r="AW149" s="55"/>
      <c r="AX149" s="55"/>
      <c r="AY149" s="55"/>
      <c r="AZ149" s="55"/>
      <c r="BA149" s="55"/>
      <c r="BB149" s="55"/>
      <c r="BC149" s="55"/>
      <c r="BD149" s="55"/>
      <c r="BE149" s="55"/>
      <c r="BF149" s="55"/>
      <c r="BG149" s="55"/>
      <c r="BH149" s="55"/>
      <c r="BI149" s="55"/>
      <c r="BJ149" s="55"/>
      <c r="BK149" s="55"/>
      <c r="BL149" s="55"/>
      <c r="BM149" s="55"/>
      <c r="BN149" s="55"/>
      <c r="BO149" s="55"/>
      <c r="BP149" s="55"/>
      <c r="BQ149" s="55"/>
      <c r="BR149" s="55"/>
      <c r="BS149" s="55"/>
      <c r="BT149" s="55"/>
      <c r="BU149" s="55"/>
      <c r="BV149" s="55"/>
      <c r="BW149" s="55"/>
      <c r="BX149" s="55"/>
      <c r="BY149" s="55"/>
      <c r="BZ149" s="55"/>
      <c r="CA149" s="55"/>
      <c r="CB149" s="55"/>
      <c r="CC149" s="55"/>
      <c r="CD149" s="55"/>
      <c r="CE149" s="55"/>
    </row>
    <row r="150" spans="1:83" x14ac:dyDescent="0.25">
      <c r="A150" s="55"/>
      <c r="B150" s="55"/>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c r="AA150" s="55"/>
      <c r="AB150" s="55"/>
      <c r="AC150" s="55"/>
      <c r="AD150" s="55"/>
      <c r="AE150" s="55"/>
      <c r="AF150" s="55"/>
      <c r="AG150" s="55"/>
      <c r="AH150" s="55"/>
      <c r="AI150" s="55"/>
      <c r="AJ150" s="55"/>
      <c r="AK150" s="55"/>
      <c r="AL150" s="55"/>
      <c r="AM150" s="55"/>
      <c r="AN150" s="55"/>
      <c r="AO150" s="55"/>
      <c r="AP150" s="55"/>
      <c r="AQ150" s="55"/>
      <c r="AR150" s="55"/>
      <c r="AS150" s="55"/>
      <c r="AT150" s="55"/>
      <c r="AU150" s="55"/>
      <c r="AV150" s="55"/>
      <c r="AW150" s="55"/>
      <c r="AX150" s="55"/>
      <c r="AY150" s="55"/>
      <c r="AZ150" s="55"/>
      <c r="BA150" s="55"/>
      <c r="BB150" s="55"/>
      <c r="BC150" s="55"/>
      <c r="BD150" s="55"/>
      <c r="BE150" s="55"/>
      <c r="BF150" s="55"/>
      <c r="BG150" s="55"/>
      <c r="BH150" s="55"/>
      <c r="BI150" s="55"/>
      <c r="BJ150" s="55"/>
      <c r="BK150" s="55"/>
      <c r="BL150" s="55"/>
      <c r="BM150" s="55"/>
      <c r="BN150" s="55"/>
      <c r="BO150" s="55"/>
      <c r="BP150" s="55"/>
      <c r="BQ150" s="55"/>
      <c r="BR150" s="55"/>
      <c r="BS150" s="55"/>
      <c r="BT150" s="55"/>
      <c r="BU150" s="55"/>
      <c r="BV150" s="55"/>
      <c r="BW150" s="55"/>
      <c r="BX150" s="55"/>
      <c r="BY150" s="55"/>
      <c r="BZ150" s="55"/>
      <c r="CA150" s="55"/>
      <c r="CB150" s="55"/>
      <c r="CC150" s="55"/>
      <c r="CD150" s="55"/>
      <c r="CE150" s="55"/>
    </row>
    <row r="151" spans="1:83" x14ac:dyDescent="0.25">
      <c r="A151" s="55"/>
      <c r="B151" s="55"/>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c r="AA151" s="55"/>
      <c r="AB151" s="55"/>
      <c r="AC151" s="55"/>
      <c r="AD151" s="55"/>
      <c r="AE151" s="55"/>
      <c r="AF151" s="55"/>
      <c r="AG151" s="55"/>
      <c r="AH151" s="55"/>
      <c r="AI151" s="55"/>
      <c r="AJ151" s="55"/>
      <c r="AK151" s="55"/>
      <c r="AL151" s="55"/>
      <c r="AM151" s="55"/>
      <c r="AN151" s="55"/>
      <c r="AO151" s="55"/>
      <c r="AP151" s="55"/>
      <c r="AQ151" s="55"/>
      <c r="AR151" s="55"/>
      <c r="AS151" s="55"/>
      <c r="AT151" s="55"/>
      <c r="AU151" s="55"/>
      <c r="AV151" s="55"/>
      <c r="AW151" s="55"/>
      <c r="AX151" s="55"/>
      <c r="AY151" s="55"/>
      <c r="AZ151" s="55"/>
      <c r="BA151" s="55"/>
      <c r="BB151" s="55"/>
      <c r="BC151" s="55"/>
      <c r="BD151" s="55"/>
      <c r="BE151" s="55"/>
      <c r="BF151" s="55"/>
      <c r="BG151" s="55"/>
      <c r="BH151" s="55"/>
      <c r="BI151" s="55"/>
      <c r="BJ151" s="55"/>
      <c r="BK151" s="55"/>
      <c r="BL151" s="55"/>
      <c r="BM151" s="55"/>
      <c r="BN151" s="55"/>
      <c r="BO151" s="55"/>
      <c r="BP151" s="55"/>
      <c r="BQ151" s="55"/>
      <c r="BR151" s="55"/>
      <c r="BS151" s="55"/>
      <c r="BT151" s="55"/>
      <c r="BU151" s="55"/>
      <c r="BV151" s="55"/>
      <c r="BW151" s="55"/>
      <c r="BX151" s="55"/>
      <c r="BY151" s="55"/>
      <c r="BZ151" s="55"/>
      <c r="CA151" s="55"/>
      <c r="CB151" s="55"/>
      <c r="CC151" s="55"/>
      <c r="CD151" s="55"/>
      <c r="CE151" s="55"/>
    </row>
    <row r="152" spans="1:83" x14ac:dyDescent="0.25">
      <c r="A152" s="55"/>
      <c r="B152" s="55"/>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5"/>
      <c r="AJ152" s="55"/>
      <c r="AK152" s="55"/>
      <c r="AL152" s="55"/>
      <c r="AM152" s="55"/>
      <c r="AN152" s="55"/>
      <c r="AO152" s="55"/>
      <c r="AP152" s="55"/>
      <c r="AQ152" s="55"/>
      <c r="AR152" s="55"/>
      <c r="AS152" s="55"/>
      <c r="AT152" s="55"/>
      <c r="AU152" s="55"/>
      <c r="AV152" s="55"/>
      <c r="AW152" s="55"/>
      <c r="AX152" s="55"/>
      <c r="AY152" s="55"/>
      <c r="AZ152" s="55"/>
      <c r="BA152" s="55"/>
      <c r="BB152" s="55"/>
      <c r="BC152" s="55"/>
      <c r="BD152" s="55"/>
      <c r="BE152" s="55"/>
      <c r="BF152" s="55"/>
      <c r="BG152" s="55"/>
      <c r="BH152" s="55"/>
      <c r="BI152" s="55"/>
      <c r="BJ152" s="55"/>
      <c r="BK152" s="55"/>
      <c r="BL152" s="55"/>
      <c r="BM152" s="55"/>
      <c r="BN152" s="55"/>
      <c r="BO152" s="55"/>
      <c r="BP152" s="55"/>
      <c r="BQ152" s="55"/>
      <c r="BR152" s="55"/>
      <c r="BS152" s="55"/>
      <c r="BT152" s="55"/>
      <c r="BU152" s="55"/>
      <c r="BV152" s="55"/>
      <c r="BW152" s="55"/>
      <c r="BX152" s="55"/>
      <c r="BY152" s="55"/>
      <c r="BZ152" s="55"/>
      <c r="CA152" s="55"/>
      <c r="CB152" s="55"/>
      <c r="CC152" s="55"/>
      <c r="CD152" s="55"/>
      <c r="CE152" s="55"/>
    </row>
    <row r="153" spans="1:83" x14ac:dyDescent="0.25">
      <c r="A153" s="55"/>
      <c r="B153" s="55"/>
      <c r="C153" s="55"/>
      <c r="D153" s="55"/>
      <c r="E153" s="55"/>
      <c r="F153" s="55"/>
      <c r="G153" s="55"/>
      <c r="H153" s="55"/>
      <c r="I153" s="55"/>
      <c r="J153" s="55"/>
      <c r="K153" s="55"/>
      <c r="L153" s="55"/>
      <c r="M153" s="55"/>
      <c r="N153" s="55"/>
      <c r="O153" s="55"/>
      <c r="P153" s="55"/>
      <c r="Q153" s="55"/>
      <c r="R153" s="55"/>
      <c r="S153" s="55"/>
      <c r="T153" s="55"/>
      <c r="U153" s="55"/>
      <c r="V153" s="55"/>
      <c r="W153" s="55"/>
      <c r="X153" s="55"/>
      <c r="Y153" s="55"/>
      <c r="Z153" s="55"/>
      <c r="AA153" s="55"/>
      <c r="AB153" s="55"/>
      <c r="AC153" s="55"/>
      <c r="AD153" s="55"/>
      <c r="AE153" s="55"/>
      <c r="AF153" s="55"/>
      <c r="AG153" s="55"/>
      <c r="AH153" s="55"/>
      <c r="AI153" s="55"/>
      <c r="AJ153" s="55"/>
      <c r="AK153" s="55"/>
      <c r="AL153" s="55"/>
      <c r="AM153" s="55"/>
      <c r="AN153" s="55"/>
      <c r="AO153" s="55"/>
      <c r="AP153" s="55"/>
      <c r="AQ153" s="55"/>
      <c r="AR153" s="55"/>
      <c r="AS153" s="55"/>
      <c r="AT153" s="55"/>
      <c r="AU153" s="55"/>
      <c r="AV153" s="55"/>
      <c r="AW153" s="55"/>
      <c r="AX153" s="55"/>
      <c r="AY153" s="55"/>
      <c r="AZ153" s="55"/>
      <c r="BA153" s="55"/>
      <c r="BB153" s="55"/>
      <c r="BC153" s="55"/>
      <c r="BD153" s="55"/>
      <c r="BE153" s="55"/>
      <c r="BF153" s="55"/>
      <c r="BG153" s="55"/>
      <c r="BH153" s="55"/>
      <c r="BI153" s="55"/>
      <c r="BJ153" s="55"/>
      <c r="BK153" s="55"/>
      <c r="BL153" s="55"/>
      <c r="BM153" s="55"/>
      <c r="BN153" s="55"/>
      <c r="BO153" s="55"/>
      <c r="BP153" s="55"/>
      <c r="BQ153" s="55"/>
      <c r="BR153" s="55"/>
      <c r="BS153" s="55"/>
      <c r="BT153" s="55"/>
      <c r="BU153" s="55"/>
      <c r="BV153" s="55"/>
      <c r="BW153" s="55"/>
      <c r="BX153" s="55"/>
      <c r="BY153" s="55"/>
      <c r="BZ153" s="55"/>
      <c r="CA153" s="55"/>
      <c r="CB153" s="55"/>
      <c r="CC153" s="55"/>
      <c r="CD153" s="55"/>
      <c r="CE153" s="55"/>
    </row>
    <row r="154" spans="1:83" x14ac:dyDescent="0.25">
      <c r="A154" s="55"/>
      <c r="B154" s="55"/>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c r="AA154" s="55"/>
      <c r="AB154" s="55"/>
      <c r="AC154" s="55"/>
      <c r="AD154" s="55"/>
      <c r="AE154" s="55"/>
      <c r="AF154" s="55"/>
      <c r="AG154" s="55"/>
      <c r="AH154" s="55"/>
      <c r="AI154" s="55"/>
      <c r="AJ154" s="55"/>
      <c r="AK154" s="55"/>
      <c r="AL154" s="55"/>
      <c r="AM154" s="55"/>
      <c r="AN154" s="55"/>
      <c r="AO154" s="55"/>
      <c r="AP154" s="55"/>
      <c r="AQ154" s="55"/>
      <c r="AR154" s="55"/>
      <c r="AS154" s="55"/>
      <c r="AT154" s="55"/>
      <c r="AU154" s="55"/>
      <c r="AV154" s="55"/>
      <c r="AW154" s="55"/>
      <c r="AX154" s="55"/>
      <c r="AY154" s="55"/>
      <c r="AZ154" s="55"/>
      <c r="BA154" s="55"/>
      <c r="BB154" s="55"/>
      <c r="BC154" s="55"/>
      <c r="BD154" s="55"/>
      <c r="BE154" s="55"/>
      <c r="BF154" s="55"/>
      <c r="BG154" s="55"/>
      <c r="BH154" s="55"/>
      <c r="BI154" s="55"/>
      <c r="BJ154" s="55"/>
      <c r="BK154" s="55"/>
      <c r="BL154" s="55"/>
      <c r="BM154" s="55"/>
      <c r="BN154" s="55"/>
      <c r="BO154" s="55"/>
      <c r="BP154" s="55"/>
      <c r="BQ154" s="55"/>
      <c r="BR154" s="55"/>
      <c r="BS154" s="55"/>
      <c r="BT154" s="55"/>
      <c r="BU154" s="55"/>
      <c r="BV154" s="55"/>
      <c r="BW154" s="55"/>
      <c r="BX154" s="55"/>
      <c r="BY154" s="55"/>
      <c r="BZ154" s="55"/>
      <c r="CA154" s="55"/>
      <c r="CB154" s="55"/>
      <c r="CC154" s="55"/>
      <c r="CD154" s="55"/>
      <c r="CE154" s="55"/>
    </row>
    <row r="155" spans="1:83" x14ac:dyDescent="0.25">
      <c r="A155" s="55"/>
      <c r="B155" s="55"/>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c r="AA155" s="55"/>
      <c r="AB155" s="55"/>
      <c r="AC155" s="55"/>
      <c r="AD155" s="55"/>
      <c r="AE155" s="55"/>
      <c r="AF155" s="55"/>
      <c r="AG155" s="55"/>
      <c r="AH155" s="55"/>
      <c r="AI155" s="55"/>
      <c r="AJ155" s="55"/>
      <c r="AK155" s="55"/>
      <c r="AL155" s="55"/>
      <c r="AM155" s="55"/>
      <c r="AN155" s="55"/>
      <c r="AO155" s="55"/>
      <c r="AP155" s="55"/>
      <c r="AQ155" s="55"/>
      <c r="AR155" s="55"/>
      <c r="AS155" s="55"/>
      <c r="AT155" s="55"/>
      <c r="AU155" s="55"/>
      <c r="AV155" s="55"/>
      <c r="AW155" s="55"/>
      <c r="AX155" s="55"/>
      <c r="AY155" s="55"/>
      <c r="AZ155" s="55"/>
      <c r="BA155" s="55"/>
      <c r="BB155" s="55"/>
      <c r="BC155" s="55"/>
      <c r="BD155" s="55"/>
      <c r="BE155" s="55"/>
      <c r="BF155" s="55"/>
      <c r="BG155" s="55"/>
      <c r="BH155" s="55"/>
      <c r="BI155" s="55"/>
      <c r="BJ155" s="55"/>
      <c r="BK155" s="55"/>
      <c r="BL155" s="55"/>
      <c r="BM155" s="55"/>
      <c r="BN155" s="55"/>
      <c r="BO155" s="55"/>
      <c r="BP155" s="55"/>
      <c r="BQ155" s="55"/>
      <c r="BR155" s="55"/>
      <c r="BS155" s="55"/>
      <c r="BT155" s="55"/>
      <c r="BU155" s="55"/>
      <c r="BV155" s="55"/>
      <c r="BW155" s="55"/>
      <c r="BX155" s="55"/>
      <c r="BY155" s="55"/>
      <c r="BZ155" s="55"/>
      <c r="CA155" s="55"/>
      <c r="CB155" s="55"/>
      <c r="CC155" s="55"/>
      <c r="CD155" s="55"/>
      <c r="CE155" s="55"/>
    </row>
    <row r="156" spans="1:83" x14ac:dyDescent="0.25">
      <c r="A156" s="55"/>
      <c r="B156" s="55"/>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c r="AA156" s="55"/>
      <c r="AB156" s="55"/>
      <c r="AC156" s="55"/>
      <c r="AD156" s="55"/>
      <c r="AE156" s="55"/>
      <c r="AF156" s="55"/>
      <c r="AG156" s="55"/>
      <c r="AH156" s="55"/>
      <c r="AI156" s="55"/>
      <c r="AJ156" s="55"/>
      <c r="AK156" s="55"/>
      <c r="AL156" s="55"/>
      <c r="AM156" s="55"/>
      <c r="AN156" s="55"/>
      <c r="AO156" s="55"/>
      <c r="AP156" s="55"/>
      <c r="AQ156" s="55"/>
      <c r="AR156" s="55"/>
      <c r="AS156" s="55"/>
      <c r="AT156" s="55"/>
      <c r="AU156" s="55"/>
      <c r="AV156" s="55"/>
      <c r="AW156" s="55"/>
      <c r="AX156" s="55"/>
      <c r="AY156" s="55"/>
      <c r="AZ156" s="55"/>
      <c r="BA156" s="55"/>
      <c r="BB156" s="55"/>
      <c r="BC156" s="55"/>
      <c r="BD156" s="55"/>
      <c r="BE156" s="55"/>
      <c r="BF156" s="55"/>
      <c r="BG156" s="55"/>
      <c r="BH156" s="55"/>
      <c r="BI156" s="55"/>
      <c r="BJ156" s="55"/>
      <c r="BK156" s="55"/>
      <c r="BL156" s="55"/>
      <c r="BM156" s="55"/>
      <c r="BN156" s="55"/>
      <c r="BO156" s="55"/>
      <c r="BP156" s="55"/>
      <c r="BQ156" s="55"/>
      <c r="BR156" s="55"/>
      <c r="BS156" s="55"/>
      <c r="BT156" s="55"/>
      <c r="BU156" s="55"/>
      <c r="BV156" s="55"/>
      <c r="BW156" s="55"/>
      <c r="BX156" s="55"/>
      <c r="BY156" s="55"/>
      <c r="BZ156" s="55"/>
      <c r="CA156" s="55"/>
      <c r="CB156" s="55"/>
      <c r="CC156" s="55"/>
      <c r="CD156" s="55"/>
      <c r="CE156" s="55"/>
    </row>
    <row r="157" spans="1:83" x14ac:dyDescent="0.25">
      <c r="A157" s="55"/>
      <c r="B157" s="55"/>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c r="AA157" s="55"/>
      <c r="AB157" s="55"/>
      <c r="AC157" s="55"/>
      <c r="AD157" s="55"/>
      <c r="AE157" s="55"/>
      <c r="AF157" s="55"/>
      <c r="AG157" s="55"/>
      <c r="AH157" s="55"/>
      <c r="AI157" s="55"/>
      <c r="AJ157" s="55"/>
      <c r="AK157" s="55"/>
      <c r="AL157" s="55"/>
      <c r="AM157" s="55"/>
      <c r="AN157" s="55"/>
      <c r="AO157" s="55"/>
      <c r="AP157" s="55"/>
      <c r="AQ157" s="55"/>
      <c r="AR157" s="55"/>
      <c r="AS157" s="55"/>
      <c r="AT157" s="55"/>
      <c r="AU157" s="55"/>
      <c r="AV157" s="55"/>
      <c r="AW157" s="55"/>
      <c r="AX157" s="55"/>
      <c r="AY157" s="55"/>
      <c r="AZ157" s="55"/>
      <c r="BA157" s="55"/>
      <c r="BB157" s="55"/>
      <c r="BC157" s="55"/>
      <c r="BD157" s="55"/>
      <c r="BE157" s="55"/>
      <c r="BF157" s="55"/>
      <c r="BG157" s="55"/>
      <c r="BH157" s="55"/>
      <c r="BI157" s="55"/>
      <c r="BJ157" s="55"/>
      <c r="BK157" s="55"/>
      <c r="BL157" s="55"/>
      <c r="BM157" s="55"/>
      <c r="BN157" s="55"/>
      <c r="BO157" s="55"/>
      <c r="BP157" s="55"/>
      <c r="BQ157" s="55"/>
      <c r="BR157" s="55"/>
      <c r="BS157" s="55"/>
      <c r="BT157" s="55"/>
      <c r="BU157" s="55"/>
      <c r="BV157" s="55"/>
      <c r="BW157" s="55"/>
      <c r="BX157" s="55"/>
      <c r="BY157" s="55"/>
      <c r="BZ157" s="55"/>
      <c r="CA157" s="55"/>
      <c r="CB157" s="55"/>
      <c r="CC157" s="55"/>
      <c r="CD157" s="55"/>
      <c r="CE157" s="55"/>
    </row>
    <row r="158" spans="1:83" x14ac:dyDescent="0.25">
      <c r="A158" s="55"/>
      <c r="B158" s="55"/>
      <c r="C158" s="55"/>
      <c r="D158" s="55"/>
      <c r="E158" s="55"/>
      <c r="F158" s="55"/>
      <c r="G158" s="55"/>
      <c r="H158" s="55"/>
      <c r="I158" s="55"/>
      <c r="J158" s="55"/>
      <c r="K158" s="55"/>
      <c r="L158" s="55"/>
      <c r="M158" s="55"/>
      <c r="N158" s="55"/>
      <c r="O158" s="55"/>
      <c r="P158" s="55"/>
      <c r="Q158" s="55"/>
      <c r="R158" s="55"/>
      <c r="S158" s="55"/>
      <c r="T158" s="55"/>
      <c r="U158" s="55"/>
      <c r="V158" s="55"/>
      <c r="W158" s="55"/>
      <c r="X158" s="55"/>
      <c r="Y158" s="55"/>
      <c r="Z158" s="55"/>
      <c r="AA158" s="55"/>
      <c r="AB158" s="55"/>
      <c r="AC158" s="55"/>
      <c r="AD158" s="55"/>
      <c r="AE158" s="55"/>
      <c r="AF158" s="55"/>
      <c r="AG158" s="55"/>
      <c r="AH158" s="55"/>
      <c r="AI158" s="55"/>
      <c r="AJ158" s="55"/>
      <c r="AK158" s="55"/>
      <c r="AL158" s="55"/>
      <c r="AM158" s="55"/>
      <c r="AN158" s="55"/>
      <c r="AO158" s="55"/>
      <c r="AP158" s="55"/>
      <c r="AQ158" s="55"/>
      <c r="AR158" s="55"/>
      <c r="AS158" s="55"/>
      <c r="AT158" s="55"/>
      <c r="AU158" s="55"/>
      <c r="AV158" s="55"/>
      <c r="AW158" s="55"/>
      <c r="AX158" s="55"/>
      <c r="AY158" s="55"/>
      <c r="AZ158" s="55"/>
      <c r="BA158" s="55"/>
      <c r="BB158" s="55"/>
      <c r="BC158" s="55"/>
      <c r="BD158" s="55"/>
      <c r="BE158" s="55"/>
      <c r="BF158" s="55"/>
      <c r="BG158" s="55"/>
      <c r="BH158" s="55"/>
      <c r="BI158" s="55"/>
      <c r="BJ158" s="55"/>
      <c r="BK158" s="55"/>
      <c r="BL158" s="55"/>
      <c r="BM158" s="55"/>
      <c r="BN158" s="55"/>
      <c r="BO158" s="55"/>
      <c r="BP158" s="55"/>
      <c r="BQ158" s="55"/>
      <c r="BR158" s="55"/>
      <c r="BS158" s="55"/>
      <c r="BT158" s="55"/>
      <c r="BU158" s="55"/>
      <c r="BV158" s="55"/>
      <c r="BW158" s="55"/>
      <c r="BX158" s="55"/>
      <c r="BY158" s="55"/>
      <c r="BZ158" s="55"/>
      <c r="CA158" s="55"/>
      <c r="CB158" s="55"/>
      <c r="CC158" s="55"/>
      <c r="CD158" s="55"/>
      <c r="CE158" s="55"/>
    </row>
    <row r="159" spans="1:83" x14ac:dyDescent="0.25">
      <c r="A159" s="55"/>
      <c r="B159" s="55"/>
      <c r="C159" s="55"/>
      <c r="D159" s="55"/>
      <c r="E159" s="55"/>
      <c r="F159" s="55"/>
      <c r="G159" s="55"/>
      <c r="H159" s="55"/>
      <c r="I159" s="55"/>
      <c r="J159" s="55"/>
      <c r="K159" s="55"/>
      <c r="L159" s="55"/>
      <c r="M159" s="55"/>
      <c r="N159" s="55"/>
      <c r="O159" s="55"/>
      <c r="P159" s="55"/>
      <c r="Q159" s="55"/>
      <c r="R159" s="55"/>
      <c r="S159" s="55"/>
      <c r="T159" s="55"/>
      <c r="U159" s="55"/>
      <c r="V159" s="55"/>
      <c r="W159" s="55"/>
      <c r="X159" s="55"/>
      <c r="Y159" s="55"/>
      <c r="Z159" s="55"/>
      <c r="AA159" s="55"/>
      <c r="AB159" s="55"/>
      <c r="AC159" s="55"/>
      <c r="AD159" s="55"/>
      <c r="AE159" s="55"/>
      <c r="AF159" s="55"/>
      <c r="AG159" s="55"/>
      <c r="AH159" s="55"/>
      <c r="AI159" s="55"/>
      <c r="AJ159" s="55"/>
      <c r="AK159" s="55"/>
      <c r="AL159" s="55"/>
      <c r="AM159" s="55"/>
      <c r="AN159" s="55"/>
      <c r="AO159" s="55"/>
      <c r="AP159" s="55"/>
      <c r="AQ159" s="55"/>
      <c r="AR159" s="55"/>
      <c r="AS159" s="55"/>
      <c r="AT159" s="55"/>
      <c r="AU159" s="55"/>
      <c r="AV159" s="55"/>
      <c r="AW159" s="55"/>
      <c r="AX159" s="55"/>
      <c r="AY159" s="55"/>
      <c r="AZ159" s="55"/>
      <c r="BA159" s="55"/>
      <c r="BB159" s="55"/>
      <c r="BC159" s="55"/>
      <c r="BD159" s="55"/>
      <c r="BE159" s="55"/>
      <c r="BF159" s="55"/>
      <c r="BG159" s="55"/>
      <c r="BH159" s="55"/>
      <c r="BI159" s="55"/>
      <c r="BJ159" s="55"/>
      <c r="BK159" s="55"/>
      <c r="BL159" s="55"/>
      <c r="BM159" s="55"/>
      <c r="BN159" s="55"/>
      <c r="BO159" s="55"/>
      <c r="BP159" s="55"/>
      <c r="BQ159" s="55"/>
      <c r="BR159" s="55"/>
      <c r="BS159" s="55"/>
      <c r="BT159" s="55"/>
      <c r="BU159" s="55"/>
      <c r="BV159" s="55"/>
      <c r="BW159" s="55"/>
      <c r="BX159" s="55"/>
      <c r="BY159" s="55"/>
      <c r="BZ159" s="55"/>
      <c r="CA159" s="55"/>
      <c r="CB159" s="55"/>
      <c r="CC159" s="55"/>
      <c r="CD159" s="55"/>
      <c r="CE159" s="55"/>
    </row>
    <row r="160" spans="1:83" x14ac:dyDescent="0.25">
      <c r="A160" s="55"/>
      <c r="B160" s="55"/>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5"/>
      <c r="AL160" s="55"/>
      <c r="AM160" s="55"/>
      <c r="AN160" s="55"/>
      <c r="AO160" s="55"/>
      <c r="AP160" s="55"/>
      <c r="AQ160" s="55"/>
      <c r="AR160" s="55"/>
      <c r="AS160" s="55"/>
      <c r="AT160" s="55"/>
      <c r="AU160" s="55"/>
      <c r="AV160" s="55"/>
      <c r="AW160" s="55"/>
      <c r="AX160" s="55"/>
      <c r="AY160" s="55"/>
      <c r="AZ160" s="55"/>
      <c r="BA160" s="55"/>
      <c r="BB160" s="55"/>
      <c r="BC160" s="55"/>
      <c r="BD160" s="55"/>
      <c r="BE160" s="55"/>
      <c r="BF160" s="55"/>
      <c r="BG160" s="55"/>
      <c r="BH160" s="55"/>
      <c r="BI160" s="55"/>
      <c r="BJ160" s="55"/>
      <c r="BK160" s="55"/>
      <c r="BL160" s="55"/>
      <c r="BM160" s="55"/>
      <c r="BN160" s="55"/>
      <c r="BO160" s="55"/>
      <c r="BP160" s="55"/>
      <c r="BQ160" s="55"/>
      <c r="BR160" s="55"/>
      <c r="BS160" s="55"/>
      <c r="BT160" s="55"/>
      <c r="BU160" s="55"/>
      <c r="BV160" s="55"/>
      <c r="BW160" s="55"/>
      <c r="BX160" s="55"/>
      <c r="BY160" s="55"/>
      <c r="BZ160" s="55"/>
      <c r="CA160" s="55"/>
      <c r="CB160" s="55"/>
      <c r="CC160" s="55"/>
      <c r="CD160" s="55"/>
      <c r="CE160" s="55"/>
    </row>
    <row r="161" spans="1:83" x14ac:dyDescent="0.25">
      <c r="A161" s="55"/>
      <c r="B161" s="55"/>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c r="AO161" s="55"/>
      <c r="AP161" s="55"/>
      <c r="AQ161" s="55"/>
      <c r="AR161" s="55"/>
      <c r="AS161" s="55"/>
      <c r="AT161" s="55"/>
      <c r="AU161" s="55"/>
      <c r="AV161" s="55"/>
      <c r="AW161" s="55"/>
      <c r="AX161" s="55"/>
      <c r="AY161" s="55"/>
      <c r="AZ161" s="55"/>
      <c r="BA161" s="55"/>
      <c r="BB161" s="55"/>
      <c r="BC161" s="55"/>
      <c r="BD161" s="55"/>
      <c r="BE161" s="55"/>
      <c r="BF161" s="55"/>
      <c r="BG161" s="55"/>
      <c r="BH161" s="55"/>
      <c r="BI161" s="55"/>
      <c r="BJ161" s="55"/>
      <c r="BK161" s="55"/>
      <c r="BL161" s="55"/>
      <c r="BM161" s="55"/>
      <c r="BN161" s="55"/>
      <c r="BO161" s="55"/>
      <c r="BP161" s="55"/>
      <c r="BQ161" s="55"/>
      <c r="BR161" s="55"/>
      <c r="BS161" s="55"/>
      <c r="BT161" s="55"/>
      <c r="BU161" s="55"/>
      <c r="BV161" s="55"/>
      <c r="BW161" s="55"/>
      <c r="BX161" s="55"/>
      <c r="BY161" s="55"/>
      <c r="BZ161" s="55"/>
      <c r="CA161" s="55"/>
      <c r="CB161" s="55"/>
      <c r="CC161" s="55"/>
      <c r="CD161" s="55"/>
      <c r="CE161" s="55"/>
    </row>
    <row r="162" spans="1:83" x14ac:dyDescent="0.25">
      <c r="A162" s="55"/>
      <c r="B162" s="55"/>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c r="AO162" s="55"/>
      <c r="AP162" s="55"/>
      <c r="AQ162" s="55"/>
      <c r="AR162" s="55"/>
      <c r="AS162" s="55"/>
      <c r="AT162" s="55"/>
      <c r="AU162" s="55"/>
      <c r="AV162" s="55"/>
      <c r="AW162" s="55"/>
      <c r="AX162" s="55"/>
      <c r="AY162" s="55"/>
      <c r="AZ162" s="55"/>
      <c r="BA162" s="55"/>
      <c r="BB162" s="55"/>
      <c r="BC162" s="55"/>
      <c r="BD162" s="55"/>
      <c r="BE162" s="55"/>
      <c r="BF162" s="55"/>
      <c r="BG162" s="55"/>
      <c r="BH162" s="55"/>
      <c r="BI162" s="55"/>
      <c r="BJ162" s="55"/>
      <c r="BK162" s="55"/>
      <c r="BL162" s="55"/>
      <c r="BM162" s="55"/>
      <c r="BN162" s="55"/>
      <c r="BO162" s="55"/>
      <c r="BP162" s="55"/>
      <c r="BQ162" s="55"/>
      <c r="BR162" s="55"/>
      <c r="BS162" s="55"/>
      <c r="BT162" s="55"/>
      <c r="BU162" s="55"/>
      <c r="BV162" s="55"/>
      <c r="BW162" s="55"/>
      <c r="BX162" s="55"/>
      <c r="BY162" s="55"/>
      <c r="BZ162" s="55"/>
      <c r="CA162" s="55"/>
      <c r="CB162" s="55"/>
      <c r="CC162" s="55"/>
      <c r="CD162" s="55"/>
      <c r="CE162" s="55"/>
    </row>
    <row r="163" spans="1:83" x14ac:dyDescent="0.25">
      <c r="A163" s="55"/>
      <c r="B163" s="55"/>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c r="AA163" s="55"/>
      <c r="AB163" s="55"/>
      <c r="AC163" s="55"/>
      <c r="AD163" s="55"/>
      <c r="AE163" s="55"/>
      <c r="AF163" s="55"/>
      <c r="AG163" s="55"/>
      <c r="AH163" s="55"/>
      <c r="AI163" s="55"/>
      <c r="AJ163" s="55"/>
      <c r="AK163" s="55"/>
      <c r="AL163" s="55"/>
      <c r="AM163" s="55"/>
      <c r="AN163" s="55"/>
      <c r="AO163" s="55"/>
      <c r="AP163" s="55"/>
      <c r="AQ163" s="55"/>
      <c r="AR163" s="55"/>
      <c r="AS163" s="55"/>
      <c r="AT163" s="55"/>
      <c r="AU163" s="55"/>
      <c r="AV163" s="55"/>
      <c r="AW163" s="55"/>
      <c r="AX163" s="55"/>
      <c r="AY163" s="55"/>
      <c r="AZ163" s="55"/>
      <c r="BA163" s="55"/>
      <c r="BB163" s="55"/>
      <c r="BC163" s="55"/>
      <c r="BD163" s="55"/>
      <c r="BE163" s="55"/>
      <c r="BF163" s="55"/>
      <c r="BG163" s="55"/>
      <c r="BH163" s="55"/>
      <c r="BI163" s="55"/>
      <c r="BJ163" s="55"/>
      <c r="BK163" s="55"/>
      <c r="BL163" s="55"/>
      <c r="BM163" s="55"/>
      <c r="BN163" s="55"/>
      <c r="BO163" s="55"/>
      <c r="BP163" s="55"/>
      <c r="BQ163" s="55"/>
      <c r="BR163" s="55"/>
      <c r="BS163" s="55"/>
      <c r="BT163" s="55"/>
      <c r="BU163" s="55"/>
      <c r="BV163" s="55"/>
      <c r="BW163" s="55"/>
      <c r="BX163" s="55"/>
      <c r="BY163" s="55"/>
      <c r="BZ163" s="55"/>
      <c r="CA163" s="55"/>
      <c r="CB163" s="55"/>
      <c r="CC163" s="55"/>
      <c r="CD163" s="55"/>
      <c r="CE163" s="55"/>
    </row>
    <row r="164" spans="1:83" x14ac:dyDescent="0.25">
      <c r="A164" s="55"/>
      <c r="B164" s="55"/>
      <c r="C164" s="55"/>
      <c r="D164" s="55"/>
      <c r="E164" s="55"/>
      <c r="F164" s="55"/>
      <c r="G164" s="55"/>
      <c r="H164" s="55"/>
      <c r="I164" s="55"/>
      <c r="J164" s="55"/>
      <c r="K164" s="55"/>
      <c r="L164" s="55"/>
      <c r="M164" s="55"/>
      <c r="N164" s="55"/>
      <c r="O164" s="55"/>
      <c r="P164" s="55"/>
      <c r="Q164" s="55"/>
      <c r="R164" s="55"/>
      <c r="S164" s="55"/>
      <c r="T164" s="55"/>
      <c r="U164" s="55"/>
      <c r="V164" s="55"/>
      <c r="W164" s="55"/>
      <c r="X164" s="55"/>
      <c r="Y164" s="55"/>
      <c r="Z164" s="55"/>
      <c r="AA164" s="55"/>
      <c r="AB164" s="55"/>
      <c r="AC164" s="55"/>
      <c r="AD164" s="55"/>
      <c r="AE164" s="55"/>
      <c r="AF164" s="55"/>
      <c r="AG164" s="55"/>
      <c r="AH164" s="55"/>
      <c r="AI164" s="55"/>
      <c r="AJ164" s="55"/>
      <c r="AK164" s="55"/>
      <c r="AL164" s="55"/>
      <c r="AM164" s="55"/>
      <c r="AN164" s="55"/>
      <c r="AO164" s="55"/>
      <c r="AP164" s="55"/>
      <c r="AQ164" s="55"/>
      <c r="AR164" s="55"/>
      <c r="AS164" s="55"/>
      <c r="AT164" s="55"/>
      <c r="AU164" s="55"/>
      <c r="AV164" s="55"/>
      <c r="AW164" s="55"/>
      <c r="AX164" s="55"/>
      <c r="AY164" s="55"/>
      <c r="AZ164" s="55"/>
      <c r="BA164" s="55"/>
      <c r="BB164" s="55"/>
      <c r="BC164" s="55"/>
      <c r="BD164" s="55"/>
      <c r="BE164" s="55"/>
      <c r="BF164" s="55"/>
      <c r="BG164" s="55"/>
      <c r="BH164" s="55"/>
      <c r="BI164" s="55"/>
      <c r="BJ164" s="55"/>
      <c r="BK164" s="55"/>
      <c r="BL164" s="55"/>
      <c r="BM164" s="55"/>
      <c r="BN164" s="55"/>
      <c r="BO164" s="55"/>
      <c r="BP164" s="55"/>
      <c r="BQ164" s="55"/>
      <c r="BR164" s="55"/>
      <c r="BS164" s="55"/>
      <c r="BT164" s="55"/>
      <c r="BU164" s="55"/>
      <c r="BV164" s="55"/>
      <c r="BW164" s="55"/>
      <c r="BX164" s="55"/>
      <c r="BY164" s="55"/>
      <c r="BZ164" s="55"/>
      <c r="CA164" s="55"/>
      <c r="CB164" s="55"/>
      <c r="CC164" s="55"/>
      <c r="CD164" s="55"/>
      <c r="CE164" s="55"/>
    </row>
    <row r="165" spans="1:83" x14ac:dyDescent="0.25">
      <c r="A165" s="55"/>
      <c r="B165" s="55"/>
      <c r="C165" s="55"/>
      <c r="D165" s="55"/>
      <c r="E165" s="55"/>
      <c r="F165" s="55"/>
      <c r="G165" s="55"/>
      <c r="H165" s="55"/>
      <c r="I165" s="55"/>
      <c r="J165" s="55"/>
      <c r="K165" s="55"/>
      <c r="L165" s="55"/>
      <c r="M165" s="55"/>
      <c r="N165" s="55"/>
      <c r="O165" s="55"/>
      <c r="P165" s="55"/>
      <c r="Q165" s="55"/>
      <c r="R165" s="55"/>
      <c r="S165" s="55"/>
      <c r="T165" s="55"/>
      <c r="U165" s="55"/>
      <c r="V165" s="55"/>
      <c r="W165" s="55"/>
      <c r="X165" s="55"/>
      <c r="Y165" s="55"/>
      <c r="Z165" s="55"/>
      <c r="AA165" s="55"/>
      <c r="AB165" s="55"/>
      <c r="AC165" s="55"/>
      <c r="AD165" s="55"/>
      <c r="AE165" s="55"/>
      <c r="AF165" s="55"/>
      <c r="AG165" s="55"/>
      <c r="AH165" s="55"/>
      <c r="AI165" s="55"/>
      <c r="AJ165" s="55"/>
      <c r="AK165" s="55"/>
      <c r="AL165" s="55"/>
      <c r="AM165" s="55"/>
      <c r="AN165" s="55"/>
      <c r="AO165" s="55"/>
      <c r="AP165" s="55"/>
      <c r="AQ165" s="55"/>
      <c r="AR165" s="55"/>
      <c r="AS165" s="55"/>
      <c r="AT165" s="55"/>
      <c r="AU165" s="55"/>
      <c r="AV165" s="55"/>
      <c r="AW165" s="55"/>
      <c r="AX165" s="55"/>
      <c r="AY165" s="55"/>
      <c r="AZ165" s="55"/>
      <c r="BA165" s="55"/>
      <c r="BB165" s="55"/>
      <c r="BC165" s="55"/>
      <c r="BD165" s="55"/>
      <c r="BE165" s="55"/>
      <c r="BF165" s="55"/>
      <c r="BG165" s="55"/>
      <c r="BH165" s="55"/>
      <c r="BI165" s="55"/>
      <c r="BJ165" s="55"/>
      <c r="BK165" s="55"/>
      <c r="BL165" s="55"/>
      <c r="BM165" s="55"/>
      <c r="BN165" s="55"/>
      <c r="BO165" s="55"/>
      <c r="BP165" s="55"/>
      <c r="BQ165" s="55"/>
      <c r="BR165" s="55"/>
      <c r="BS165" s="55"/>
      <c r="BT165" s="55"/>
      <c r="BU165" s="55"/>
      <c r="BV165" s="55"/>
      <c r="BW165" s="55"/>
      <c r="BX165" s="55"/>
      <c r="BY165" s="55"/>
      <c r="BZ165" s="55"/>
      <c r="CA165" s="55"/>
      <c r="CB165" s="55"/>
      <c r="CC165" s="55"/>
      <c r="CD165" s="55"/>
      <c r="CE165" s="55"/>
    </row>
    <row r="166" spans="1:83" x14ac:dyDescent="0.25">
      <c r="A166" s="55"/>
      <c r="B166" s="55"/>
      <c r="C166" s="55"/>
      <c r="D166" s="55"/>
      <c r="E166" s="55"/>
      <c r="F166" s="55"/>
      <c r="G166" s="55"/>
      <c r="H166" s="55"/>
      <c r="I166" s="55"/>
      <c r="J166" s="55"/>
      <c r="K166" s="55"/>
      <c r="L166" s="55"/>
      <c r="M166" s="55"/>
      <c r="N166" s="55"/>
      <c r="O166" s="55"/>
      <c r="P166" s="55"/>
      <c r="Q166" s="55"/>
      <c r="R166" s="55"/>
      <c r="S166" s="55"/>
      <c r="T166" s="55"/>
      <c r="U166" s="55"/>
      <c r="V166" s="55"/>
      <c r="W166" s="55"/>
      <c r="X166" s="55"/>
      <c r="Y166" s="55"/>
      <c r="Z166" s="55"/>
      <c r="AA166" s="55"/>
      <c r="AB166" s="55"/>
      <c r="AC166" s="55"/>
      <c r="AD166" s="55"/>
      <c r="AE166" s="55"/>
      <c r="AF166" s="55"/>
      <c r="AG166" s="55"/>
      <c r="AH166" s="55"/>
      <c r="AI166" s="55"/>
      <c r="AJ166" s="55"/>
      <c r="AK166" s="55"/>
      <c r="AL166" s="55"/>
      <c r="AM166" s="55"/>
      <c r="AN166" s="55"/>
      <c r="AO166" s="55"/>
      <c r="AP166" s="55"/>
      <c r="AQ166" s="55"/>
      <c r="AR166" s="55"/>
      <c r="AS166" s="55"/>
      <c r="AT166" s="55"/>
      <c r="AU166" s="55"/>
      <c r="AV166" s="55"/>
      <c r="AW166" s="55"/>
      <c r="AX166" s="55"/>
      <c r="AY166" s="55"/>
      <c r="AZ166" s="55"/>
      <c r="BA166" s="55"/>
      <c r="BB166" s="55"/>
      <c r="BC166" s="55"/>
      <c r="BD166" s="55"/>
      <c r="BE166" s="55"/>
      <c r="BF166" s="55"/>
      <c r="BG166" s="55"/>
      <c r="BH166" s="55"/>
      <c r="BI166" s="55"/>
      <c r="BJ166" s="55"/>
      <c r="BK166" s="55"/>
      <c r="BL166" s="55"/>
      <c r="BM166" s="55"/>
      <c r="BN166" s="55"/>
      <c r="BO166" s="55"/>
      <c r="BP166" s="55"/>
      <c r="BQ166" s="55"/>
      <c r="BR166" s="55"/>
      <c r="BS166" s="55"/>
      <c r="BT166" s="55"/>
      <c r="BU166" s="55"/>
      <c r="BV166" s="55"/>
      <c r="BW166" s="55"/>
      <c r="BX166" s="55"/>
      <c r="BY166" s="55"/>
      <c r="BZ166" s="55"/>
      <c r="CA166" s="55"/>
      <c r="CB166" s="55"/>
      <c r="CC166" s="55"/>
      <c r="CD166" s="55"/>
      <c r="CE166" s="55"/>
    </row>
    <row r="167" spans="1:83" x14ac:dyDescent="0.25">
      <c r="A167" s="55"/>
      <c r="B167" s="55"/>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c r="AA167" s="55"/>
      <c r="AB167" s="55"/>
      <c r="AC167" s="55"/>
      <c r="AD167" s="55"/>
      <c r="AE167" s="55"/>
      <c r="AF167" s="55"/>
      <c r="AG167" s="55"/>
      <c r="AH167" s="55"/>
      <c r="AI167" s="55"/>
      <c r="AJ167" s="55"/>
      <c r="AK167" s="55"/>
      <c r="AL167" s="55"/>
      <c r="AM167" s="55"/>
      <c r="AN167" s="55"/>
      <c r="AO167" s="55"/>
      <c r="AP167" s="55"/>
      <c r="AQ167" s="55"/>
      <c r="AR167" s="55"/>
      <c r="AS167" s="55"/>
      <c r="AT167" s="55"/>
      <c r="AU167" s="55"/>
      <c r="AV167" s="55"/>
      <c r="AW167" s="55"/>
      <c r="AX167" s="55"/>
      <c r="AY167" s="55"/>
      <c r="AZ167" s="55"/>
      <c r="BA167" s="55"/>
      <c r="BB167" s="55"/>
      <c r="BC167" s="55"/>
      <c r="BD167" s="55"/>
      <c r="BE167" s="55"/>
      <c r="BF167" s="55"/>
      <c r="BG167" s="55"/>
      <c r="BH167" s="55"/>
      <c r="BI167" s="55"/>
      <c r="BJ167" s="55"/>
      <c r="BK167" s="55"/>
      <c r="BL167" s="55"/>
      <c r="BM167" s="55"/>
      <c r="BN167" s="55"/>
      <c r="BO167" s="55"/>
      <c r="BP167" s="55"/>
      <c r="BQ167" s="55"/>
      <c r="BR167" s="55"/>
      <c r="BS167" s="55"/>
      <c r="BT167" s="55"/>
      <c r="BU167" s="55"/>
      <c r="BV167" s="55"/>
      <c r="BW167" s="55"/>
      <c r="BX167" s="55"/>
      <c r="BY167" s="55"/>
      <c r="BZ167" s="55"/>
      <c r="CA167" s="55"/>
      <c r="CB167" s="55"/>
      <c r="CC167" s="55"/>
      <c r="CD167" s="55"/>
      <c r="CE167" s="55"/>
    </row>
    <row r="168" spans="1:83" x14ac:dyDescent="0.25">
      <c r="A168" s="55"/>
      <c r="B168" s="55"/>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c r="AA168" s="55"/>
      <c r="AB168" s="55"/>
      <c r="AC168" s="55"/>
      <c r="AD168" s="55"/>
      <c r="AE168" s="55"/>
      <c r="AF168" s="55"/>
      <c r="AG168" s="55"/>
      <c r="AH168" s="55"/>
      <c r="AI168" s="55"/>
      <c r="AJ168" s="55"/>
      <c r="AK168" s="55"/>
      <c r="AL168" s="55"/>
      <c r="AM168" s="55"/>
      <c r="AN168" s="55"/>
      <c r="AO168" s="55"/>
      <c r="AP168" s="55"/>
      <c r="AQ168" s="55"/>
      <c r="AR168" s="55"/>
      <c r="AS168" s="55"/>
      <c r="AT168" s="55"/>
      <c r="AU168" s="55"/>
      <c r="AV168" s="55"/>
      <c r="AW168" s="55"/>
      <c r="AX168" s="55"/>
      <c r="AY168" s="55"/>
      <c r="AZ168" s="55"/>
      <c r="BA168" s="55"/>
      <c r="BB168" s="55"/>
      <c r="BC168" s="55"/>
      <c r="BD168" s="55"/>
      <c r="BE168" s="55"/>
      <c r="BF168" s="55"/>
      <c r="BG168" s="55"/>
      <c r="BH168" s="55"/>
      <c r="BI168" s="55"/>
      <c r="BJ168" s="55"/>
      <c r="BK168" s="55"/>
      <c r="BL168" s="55"/>
      <c r="BM168" s="55"/>
      <c r="BN168" s="55"/>
      <c r="BO168" s="55"/>
      <c r="BP168" s="55"/>
      <c r="BQ168" s="55"/>
      <c r="BR168" s="55"/>
      <c r="BS168" s="55"/>
      <c r="BT168" s="55"/>
      <c r="BU168" s="55"/>
      <c r="BV168" s="55"/>
      <c r="BW168" s="55"/>
      <c r="BX168" s="55"/>
      <c r="BY168" s="55"/>
      <c r="BZ168" s="55"/>
      <c r="CA168" s="55"/>
      <c r="CB168" s="55"/>
      <c r="CC168" s="55"/>
      <c r="CD168" s="55"/>
      <c r="CE168" s="55"/>
    </row>
    <row r="169" spans="1:83" x14ac:dyDescent="0.25">
      <c r="A169" s="55"/>
      <c r="B169" s="55"/>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c r="AA169" s="55"/>
      <c r="AB169" s="55"/>
      <c r="AC169" s="55"/>
      <c r="AD169" s="55"/>
      <c r="AE169" s="55"/>
      <c r="AF169" s="55"/>
      <c r="AG169" s="55"/>
      <c r="AH169" s="55"/>
      <c r="AI169" s="55"/>
      <c r="AJ169" s="55"/>
      <c r="AK169" s="55"/>
      <c r="AL169" s="55"/>
      <c r="AM169" s="55"/>
      <c r="AN169" s="55"/>
      <c r="AO169" s="55"/>
      <c r="AP169" s="55"/>
      <c r="AQ169" s="55"/>
      <c r="AR169" s="55"/>
      <c r="AS169" s="55"/>
      <c r="AT169" s="55"/>
      <c r="AU169" s="55"/>
      <c r="AV169" s="55"/>
      <c r="AW169" s="55"/>
      <c r="AX169" s="55"/>
      <c r="AY169" s="55"/>
      <c r="AZ169" s="55"/>
      <c r="BA169" s="55"/>
      <c r="BB169" s="55"/>
      <c r="BC169" s="55"/>
      <c r="BD169" s="55"/>
      <c r="BE169" s="55"/>
      <c r="BF169" s="55"/>
      <c r="BG169" s="55"/>
      <c r="BH169" s="55"/>
      <c r="BI169" s="55"/>
      <c r="BJ169" s="55"/>
      <c r="BK169" s="55"/>
      <c r="BL169" s="55"/>
      <c r="BM169" s="55"/>
      <c r="BN169" s="55"/>
      <c r="BO169" s="55"/>
      <c r="BP169" s="55"/>
      <c r="BQ169" s="55"/>
      <c r="BR169" s="55"/>
      <c r="BS169" s="55"/>
      <c r="BT169" s="55"/>
      <c r="BU169" s="55"/>
      <c r="BV169" s="55"/>
      <c r="BW169" s="55"/>
      <c r="BX169" s="55"/>
      <c r="BY169" s="55"/>
      <c r="BZ169" s="55"/>
      <c r="CA169" s="55"/>
      <c r="CB169" s="55"/>
      <c r="CC169" s="55"/>
      <c r="CD169" s="55"/>
      <c r="CE169" s="55"/>
    </row>
    <row r="170" spans="1:83" x14ac:dyDescent="0.25">
      <c r="A170" s="55"/>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c r="AA170" s="55"/>
      <c r="AB170" s="55"/>
      <c r="AC170" s="55"/>
      <c r="AD170" s="55"/>
      <c r="AE170" s="55"/>
      <c r="AF170" s="55"/>
      <c r="AG170" s="55"/>
      <c r="AH170" s="55"/>
      <c r="AI170" s="55"/>
      <c r="AJ170" s="55"/>
      <c r="AK170" s="55"/>
      <c r="AL170" s="55"/>
      <c r="AM170" s="55"/>
      <c r="AN170" s="55"/>
      <c r="AO170" s="55"/>
      <c r="AP170" s="55"/>
      <c r="AQ170" s="55"/>
      <c r="AR170" s="55"/>
      <c r="AS170" s="55"/>
      <c r="AT170" s="55"/>
      <c r="AU170" s="55"/>
      <c r="AV170" s="55"/>
      <c r="AW170" s="55"/>
      <c r="AX170" s="55"/>
      <c r="AY170" s="55"/>
      <c r="AZ170" s="55"/>
      <c r="BA170" s="55"/>
      <c r="BB170" s="55"/>
      <c r="BC170" s="55"/>
      <c r="BD170" s="55"/>
      <c r="BE170" s="55"/>
      <c r="BF170" s="55"/>
      <c r="BG170" s="55"/>
      <c r="BH170" s="55"/>
      <c r="BI170" s="55"/>
      <c r="BJ170" s="55"/>
      <c r="BK170" s="55"/>
      <c r="BL170" s="55"/>
      <c r="BM170" s="55"/>
      <c r="BN170" s="55"/>
      <c r="BO170" s="55"/>
      <c r="BP170" s="55"/>
      <c r="BQ170" s="55"/>
      <c r="BR170" s="55"/>
      <c r="BS170" s="55"/>
      <c r="BT170" s="55"/>
      <c r="BU170" s="55"/>
      <c r="BV170" s="55"/>
      <c r="BW170" s="55"/>
      <c r="BX170" s="55"/>
      <c r="BY170" s="55"/>
      <c r="BZ170" s="55"/>
      <c r="CA170" s="55"/>
      <c r="CB170" s="55"/>
      <c r="CC170" s="55"/>
      <c r="CD170" s="55"/>
      <c r="CE170" s="55"/>
    </row>
    <row r="171" spans="1:83" x14ac:dyDescent="0.25">
      <c r="A171" s="55"/>
      <c r="B171" s="55"/>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c r="AA171" s="55"/>
      <c r="AB171" s="55"/>
      <c r="AC171" s="55"/>
      <c r="AD171" s="55"/>
      <c r="AE171" s="55"/>
      <c r="AF171" s="55"/>
      <c r="AG171" s="55"/>
      <c r="AH171" s="55"/>
      <c r="AI171" s="55"/>
      <c r="AJ171" s="55"/>
      <c r="AK171" s="55"/>
      <c r="AL171" s="55"/>
      <c r="AM171" s="55"/>
      <c r="AN171" s="55"/>
      <c r="AO171" s="55"/>
      <c r="AP171" s="55"/>
      <c r="AQ171" s="55"/>
      <c r="AR171" s="55"/>
      <c r="AS171" s="55"/>
      <c r="AT171" s="55"/>
      <c r="AU171" s="55"/>
      <c r="AV171" s="55"/>
      <c r="AW171" s="55"/>
      <c r="AX171" s="55"/>
      <c r="AY171" s="55"/>
      <c r="AZ171" s="55"/>
      <c r="BA171" s="55"/>
      <c r="BB171" s="55"/>
      <c r="BC171" s="55"/>
      <c r="BD171" s="55"/>
      <c r="BE171" s="55"/>
      <c r="BF171" s="55"/>
      <c r="BG171" s="55"/>
      <c r="BH171" s="55"/>
      <c r="BI171" s="55"/>
      <c r="BJ171" s="55"/>
      <c r="BK171" s="55"/>
      <c r="BL171" s="55"/>
      <c r="BM171" s="55"/>
      <c r="BN171" s="55"/>
      <c r="BO171" s="55"/>
      <c r="BP171" s="55"/>
      <c r="BQ171" s="55"/>
      <c r="BR171" s="55"/>
      <c r="BS171" s="55"/>
      <c r="BT171" s="55"/>
      <c r="BU171" s="55"/>
      <c r="BV171" s="55"/>
      <c r="BW171" s="55"/>
      <c r="BX171" s="55"/>
      <c r="BY171" s="55"/>
      <c r="BZ171" s="55"/>
      <c r="CA171" s="55"/>
      <c r="CB171" s="55"/>
      <c r="CC171" s="55"/>
      <c r="CD171" s="55"/>
      <c r="CE171" s="55"/>
    </row>
    <row r="172" spans="1:83" x14ac:dyDescent="0.25">
      <c r="A172" s="55"/>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c r="AA172" s="55"/>
      <c r="AB172" s="55"/>
      <c r="AC172" s="55"/>
      <c r="AD172" s="55"/>
      <c r="AE172" s="55"/>
      <c r="AF172" s="55"/>
      <c r="AG172" s="55"/>
      <c r="AH172" s="55"/>
      <c r="AI172" s="55"/>
      <c r="AJ172" s="55"/>
      <c r="AK172" s="55"/>
      <c r="AL172" s="55"/>
      <c r="AM172" s="55"/>
      <c r="AN172" s="55"/>
      <c r="AO172" s="55"/>
      <c r="AP172" s="55"/>
      <c r="AQ172" s="55"/>
      <c r="AR172" s="55"/>
      <c r="AS172" s="55"/>
      <c r="AT172" s="55"/>
      <c r="AU172" s="55"/>
      <c r="AV172" s="55"/>
      <c r="AW172" s="55"/>
      <c r="AX172" s="55"/>
      <c r="AY172" s="55"/>
      <c r="AZ172" s="55"/>
      <c r="BA172" s="55"/>
      <c r="BB172" s="55"/>
      <c r="BC172" s="55"/>
      <c r="BD172" s="55"/>
      <c r="BE172" s="55"/>
      <c r="BF172" s="55"/>
      <c r="BG172" s="55"/>
      <c r="BH172" s="55"/>
      <c r="BI172" s="55"/>
      <c r="BJ172" s="55"/>
      <c r="BK172" s="55"/>
      <c r="BL172" s="55"/>
      <c r="BM172" s="55"/>
      <c r="BN172" s="55"/>
      <c r="BO172" s="55"/>
      <c r="BP172" s="55"/>
      <c r="BQ172" s="55"/>
      <c r="BR172" s="55"/>
      <c r="BS172" s="55"/>
      <c r="BT172" s="55"/>
      <c r="BU172" s="55"/>
      <c r="BV172" s="55"/>
      <c r="BW172" s="55"/>
      <c r="BX172" s="55"/>
      <c r="BY172" s="55"/>
      <c r="BZ172" s="55"/>
      <c r="CA172" s="55"/>
      <c r="CB172" s="55"/>
      <c r="CC172" s="55"/>
      <c r="CD172" s="55"/>
      <c r="CE172" s="55"/>
    </row>
    <row r="173" spans="1:83" x14ac:dyDescent="0.25">
      <c r="A173" s="55"/>
      <c r="B173" s="55"/>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c r="AA173" s="55"/>
      <c r="AB173" s="55"/>
      <c r="AC173" s="55"/>
      <c r="AD173" s="55"/>
      <c r="AE173" s="55"/>
      <c r="AF173" s="55"/>
      <c r="AG173" s="55"/>
      <c r="AH173" s="55"/>
      <c r="AI173" s="55"/>
      <c r="AJ173" s="55"/>
      <c r="AK173" s="55"/>
      <c r="AL173" s="55"/>
      <c r="AM173" s="55"/>
      <c r="AN173" s="55"/>
      <c r="AO173" s="55"/>
      <c r="AP173" s="55"/>
      <c r="AQ173" s="55"/>
      <c r="AR173" s="55"/>
      <c r="AS173" s="55"/>
      <c r="AT173" s="55"/>
      <c r="AU173" s="55"/>
      <c r="AV173" s="55"/>
      <c r="AW173" s="55"/>
      <c r="AX173" s="55"/>
      <c r="AY173" s="55"/>
      <c r="AZ173" s="55"/>
      <c r="BA173" s="55"/>
      <c r="BB173" s="55"/>
      <c r="BC173" s="55"/>
      <c r="BD173" s="55"/>
      <c r="BE173" s="55"/>
      <c r="BF173" s="55"/>
      <c r="BG173" s="55"/>
      <c r="BH173" s="55"/>
      <c r="BI173" s="55"/>
      <c r="BJ173" s="55"/>
      <c r="BK173" s="55"/>
      <c r="BL173" s="55"/>
      <c r="BM173" s="55"/>
      <c r="BN173" s="55"/>
      <c r="BO173" s="55"/>
      <c r="BP173" s="55"/>
      <c r="BQ173" s="55"/>
      <c r="BR173" s="55"/>
      <c r="BS173" s="55"/>
      <c r="BT173" s="55"/>
      <c r="BU173" s="55"/>
      <c r="BV173" s="55"/>
      <c r="BW173" s="55"/>
      <c r="BX173" s="55"/>
      <c r="BY173" s="55"/>
      <c r="BZ173" s="55"/>
      <c r="CA173" s="55"/>
      <c r="CB173" s="55"/>
      <c r="CC173" s="55"/>
      <c r="CD173" s="55"/>
      <c r="CE173" s="55"/>
    </row>
    <row r="174" spans="1:83" x14ac:dyDescent="0.25">
      <c r="A174" s="55"/>
      <c r="B174" s="55"/>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c r="AA174" s="55"/>
      <c r="AB174" s="55"/>
      <c r="AC174" s="55"/>
      <c r="AD174" s="55"/>
      <c r="AE174" s="55"/>
      <c r="AF174" s="55"/>
      <c r="AG174" s="55"/>
      <c r="AH174" s="55"/>
      <c r="AI174" s="55"/>
      <c r="AJ174" s="55"/>
      <c r="AK174" s="55"/>
      <c r="AL174" s="55"/>
      <c r="AM174" s="55"/>
      <c r="AN174" s="55"/>
      <c r="AO174" s="55"/>
      <c r="AP174" s="55"/>
      <c r="AQ174" s="55"/>
      <c r="AR174" s="55"/>
      <c r="AS174" s="55"/>
      <c r="AT174" s="55"/>
      <c r="AU174" s="55"/>
      <c r="AV174" s="55"/>
      <c r="AW174" s="55"/>
      <c r="AX174" s="55"/>
      <c r="AY174" s="55"/>
      <c r="AZ174" s="55"/>
      <c r="BA174" s="55"/>
      <c r="BB174" s="55"/>
      <c r="BC174" s="55"/>
      <c r="BD174" s="55"/>
      <c r="BE174" s="55"/>
      <c r="BF174" s="55"/>
      <c r="BG174" s="55"/>
      <c r="BH174" s="55"/>
      <c r="BI174" s="55"/>
      <c r="BJ174" s="55"/>
      <c r="BK174" s="55"/>
      <c r="BL174" s="55"/>
      <c r="BM174" s="55"/>
      <c r="BN174" s="55"/>
      <c r="BO174" s="55"/>
      <c r="BP174" s="55"/>
      <c r="BQ174" s="55"/>
      <c r="BR174" s="55"/>
      <c r="BS174" s="55"/>
      <c r="BT174" s="55"/>
      <c r="BU174" s="55"/>
      <c r="BV174" s="55"/>
      <c r="BW174" s="55"/>
      <c r="BX174" s="55"/>
      <c r="BY174" s="55"/>
      <c r="BZ174" s="55"/>
      <c r="CA174" s="55"/>
      <c r="CB174" s="55"/>
      <c r="CC174" s="55"/>
      <c r="CD174" s="55"/>
      <c r="CE174" s="55"/>
    </row>
    <row r="175" spans="1:83" x14ac:dyDescent="0.25">
      <c r="A175" s="55"/>
      <c r="B175" s="55"/>
      <c r="C175" s="55"/>
      <c r="D175" s="55"/>
      <c r="E175" s="55"/>
      <c r="F175" s="55"/>
      <c r="G175" s="55"/>
      <c r="H175" s="55"/>
      <c r="I175" s="55"/>
      <c r="J175" s="55"/>
      <c r="K175" s="55"/>
      <c r="L175" s="55"/>
      <c r="M175" s="55"/>
      <c r="N175" s="55"/>
      <c r="O175" s="55"/>
      <c r="P175" s="55"/>
      <c r="Q175" s="55"/>
      <c r="R175" s="55"/>
      <c r="S175" s="55"/>
      <c r="T175" s="55"/>
      <c r="U175" s="55"/>
      <c r="V175" s="55"/>
      <c r="W175" s="55"/>
      <c r="X175" s="55"/>
      <c r="Y175" s="55"/>
      <c r="Z175" s="55"/>
      <c r="AA175" s="55"/>
      <c r="AB175" s="55"/>
      <c r="AC175" s="55"/>
      <c r="AD175" s="55"/>
      <c r="AE175" s="55"/>
      <c r="AF175" s="55"/>
      <c r="AG175" s="55"/>
      <c r="AH175" s="55"/>
      <c r="AI175" s="55"/>
      <c r="AJ175" s="55"/>
      <c r="AK175" s="55"/>
      <c r="AL175" s="55"/>
      <c r="AM175" s="55"/>
      <c r="AN175" s="55"/>
      <c r="AO175" s="55"/>
      <c r="AP175" s="55"/>
      <c r="AQ175" s="55"/>
      <c r="AR175" s="55"/>
      <c r="AS175" s="55"/>
      <c r="AT175" s="55"/>
      <c r="AU175" s="55"/>
      <c r="AV175" s="55"/>
      <c r="AW175" s="55"/>
      <c r="AX175" s="55"/>
      <c r="AY175" s="55"/>
      <c r="AZ175" s="55"/>
      <c r="BA175" s="55"/>
      <c r="BB175" s="55"/>
      <c r="BC175" s="55"/>
      <c r="BD175" s="55"/>
      <c r="BE175" s="55"/>
      <c r="BF175" s="55"/>
      <c r="BG175" s="55"/>
      <c r="BH175" s="55"/>
      <c r="BI175" s="55"/>
      <c r="BJ175" s="55"/>
      <c r="BK175" s="55"/>
      <c r="BL175" s="55"/>
      <c r="BM175" s="55"/>
      <c r="BN175" s="55"/>
      <c r="BO175" s="55"/>
      <c r="BP175" s="55"/>
      <c r="BQ175" s="55"/>
      <c r="BR175" s="55"/>
      <c r="BS175" s="55"/>
      <c r="BT175" s="55"/>
      <c r="BU175" s="55"/>
      <c r="BV175" s="55"/>
      <c r="BW175" s="55"/>
      <c r="BX175" s="55"/>
      <c r="BY175" s="55"/>
      <c r="BZ175" s="55"/>
      <c r="CA175" s="55"/>
      <c r="CB175" s="55"/>
      <c r="CC175" s="55"/>
      <c r="CD175" s="55"/>
      <c r="CE175" s="55"/>
    </row>
    <row r="176" spans="1:83" x14ac:dyDescent="0.25">
      <c r="A176" s="55"/>
      <c r="B176" s="55"/>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c r="AA176" s="55"/>
      <c r="AB176" s="55"/>
      <c r="AC176" s="55"/>
      <c r="AD176" s="55"/>
      <c r="AE176" s="55"/>
      <c r="AF176" s="55"/>
      <c r="AG176" s="55"/>
      <c r="AH176" s="55"/>
      <c r="AI176" s="55"/>
      <c r="AJ176" s="55"/>
      <c r="AK176" s="55"/>
      <c r="AL176" s="55"/>
      <c r="AM176" s="55"/>
      <c r="AN176" s="55"/>
      <c r="AO176" s="55"/>
      <c r="AP176" s="55"/>
      <c r="AQ176" s="55"/>
      <c r="AR176" s="55"/>
      <c r="AS176" s="55"/>
      <c r="AT176" s="55"/>
      <c r="AU176" s="55"/>
      <c r="AV176" s="55"/>
      <c r="AW176" s="55"/>
      <c r="AX176" s="55"/>
      <c r="AY176" s="55"/>
      <c r="AZ176" s="55"/>
      <c r="BA176" s="55"/>
      <c r="BB176" s="55"/>
      <c r="BC176" s="55"/>
      <c r="BD176" s="55"/>
      <c r="BE176" s="55"/>
      <c r="BF176" s="55"/>
      <c r="BG176" s="55"/>
      <c r="BH176" s="55"/>
      <c r="BI176" s="55"/>
      <c r="BJ176" s="55"/>
      <c r="BK176" s="55"/>
      <c r="BL176" s="55"/>
      <c r="BM176" s="55"/>
      <c r="BN176" s="55"/>
      <c r="BO176" s="55"/>
      <c r="BP176" s="55"/>
      <c r="BQ176" s="55"/>
      <c r="BR176" s="55"/>
      <c r="BS176" s="55"/>
      <c r="BT176" s="55"/>
      <c r="BU176" s="55"/>
      <c r="BV176" s="55"/>
      <c r="BW176" s="55"/>
      <c r="BX176" s="55"/>
      <c r="BY176" s="55"/>
      <c r="BZ176" s="55"/>
      <c r="CA176" s="55"/>
      <c r="CB176" s="55"/>
      <c r="CC176" s="55"/>
      <c r="CD176" s="55"/>
      <c r="CE176" s="55"/>
    </row>
    <row r="177" spans="1:83" x14ac:dyDescent="0.25">
      <c r="A177" s="55"/>
      <c r="B177" s="55"/>
      <c r="C177" s="55"/>
      <c r="D177" s="55"/>
      <c r="E177" s="55"/>
      <c r="F177" s="55"/>
      <c r="G177" s="55"/>
      <c r="H177" s="55"/>
      <c r="I177" s="55"/>
      <c r="J177" s="55"/>
      <c r="K177" s="55"/>
      <c r="L177" s="55"/>
      <c r="M177" s="55"/>
      <c r="N177" s="55"/>
      <c r="O177" s="55"/>
      <c r="P177" s="55"/>
      <c r="Q177" s="55"/>
      <c r="R177" s="55"/>
      <c r="S177" s="55"/>
      <c r="T177" s="55"/>
      <c r="U177" s="55"/>
      <c r="V177" s="55"/>
      <c r="W177" s="55"/>
      <c r="X177" s="55"/>
      <c r="Y177" s="55"/>
      <c r="Z177" s="55"/>
      <c r="AA177" s="55"/>
      <c r="AB177" s="55"/>
      <c r="AC177" s="55"/>
      <c r="AD177" s="55"/>
      <c r="AE177" s="55"/>
      <c r="AF177" s="55"/>
      <c r="AG177" s="55"/>
      <c r="AH177" s="55"/>
      <c r="AI177" s="55"/>
      <c r="AJ177" s="55"/>
      <c r="AK177" s="55"/>
      <c r="AL177" s="55"/>
      <c r="AM177" s="55"/>
      <c r="AN177" s="55"/>
      <c r="AO177" s="55"/>
      <c r="AP177" s="55"/>
      <c r="AQ177" s="55"/>
      <c r="AR177" s="55"/>
      <c r="AS177" s="55"/>
      <c r="AT177" s="55"/>
      <c r="AU177" s="55"/>
      <c r="AV177" s="55"/>
      <c r="AW177" s="55"/>
      <c r="AX177" s="55"/>
      <c r="AY177" s="55"/>
      <c r="AZ177" s="55"/>
      <c r="BA177" s="55"/>
      <c r="BB177" s="55"/>
      <c r="BC177" s="55"/>
      <c r="BD177" s="55"/>
      <c r="BE177" s="55"/>
      <c r="BF177" s="55"/>
      <c r="BG177" s="55"/>
      <c r="BH177" s="55"/>
      <c r="BI177" s="55"/>
      <c r="BJ177" s="55"/>
      <c r="BK177" s="55"/>
      <c r="BL177" s="55"/>
      <c r="BM177" s="55"/>
      <c r="BN177" s="55"/>
      <c r="BO177" s="55"/>
      <c r="BP177" s="55"/>
      <c r="BQ177" s="55"/>
      <c r="BR177" s="55"/>
      <c r="BS177" s="55"/>
      <c r="BT177" s="55"/>
      <c r="BU177" s="55"/>
      <c r="BV177" s="55"/>
      <c r="BW177" s="55"/>
      <c r="BX177" s="55"/>
      <c r="BY177" s="55"/>
      <c r="BZ177" s="55"/>
      <c r="CA177" s="55"/>
      <c r="CB177" s="55"/>
      <c r="CC177" s="55"/>
      <c r="CD177" s="55"/>
      <c r="CE177" s="55"/>
    </row>
    <row r="178" spans="1:83" x14ac:dyDescent="0.25">
      <c r="A178" s="55"/>
      <c r="B178" s="55"/>
      <c r="C178" s="55"/>
      <c r="D178" s="55"/>
      <c r="E178" s="55"/>
      <c r="F178" s="55"/>
      <c r="G178" s="55"/>
      <c r="H178" s="55"/>
      <c r="I178" s="55"/>
      <c r="J178" s="55"/>
      <c r="K178" s="55"/>
      <c r="L178" s="55"/>
      <c r="M178" s="55"/>
      <c r="N178" s="55"/>
      <c r="O178" s="55"/>
      <c r="P178" s="55"/>
      <c r="Q178" s="55"/>
      <c r="R178" s="55"/>
      <c r="S178" s="55"/>
      <c r="T178" s="55"/>
      <c r="U178" s="55"/>
      <c r="V178" s="55"/>
      <c r="W178" s="55"/>
      <c r="X178" s="55"/>
      <c r="Y178" s="55"/>
      <c r="Z178" s="55"/>
      <c r="AA178" s="55"/>
      <c r="AB178" s="55"/>
      <c r="AC178" s="55"/>
      <c r="AD178" s="55"/>
      <c r="AE178" s="55"/>
      <c r="AF178" s="55"/>
      <c r="AG178" s="55"/>
      <c r="AH178" s="55"/>
      <c r="AI178" s="55"/>
      <c r="AJ178" s="55"/>
      <c r="AK178" s="55"/>
      <c r="AL178" s="55"/>
      <c r="AM178" s="55"/>
      <c r="AN178" s="55"/>
      <c r="AO178" s="55"/>
      <c r="AP178" s="55"/>
      <c r="AQ178" s="55"/>
      <c r="AR178" s="55"/>
      <c r="AS178" s="55"/>
      <c r="AT178" s="55"/>
      <c r="AU178" s="55"/>
      <c r="AV178" s="55"/>
      <c r="AW178" s="55"/>
      <c r="AX178" s="55"/>
      <c r="AY178" s="55"/>
      <c r="AZ178" s="55"/>
      <c r="BA178" s="55"/>
      <c r="BB178" s="55"/>
      <c r="BC178" s="55"/>
      <c r="BD178" s="55"/>
      <c r="BE178" s="55"/>
      <c r="BF178" s="55"/>
      <c r="BG178" s="55"/>
      <c r="BH178" s="55"/>
      <c r="BI178" s="55"/>
      <c r="BJ178" s="55"/>
      <c r="BK178" s="55"/>
      <c r="BL178" s="55"/>
      <c r="BM178" s="55"/>
      <c r="BN178" s="55"/>
      <c r="BO178" s="55"/>
      <c r="BP178" s="55"/>
      <c r="BQ178" s="55"/>
      <c r="BR178" s="55"/>
      <c r="BS178" s="55"/>
      <c r="BT178" s="55"/>
      <c r="BU178" s="55"/>
      <c r="BV178" s="55"/>
      <c r="BW178" s="55"/>
      <c r="BX178" s="55"/>
      <c r="BY178" s="55"/>
      <c r="BZ178" s="55"/>
      <c r="CA178" s="55"/>
      <c r="CB178" s="55"/>
      <c r="CC178" s="55"/>
      <c r="CD178" s="55"/>
      <c r="CE178" s="55"/>
    </row>
    <row r="179" spans="1:83" x14ac:dyDescent="0.25">
      <c r="A179" s="55"/>
      <c r="B179" s="55"/>
      <c r="C179" s="55"/>
      <c r="D179" s="55"/>
      <c r="E179" s="55"/>
      <c r="F179" s="55"/>
      <c r="G179" s="55"/>
      <c r="H179" s="55"/>
      <c r="I179" s="55"/>
      <c r="J179" s="55"/>
      <c r="K179" s="55"/>
      <c r="L179" s="55"/>
      <c r="M179" s="55"/>
      <c r="N179" s="55"/>
      <c r="O179" s="55"/>
      <c r="P179" s="55"/>
      <c r="Q179" s="55"/>
      <c r="R179" s="55"/>
      <c r="S179" s="55"/>
      <c r="T179" s="55"/>
      <c r="U179" s="55"/>
      <c r="V179" s="55"/>
      <c r="W179" s="55"/>
      <c r="X179" s="55"/>
      <c r="Y179" s="55"/>
      <c r="Z179" s="55"/>
      <c r="AA179" s="55"/>
      <c r="AB179" s="55"/>
      <c r="AC179" s="55"/>
      <c r="AD179" s="55"/>
      <c r="AE179" s="55"/>
      <c r="AF179" s="55"/>
      <c r="AG179" s="55"/>
      <c r="AH179" s="55"/>
      <c r="AI179" s="55"/>
      <c r="AJ179" s="55"/>
      <c r="AK179" s="55"/>
      <c r="AL179" s="55"/>
      <c r="AM179" s="55"/>
      <c r="AN179" s="55"/>
      <c r="AO179" s="55"/>
      <c r="AP179" s="55"/>
      <c r="AQ179" s="55"/>
      <c r="AR179" s="55"/>
      <c r="AS179" s="55"/>
      <c r="AT179" s="55"/>
      <c r="AU179" s="55"/>
      <c r="AV179" s="55"/>
      <c r="AW179" s="55"/>
      <c r="AX179" s="55"/>
      <c r="AY179" s="55"/>
      <c r="AZ179" s="55"/>
      <c r="BA179" s="55"/>
      <c r="BB179" s="55"/>
      <c r="BC179" s="55"/>
      <c r="BD179" s="55"/>
      <c r="BE179" s="55"/>
      <c r="BF179" s="55"/>
      <c r="BG179" s="55"/>
      <c r="BH179" s="55"/>
      <c r="BI179" s="55"/>
      <c r="BJ179" s="55"/>
      <c r="BK179" s="55"/>
      <c r="BL179" s="55"/>
      <c r="BM179" s="55"/>
      <c r="BN179" s="55"/>
      <c r="BO179" s="55"/>
      <c r="BP179" s="55"/>
      <c r="BQ179" s="55"/>
      <c r="BR179" s="55"/>
      <c r="BS179" s="55"/>
      <c r="BT179" s="55"/>
      <c r="BU179" s="55"/>
      <c r="BV179" s="55"/>
      <c r="BW179" s="55"/>
      <c r="BX179" s="55"/>
      <c r="BY179" s="55"/>
      <c r="BZ179" s="55"/>
      <c r="CA179" s="55"/>
      <c r="CB179" s="55"/>
      <c r="CC179" s="55"/>
      <c r="CD179" s="55"/>
      <c r="CE179" s="55"/>
    </row>
    <row r="180" spans="1:83" x14ac:dyDescent="0.25">
      <c r="A180" s="55"/>
      <c r="B180" s="55"/>
      <c r="C180" s="55"/>
      <c r="D180" s="55"/>
      <c r="E180" s="55"/>
      <c r="F180" s="55"/>
      <c r="G180" s="55"/>
      <c r="H180" s="55"/>
      <c r="I180" s="55"/>
      <c r="J180" s="55"/>
      <c r="K180" s="55"/>
      <c r="L180" s="55"/>
      <c r="M180" s="55"/>
      <c r="N180" s="55"/>
      <c r="O180" s="55"/>
      <c r="P180" s="55"/>
      <c r="Q180" s="55"/>
      <c r="R180" s="55"/>
      <c r="S180" s="55"/>
      <c r="T180" s="55"/>
      <c r="U180" s="55"/>
      <c r="V180" s="55"/>
      <c r="W180" s="55"/>
      <c r="X180" s="55"/>
      <c r="Y180" s="55"/>
      <c r="Z180" s="55"/>
      <c r="AA180" s="55"/>
      <c r="AB180" s="55"/>
      <c r="AC180" s="55"/>
      <c r="AD180" s="55"/>
      <c r="AE180" s="55"/>
      <c r="AF180" s="55"/>
      <c r="AG180" s="55"/>
      <c r="AH180" s="55"/>
      <c r="AI180" s="55"/>
      <c r="AJ180" s="55"/>
      <c r="AK180" s="55"/>
      <c r="AL180" s="55"/>
      <c r="AM180" s="55"/>
      <c r="AN180" s="55"/>
      <c r="AO180" s="55"/>
      <c r="AP180" s="55"/>
      <c r="AQ180" s="55"/>
      <c r="AR180" s="55"/>
      <c r="AS180" s="55"/>
      <c r="AT180" s="55"/>
      <c r="AU180" s="55"/>
      <c r="AV180" s="55"/>
      <c r="AW180" s="55"/>
      <c r="AX180" s="55"/>
      <c r="AY180" s="55"/>
      <c r="AZ180" s="55"/>
      <c r="BA180" s="55"/>
      <c r="BB180" s="55"/>
      <c r="BC180" s="55"/>
      <c r="BD180" s="55"/>
      <c r="BE180" s="55"/>
      <c r="BF180" s="55"/>
      <c r="BG180" s="55"/>
      <c r="BH180" s="55"/>
      <c r="BI180" s="55"/>
      <c r="BJ180" s="55"/>
      <c r="BK180" s="55"/>
      <c r="BL180" s="55"/>
      <c r="BM180" s="55"/>
      <c r="BN180" s="55"/>
      <c r="BO180" s="55"/>
      <c r="BP180" s="55"/>
      <c r="BQ180" s="55"/>
      <c r="BR180" s="55"/>
      <c r="BS180" s="55"/>
      <c r="BT180" s="55"/>
      <c r="BU180" s="55"/>
      <c r="BV180" s="55"/>
      <c r="BW180" s="55"/>
      <c r="BX180" s="55"/>
      <c r="BY180" s="55"/>
      <c r="BZ180" s="55"/>
      <c r="CA180" s="55"/>
      <c r="CB180" s="55"/>
      <c r="CC180" s="55"/>
      <c r="CD180" s="55"/>
      <c r="CE180" s="55"/>
    </row>
    <row r="181" spans="1:83" x14ac:dyDescent="0.25">
      <c r="A181" s="55"/>
      <c r="B181" s="55"/>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c r="AA181" s="55"/>
      <c r="AB181" s="55"/>
      <c r="AC181" s="55"/>
      <c r="AD181" s="55"/>
      <c r="AE181" s="55"/>
      <c r="AF181" s="55"/>
      <c r="AG181" s="55"/>
      <c r="AH181" s="55"/>
      <c r="AI181" s="55"/>
      <c r="AJ181" s="55"/>
      <c r="AK181" s="55"/>
      <c r="AL181" s="55"/>
      <c r="AM181" s="55"/>
      <c r="AN181" s="55"/>
      <c r="AO181" s="55"/>
      <c r="AP181" s="55"/>
      <c r="AQ181" s="55"/>
      <c r="AR181" s="55"/>
      <c r="AS181" s="55"/>
      <c r="AT181" s="55"/>
      <c r="AU181" s="55"/>
      <c r="AV181" s="55"/>
      <c r="AW181" s="55"/>
      <c r="AX181" s="55"/>
      <c r="AY181" s="55"/>
      <c r="AZ181" s="55"/>
      <c r="BA181" s="55"/>
      <c r="BB181" s="55"/>
      <c r="BC181" s="55"/>
      <c r="BD181" s="55"/>
      <c r="BE181" s="55"/>
      <c r="BF181" s="55"/>
      <c r="BG181" s="55"/>
      <c r="BH181" s="55"/>
      <c r="BI181" s="55"/>
      <c r="BJ181" s="55"/>
      <c r="BK181" s="55"/>
      <c r="BL181" s="55"/>
      <c r="BM181" s="55"/>
      <c r="BN181" s="55"/>
      <c r="BO181" s="55"/>
      <c r="BP181" s="55"/>
      <c r="BQ181" s="55"/>
      <c r="BR181" s="55"/>
      <c r="BS181" s="55"/>
      <c r="BT181" s="55"/>
      <c r="BU181" s="55"/>
      <c r="BV181" s="55"/>
      <c r="BW181" s="55"/>
      <c r="BX181" s="55"/>
      <c r="BY181" s="55"/>
      <c r="BZ181" s="55"/>
      <c r="CA181" s="55"/>
      <c r="CB181" s="55"/>
      <c r="CC181" s="55"/>
      <c r="CD181" s="55"/>
      <c r="CE181" s="55"/>
    </row>
    <row r="182" spans="1:83" x14ac:dyDescent="0.25">
      <c r="B182" s="55"/>
      <c r="C182" s="55"/>
      <c r="D182" s="55"/>
      <c r="E182" s="55"/>
      <c r="F182" s="55"/>
      <c r="G182" s="55"/>
      <c r="H182" s="55"/>
      <c r="I182" s="55"/>
      <c r="J182" s="55"/>
      <c r="K182" s="55"/>
      <c r="L182" s="55"/>
      <c r="M182" s="55"/>
      <c r="N182" s="55"/>
      <c r="O182" s="55"/>
      <c r="P182" s="55"/>
      <c r="Q182" s="55"/>
      <c r="R182" s="55"/>
      <c r="S182" s="55"/>
      <c r="T182" s="55"/>
      <c r="U182" s="55"/>
      <c r="V182" s="55"/>
      <c r="W182" s="55"/>
      <c r="X182" s="55"/>
      <c r="Y182" s="55"/>
      <c r="Z182" s="55"/>
      <c r="AA182" s="55"/>
      <c r="AB182" s="55"/>
      <c r="AC182" s="55"/>
      <c r="AD182" s="55"/>
      <c r="AE182" s="55"/>
      <c r="AF182" s="55"/>
      <c r="AG182" s="55"/>
      <c r="AH182" s="55"/>
      <c r="AI182" s="55"/>
      <c r="AJ182" s="55"/>
      <c r="AK182" s="55"/>
      <c r="AL182" s="55"/>
      <c r="AM182" s="55"/>
      <c r="AN182" s="55"/>
      <c r="AO182" s="55"/>
      <c r="AP182" s="55"/>
      <c r="AQ182" s="55"/>
      <c r="AR182" s="55"/>
      <c r="AS182" s="55"/>
      <c r="AT182" s="55"/>
      <c r="AU182" s="55"/>
      <c r="AV182" s="55"/>
      <c r="AW182" s="55"/>
      <c r="AX182" s="55"/>
      <c r="AY182" s="55"/>
      <c r="AZ182" s="55"/>
      <c r="BA182" s="55"/>
      <c r="BB182" s="55"/>
      <c r="BC182" s="55"/>
      <c r="BD182" s="55"/>
      <c r="BE182" s="55"/>
      <c r="BF182" s="55"/>
      <c r="BG182" s="55"/>
      <c r="BH182" s="55"/>
      <c r="BI182" s="55"/>
      <c r="BJ182" s="55"/>
      <c r="BK182" s="55"/>
      <c r="BL182" s="55"/>
      <c r="BM182" s="55"/>
      <c r="BN182" s="55"/>
      <c r="BO182" s="55"/>
      <c r="BP182" s="55"/>
      <c r="BQ182" s="55"/>
      <c r="BR182" s="55"/>
      <c r="BS182" s="55"/>
      <c r="BT182" s="55"/>
      <c r="BU182" s="55"/>
      <c r="BV182" s="55"/>
      <c r="BW182" s="55"/>
      <c r="BX182" s="55"/>
      <c r="BY182" s="55"/>
      <c r="BZ182" s="55"/>
      <c r="CA182" s="55"/>
      <c r="CB182" s="55"/>
      <c r="CC182" s="55"/>
      <c r="CD182" s="55"/>
      <c r="CE182" s="55"/>
    </row>
    <row r="183" spans="1:83" x14ac:dyDescent="0.25">
      <c r="B183" s="55"/>
      <c r="C183" s="55"/>
      <c r="D183" s="55"/>
      <c r="E183" s="55"/>
      <c r="F183" s="55"/>
      <c r="G183" s="55"/>
      <c r="H183" s="55"/>
      <c r="I183" s="55"/>
      <c r="J183" s="55"/>
      <c r="K183" s="55"/>
      <c r="L183" s="55"/>
      <c r="M183" s="55"/>
      <c r="N183" s="55"/>
      <c r="O183" s="55"/>
      <c r="P183" s="55"/>
      <c r="Q183" s="55"/>
      <c r="R183" s="55"/>
      <c r="S183" s="55"/>
      <c r="T183" s="55"/>
      <c r="U183" s="55"/>
      <c r="V183" s="55"/>
      <c r="W183" s="55"/>
      <c r="X183" s="55"/>
      <c r="Y183" s="55"/>
      <c r="Z183" s="55"/>
      <c r="AA183" s="55"/>
      <c r="AB183" s="55"/>
      <c r="AC183" s="55"/>
      <c r="AD183" s="55"/>
      <c r="AE183" s="55"/>
      <c r="AF183" s="55"/>
      <c r="AG183" s="55"/>
      <c r="AH183" s="55"/>
      <c r="AI183" s="55"/>
      <c r="AJ183" s="55"/>
      <c r="AK183" s="55"/>
      <c r="AL183" s="55"/>
      <c r="AM183" s="55"/>
      <c r="AN183" s="55"/>
      <c r="AO183" s="55"/>
      <c r="AP183" s="55"/>
      <c r="AQ183" s="55"/>
      <c r="AR183" s="55"/>
      <c r="AS183" s="55"/>
      <c r="AT183" s="55"/>
      <c r="AU183" s="55"/>
      <c r="AV183" s="55"/>
      <c r="AW183" s="55"/>
      <c r="AX183" s="55"/>
      <c r="AY183" s="55"/>
      <c r="AZ183" s="55"/>
      <c r="BA183" s="55"/>
      <c r="BB183" s="55"/>
      <c r="BC183" s="55"/>
      <c r="BD183" s="55"/>
      <c r="BE183" s="55"/>
      <c r="BF183" s="55"/>
      <c r="BG183" s="55"/>
      <c r="BH183" s="55"/>
      <c r="BI183" s="55"/>
      <c r="BJ183" s="55"/>
      <c r="BK183" s="55"/>
      <c r="BL183" s="55"/>
      <c r="BM183" s="55"/>
      <c r="BN183" s="55"/>
      <c r="BO183" s="55"/>
      <c r="BP183" s="55"/>
      <c r="BQ183" s="55"/>
      <c r="BR183" s="55"/>
      <c r="BS183" s="55"/>
      <c r="BT183" s="55"/>
      <c r="BU183" s="55"/>
      <c r="BV183" s="55"/>
      <c r="BW183" s="55"/>
      <c r="BX183" s="55"/>
      <c r="BY183" s="55"/>
      <c r="BZ183" s="55"/>
      <c r="CA183" s="55"/>
      <c r="CB183" s="55"/>
      <c r="CC183" s="55"/>
      <c r="CD183" s="55"/>
      <c r="CE183" s="55"/>
    </row>
    <row r="184" spans="1:83" x14ac:dyDescent="0.25">
      <c r="B184" s="55"/>
      <c r="C184" s="55"/>
      <c r="D184" s="55"/>
      <c r="E184" s="55"/>
      <c r="F184" s="55"/>
      <c r="G184" s="55"/>
      <c r="H184" s="55"/>
      <c r="I184" s="55"/>
      <c r="J184" s="55"/>
      <c r="K184" s="55"/>
      <c r="L184" s="55"/>
      <c r="M184" s="55"/>
      <c r="N184" s="55"/>
      <c r="O184" s="55"/>
      <c r="P184" s="55"/>
      <c r="Q184" s="55"/>
      <c r="R184" s="55"/>
      <c r="S184" s="55"/>
      <c r="T184" s="55"/>
      <c r="U184" s="55"/>
      <c r="V184" s="55"/>
      <c r="W184" s="55"/>
      <c r="X184" s="55"/>
      <c r="Y184" s="55"/>
      <c r="Z184" s="55"/>
      <c r="AA184" s="55"/>
      <c r="AB184" s="55"/>
      <c r="AC184" s="55"/>
      <c r="AD184" s="55"/>
      <c r="AE184" s="55"/>
      <c r="AF184" s="55"/>
      <c r="AG184" s="55"/>
      <c r="AH184" s="55"/>
      <c r="AI184" s="55"/>
      <c r="AJ184" s="55"/>
      <c r="AK184" s="55"/>
      <c r="AL184" s="55"/>
      <c r="AM184" s="55"/>
      <c r="AN184" s="55"/>
      <c r="AO184" s="55"/>
      <c r="AP184" s="55"/>
      <c r="AQ184" s="55"/>
      <c r="AR184" s="55"/>
      <c r="AS184" s="55"/>
      <c r="AT184" s="55"/>
      <c r="AU184" s="55"/>
      <c r="AV184" s="55"/>
      <c r="AW184" s="55"/>
      <c r="AX184" s="55"/>
      <c r="AY184" s="55"/>
      <c r="AZ184" s="55"/>
      <c r="BA184" s="55"/>
      <c r="BB184" s="55"/>
      <c r="BC184" s="55"/>
      <c r="BD184" s="55"/>
      <c r="BE184" s="55"/>
      <c r="BF184" s="55"/>
      <c r="BG184" s="55"/>
      <c r="BH184" s="55"/>
      <c r="BI184" s="55"/>
      <c r="BJ184" s="55"/>
      <c r="BK184" s="55"/>
      <c r="BL184" s="55"/>
      <c r="BM184" s="55"/>
      <c r="BN184" s="55"/>
      <c r="BO184" s="55"/>
      <c r="BP184" s="55"/>
      <c r="BQ184" s="55"/>
      <c r="BR184" s="55"/>
      <c r="BS184" s="55"/>
      <c r="BT184" s="55"/>
      <c r="BU184" s="55"/>
      <c r="BV184" s="55"/>
      <c r="BW184" s="55"/>
      <c r="BX184" s="55"/>
      <c r="BY184" s="55"/>
      <c r="BZ184" s="55"/>
      <c r="CA184" s="55"/>
      <c r="CB184" s="55"/>
      <c r="CC184" s="55"/>
      <c r="CD184" s="55"/>
      <c r="CE184" s="55"/>
    </row>
    <row r="185" spans="1:83" x14ac:dyDescent="0.25">
      <c r="B185" s="55"/>
      <c r="C185" s="55"/>
      <c r="D185" s="55"/>
      <c r="E185" s="55"/>
      <c r="F185" s="55"/>
      <c r="G185" s="55"/>
      <c r="H185" s="55"/>
      <c r="I185" s="55"/>
      <c r="J185" s="55"/>
      <c r="K185" s="55"/>
      <c r="L185" s="55"/>
      <c r="M185" s="55"/>
      <c r="N185" s="55"/>
      <c r="O185" s="55"/>
      <c r="P185" s="55"/>
      <c r="Q185" s="55"/>
      <c r="R185" s="55"/>
      <c r="S185" s="55"/>
      <c r="T185" s="55"/>
      <c r="U185" s="55"/>
      <c r="V185" s="55"/>
      <c r="W185" s="55"/>
      <c r="X185" s="55"/>
      <c r="Y185" s="55"/>
      <c r="Z185" s="55"/>
      <c r="AA185" s="55"/>
      <c r="AB185" s="55"/>
      <c r="AC185" s="55"/>
      <c r="AD185" s="55"/>
      <c r="AE185" s="55"/>
      <c r="AF185" s="55"/>
      <c r="AG185" s="55"/>
      <c r="AH185" s="55"/>
      <c r="AI185" s="55"/>
      <c r="AJ185" s="55"/>
      <c r="AK185" s="55"/>
      <c r="AL185" s="55"/>
      <c r="AM185" s="55"/>
      <c r="AN185" s="55"/>
      <c r="AO185" s="55"/>
      <c r="AP185" s="55"/>
      <c r="AQ185" s="55"/>
      <c r="AR185" s="55"/>
      <c r="AS185" s="55"/>
      <c r="AT185" s="55"/>
      <c r="AU185" s="55"/>
      <c r="AV185" s="55"/>
      <c r="AW185" s="55"/>
      <c r="AX185" s="55"/>
      <c r="AY185" s="55"/>
      <c r="AZ185" s="55"/>
      <c r="BA185" s="55"/>
      <c r="BB185" s="55"/>
      <c r="BC185" s="55"/>
      <c r="BD185" s="55"/>
      <c r="BE185" s="55"/>
      <c r="BF185" s="55"/>
      <c r="BG185" s="55"/>
      <c r="BH185" s="55"/>
      <c r="BI185" s="55"/>
      <c r="BJ185" s="55"/>
      <c r="BK185" s="55"/>
      <c r="BL185" s="55"/>
      <c r="BM185" s="55"/>
      <c r="BN185" s="55"/>
      <c r="BO185" s="55"/>
      <c r="BP185" s="55"/>
      <c r="BQ185" s="55"/>
      <c r="BR185" s="55"/>
      <c r="BS185" s="55"/>
      <c r="BT185" s="55"/>
      <c r="BU185" s="55"/>
      <c r="BV185" s="55"/>
      <c r="BW185" s="55"/>
      <c r="BX185" s="55"/>
      <c r="BY185" s="55"/>
      <c r="BZ185" s="55"/>
      <c r="CA185" s="55"/>
      <c r="CB185" s="55"/>
      <c r="CC185" s="55"/>
      <c r="CD185" s="55"/>
      <c r="CE185" s="55"/>
    </row>
    <row r="186" spans="1:83" x14ac:dyDescent="0.25">
      <c r="B186" s="55"/>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c r="AA186" s="55"/>
      <c r="AB186" s="55"/>
      <c r="AC186" s="55"/>
      <c r="AD186" s="55"/>
      <c r="AE186" s="55"/>
      <c r="AF186" s="55"/>
      <c r="AG186" s="55"/>
      <c r="AH186" s="55"/>
      <c r="AI186" s="55"/>
      <c r="AJ186" s="55"/>
      <c r="AK186" s="55"/>
      <c r="AL186" s="55"/>
      <c r="AM186" s="55"/>
      <c r="AN186" s="55"/>
      <c r="AO186" s="55"/>
      <c r="AP186" s="55"/>
      <c r="AQ186" s="55"/>
      <c r="AR186" s="55"/>
      <c r="AS186" s="55"/>
      <c r="AT186" s="55"/>
      <c r="AU186" s="55"/>
      <c r="AV186" s="55"/>
      <c r="AW186" s="55"/>
      <c r="AX186" s="55"/>
      <c r="AY186" s="55"/>
      <c r="AZ186" s="55"/>
      <c r="BA186" s="55"/>
      <c r="BB186" s="55"/>
      <c r="BC186" s="55"/>
      <c r="BD186" s="55"/>
      <c r="BE186" s="55"/>
      <c r="BF186" s="55"/>
      <c r="BG186" s="55"/>
      <c r="BH186" s="55"/>
      <c r="BI186" s="55"/>
      <c r="BJ186" s="55"/>
      <c r="BK186" s="55"/>
      <c r="BL186" s="55"/>
      <c r="BM186" s="55"/>
      <c r="BN186" s="55"/>
      <c r="BO186" s="55"/>
      <c r="BP186" s="55"/>
      <c r="BQ186" s="55"/>
      <c r="BR186" s="55"/>
      <c r="BS186" s="55"/>
      <c r="BT186" s="55"/>
      <c r="BU186" s="55"/>
      <c r="BV186" s="55"/>
      <c r="BW186" s="55"/>
      <c r="BX186" s="55"/>
      <c r="BY186" s="55"/>
      <c r="BZ186" s="55"/>
      <c r="CA186" s="55"/>
      <c r="CB186" s="55"/>
      <c r="CC186" s="55"/>
      <c r="CD186" s="55"/>
      <c r="CE186" s="55"/>
    </row>
    <row r="187" spans="1:83" x14ac:dyDescent="0.25">
      <c r="B187" s="55"/>
      <c r="C187" s="55"/>
      <c r="D187" s="55"/>
      <c r="E187" s="55"/>
      <c r="F187" s="55"/>
      <c r="G187" s="55"/>
      <c r="H187" s="55"/>
      <c r="I187" s="55"/>
      <c r="J187" s="55"/>
      <c r="K187" s="55"/>
      <c r="L187" s="55"/>
      <c r="M187" s="55"/>
      <c r="N187" s="55"/>
      <c r="O187" s="55"/>
      <c r="P187" s="55"/>
      <c r="Q187" s="55"/>
      <c r="R187" s="55"/>
      <c r="S187" s="55"/>
      <c r="T187" s="55"/>
      <c r="U187" s="55"/>
      <c r="V187" s="55"/>
      <c r="W187" s="55"/>
      <c r="X187" s="55"/>
      <c r="Y187" s="55"/>
      <c r="Z187" s="55"/>
      <c r="AA187" s="55"/>
      <c r="AB187" s="55"/>
      <c r="AC187" s="55"/>
      <c r="AD187" s="55"/>
      <c r="AE187" s="55"/>
      <c r="AF187" s="55"/>
      <c r="AG187" s="55"/>
      <c r="AH187" s="55"/>
      <c r="AI187" s="55"/>
      <c r="AJ187" s="55"/>
      <c r="AK187" s="55"/>
      <c r="AL187" s="55"/>
      <c r="AM187" s="55"/>
      <c r="AN187" s="55"/>
      <c r="AO187" s="55"/>
      <c r="AP187" s="55"/>
      <c r="AQ187" s="55"/>
      <c r="AR187" s="55"/>
      <c r="AS187" s="55"/>
      <c r="AT187" s="55"/>
      <c r="AU187" s="55"/>
      <c r="AV187" s="55"/>
      <c r="AW187" s="55"/>
      <c r="AX187" s="55"/>
      <c r="AY187" s="55"/>
      <c r="AZ187" s="55"/>
      <c r="BA187" s="55"/>
      <c r="BB187" s="55"/>
      <c r="BC187" s="55"/>
      <c r="BD187" s="55"/>
      <c r="BE187" s="55"/>
      <c r="BF187" s="55"/>
      <c r="BG187" s="55"/>
      <c r="BH187" s="55"/>
      <c r="BI187" s="55"/>
      <c r="BJ187" s="55"/>
      <c r="BK187" s="55"/>
      <c r="BL187" s="55"/>
      <c r="BM187" s="55"/>
      <c r="BN187" s="55"/>
      <c r="BO187" s="55"/>
      <c r="BP187" s="55"/>
      <c r="BQ187" s="55"/>
      <c r="BR187" s="55"/>
      <c r="BS187" s="55"/>
      <c r="BT187" s="55"/>
      <c r="BU187" s="55"/>
      <c r="BV187" s="55"/>
      <c r="BW187" s="55"/>
      <c r="BX187" s="55"/>
      <c r="BY187" s="55"/>
      <c r="BZ187" s="55"/>
      <c r="CA187" s="55"/>
      <c r="CB187" s="55"/>
      <c r="CC187" s="55"/>
      <c r="CD187" s="55"/>
      <c r="CE187" s="55"/>
    </row>
    <row r="188" spans="1:83" x14ac:dyDescent="0.25">
      <c r="B188" s="55"/>
      <c r="C188" s="55"/>
      <c r="D188" s="55"/>
      <c r="E188" s="55"/>
      <c r="F188" s="55"/>
      <c r="G188" s="55"/>
      <c r="H188" s="55"/>
      <c r="I188" s="55"/>
      <c r="J188" s="55"/>
      <c r="K188" s="55"/>
      <c r="L188" s="55"/>
      <c r="M188" s="55"/>
      <c r="N188" s="55"/>
      <c r="O188" s="55"/>
      <c r="P188" s="55"/>
      <c r="Q188" s="55"/>
      <c r="R188" s="55"/>
      <c r="S188" s="55"/>
      <c r="T188" s="55"/>
      <c r="U188" s="55"/>
      <c r="V188" s="55"/>
      <c r="W188" s="55"/>
      <c r="X188" s="55"/>
      <c r="Y188" s="55"/>
      <c r="Z188" s="55"/>
      <c r="AA188" s="55"/>
      <c r="AB188" s="55"/>
      <c r="AC188" s="55"/>
      <c r="AD188" s="55"/>
      <c r="AE188" s="55"/>
      <c r="AF188" s="55"/>
      <c r="AG188" s="55"/>
      <c r="AH188" s="55"/>
      <c r="AI188" s="55"/>
      <c r="AJ188" s="55"/>
      <c r="AK188" s="55"/>
      <c r="AL188" s="55"/>
      <c r="AM188" s="55"/>
      <c r="AN188" s="55"/>
      <c r="AO188" s="55"/>
      <c r="AP188" s="55"/>
      <c r="AQ188" s="55"/>
      <c r="AR188" s="55"/>
      <c r="AS188" s="55"/>
      <c r="AT188" s="55"/>
      <c r="AU188" s="55"/>
      <c r="AV188" s="55"/>
      <c r="AW188" s="55"/>
      <c r="AX188" s="55"/>
      <c r="AY188" s="55"/>
      <c r="AZ188" s="55"/>
      <c r="BA188" s="55"/>
      <c r="BB188" s="55"/>
      <c r="BC188" s="55"/>
      <c r="BD188" s="55"/>
      <c r="BE188" s="55"/>
      <c r="BF188" s="55"/>
      <c r="BG188" s="55"/>
      <c r="BH188" s="55"/>
      <c r="BI188" s="55"/>
      <c r="BJ188" s="55"/>
      <c r="BK188" s="55"/>
      <c r="BL188" s="55"/>
      <c r="BM188" s="55"/>
      <c r="BN188" s="55"/>
      <c r="BO188" s="55"/>
      <c r="BP188" s="55"/>
      <c r="BQ188" s="55"/>
      <c r="BR188" s="55"/>
      <c r="BS188" s="55"/>
      <c r="BT188" s="55"/>
      <c r="BU188" s="55"/>
      <c r="BV188" s="55"/>
      <c r="BW188" s="55"/>
      <c r="BX188" s="55"/>
      <c r="BY188" s="55"/>
      <c r="BZ188" s="55"/>
      <c r="CA188" s="55"/>
      <c r="CB188" s="55"/>
      <c r="CC188" s="55"/>
      <c r="CD188" s="55"/>
      <c r="CE188" s="55"/>
    </row>
    <row r="189" spans="1:83" x14ac:dyDescent="0.25">
      <c r="B189" s="55"/>
      <c r="C189" s="55"/>
      <c r="D189" s="55"/>
      <c r="E189" s="55"/>
      <c r="F189" s="55"/>
      <c r="G189" s="55"/>
      <c r="H189" s="55"/>
      <c r="I189" s="55"/>
      <c r="J189" s="55"/>
      <c r="K189" s="55"/>
      <c r="L189" s="55"/>
      <c r="M189" s="55"/>
      <c r="N189" s="55"/>
      <c r="O189" s="55"/>
      <c r="P189" s="55"/>
      <c r="Q189" s="55"/>
      <c r="R189" s="55"/>
      <c r="S189" s="55"/>
      <c r="T189" s="55"/>
      <c r="U189" s="55"/>
      <c r="V189" s="55"/>
      <c r="W189" s="55"/>
      <c r="X189" s="55"/>
      <c r="Y189" s="55"/>
      <c r="Z189" s="55"/>
      <c r="AA189" s="55"/>
      <c r="AB189" s="55"/>
      <c r="AC189" s="55"/>
      <c r="AD189" s="55"/>
      <c r="AE189" s="55"/>
      <c r="AF189" s="55"/>
      <c r="AG189" s="55"/>
      <c r="AH189" s="55"/>
      <c r="AI189" s="55"/>
      <c r="AJ189" s="55"/>
      <c r="AK189" s="55"/>
      <c r="AL189" s="55"/>
      <c r="AM189" s="55"/>
      <c r="AN189" s="55"/>
      <c r="AO189" s="55"/>
      <c r="AP189" s="55"/>
      <c r="AQ189" s="55"/>
      <c r="AR189" s="55"/>
      <c r="AS189" s="55"/>
      <c r="AT189" s="55"/>
      <c r="AU189" s="55"/>
      <c r="AV189" s="55"/>
      <c r="AW189" s="55"/>
      <c r="AX189" s="55"/>
      <c r="AY189" s="55"/>
      <c r="AZ189" s="55"/>
      <c r="BA189" s="55"/>
      <c r="BB189" s="55"/>
      <c r="BC189" s="55"/>
      <c r="BD189" s="55"/>
      <c r="BE189" s="55"/>
      <c r="BF189" s="55"/>
      <c r="BG189" s="55"/>
      <c r="BH189" s="55"/>
      <c r="BI189" s="55"/>
      <c r="BJ189" s="55"/>
      <c r="BK189" s="55"/>
      <c r="BL189" s="55"/>
      <c r="BM189" s="55"/>
      <c r="BN189" s="55"/>
      <c r="BO189" s="55"/>
      <c r="BP189" s="55"/>
      <c r="BQ189" s="55"/>
      <c r="BR189" s="55"/>
      <c r="BS189" s="55"/>
      <c r="BT189" s="55"/>
      <c r="BU189" s="55"/>
      <c r="BV189" s="55"/>
      <c r="BW189" s="55"/>
      <c r="BX189" s="55"/>
      <c r="BY189" s="55"/>
      <c r="BZ189" s="55"/>
      <c r="CA189" s="55"/>
      <c r="CB189" s="55"/>
      <c r="CC189" s="55"/>
      <c r="CD189" s="55"/>
      <c r="CE189" s="55"/>
    </row>
    <row r="190" spans="1:83" x14ac:dyDescent="0.25">
      <c r="B190" s="55"/>
      <c r="C190" s="55"/>
      <c r="D190" s="55"/>
      <c r="E190" s="55"/>
      <c r="F190" s="55"/>
      <c r="G190" s="55"/>
      <c r="H190" s="55"/>
      <c r="I190" s="55"/>
      <c r="J190" s="55"/>
      <c r="K190" s="55"/>
      <c r="L190" s="55"/>
      <c r="M190" s="55"/>
      <c r="N190" s="55"/>
      <c r="O190" s="55"/>
      <c r="P190" s="55"/>
      <c r="Q190" s="55"/>
      <c r="R190" s="55"/>
      <c r="S190" s="55"/>
      <c r="T190" s="55"/>
      <c r="U190" s="55"/>
      <c r="V190" s="55"/>
      <c r="W190" s="55"/>
      <c r="X190" s="55"/>
      <c r="Y190" s="55"/>
      <c r="Z190" s="55"/>
      <c r="AA190" s="55"/>
      <c r="AB190" s="55"/>
      <c r="AC190" s="55"/>
      <c r="AD190" s="55"/>
      <c r="AE190" s="55"/>
      <c r="AF190" s="55"/>
      <c r="AG190" s="55"/>
      <c r="AH190" s="55"/>
      <c r="AI190" s="55"/>
      <c r="AJ190" s="55"/>
      <c r="AK190" s="55"/>
      <c r="AL190" s="55"/>
      <c r="AM190" s="55"/>
      <c r="AN190" s="55"/>
      <c r="AO190" s="55"/>
      <c r="AP190" s="55"/>
      <c r="AQ190" s="55"/>
      <c r="AR190" s="55"/>
      <c r="AS190" s="55"/>
      <c r="AT190" s="55"/>
      <c r="AU190" s="55"/>
      <c r="AV190" s="55"/>
      <c r="AW190" s="55"/>
      <c r="AX190" s="55"/>
      <c r="AY190" s="55"/>
      <c r="AZ190" s="55"/>
      <c r="BA190" s="55"/>
      <c r="BB190" s="55"/>
      <c r="BC190" s="55"/>
      <c r="BD190" s="55"/>
      <c r="BE190" s="55"/>
      <c r="BF190" s="55"/>
      <c r="BG190" s="55"/>
      <c r="BH190" s="55"/>
      <c r="BI190" s="55"/>
      <c r="BJ190" s="55"/>
      <c r="BK190" s="55"/>
      <c r="BL190" s="55"/>
      <c r="BM190" s="55"/>
      <c r="BN190" s="55"/>
      <c r="BO190" s="55"/>
      <c r="BP190" s="55"/>
      <c r="BQ190" s="55"/>
      <c r="BR190" s="55"/>
      <c r="BS190" s="55"/>
      <c r="BT190" s="55"/>
      <c r="BU190" s="55"/>
      <c r="BV190" s="55"/>
      <c r="BW190" s="55"/>
      <c r="BX190" s="55"/>
      <c r="BY190" s="55"/>
      <c r="BZ190" s="55"/>
      <c r="CA190" s="55"/>
      <c r="CB190" s="55"/>
      <c r="CC190" s="55"/>
      <c r="CD190" s="55"/>
      <c r="CE190" s="55"/>
    </row>
    <row r="191" spans="1:83" x14ac:dyDescent="0.25">
      <c r="B191" s="55"/>
      <c r="C191" s="55"/>
      <c r="D191" s="55"/>
      <c r="E191" s="55"/>
      <c r="F191" s="55"/>
      <c r="G191" s="55"/>
      <c r="H191" s="55"/>
      <c r="I191" s="55"/>
      <c r="J191" s="55"/>
      <c r="K191" s="55"/>
      <c r="L191" s="55"/>
      <c r="M191" s="55"/>
      <c r="N191" s="55"/>
      <c r="O191" s="55"/>
      <c r="P191" s="55"/>
      <c r="Q191" s="55"/>
      <c r="R191" s="55"/>
      <c r="S191" s="55"/>
      <c r="T191" s="55"/>
      <c r="U191" s="55"/>
      <c r="V191" s="55"/>
      <c r="W191" s="55"/>
      <c r="X191" s="55"/>
      <c r="Y191" s="55"/>
      <c r="Z191" s="55"/>
      <c r="AA191" s="55"/>
      <c r="AB191" s="55"/>
      <c r="AC191" s="55"/>
      <c r="AD191" s="55"/>
      <c r="AE191" s="55"/>
      <c r="AF191" s="55"/>
      <c r="AG191" s="55"/>
      <c r="AH191" s="55"/>
      <c r="AI191" s="55"/>
      <c r="AJ191" s="55"/>
      <c r="AK191" s="55"/>
      <c r="AL191" s="55"/>
      <c r="AM191" s="55"/>
      <c r="AN191" s="55"/>
      <c r="AO191" s="55"/>
      <c r="AP191" s="55"/>
      <c r="AQ191" s="55"/>
      <c r="AR191" s="55"/>
      <c r="AS191" s="55"/>
      <c r="AT191" s="55"/>
      <c r="AU191" s="55"/>
      <c r="AV191" s="55"/>
      <c r="AW191" s="55"/>
      <c r="AX191" s="55"/>
      <c r="AY191" s="55"/>
      <c r="AZ191" s="55"/>
      <c r="BA191" s="55"/>
      <c r="BB191" s="55"/>
      <c r="BC191" s="55"/>
      <c r="BD191" s="55"/>
      <c r="BE191" s="55"/>
      <c r="BF191" s="55"/>
      <c r="BG191" s="55"/>
      <c r="BH191" s="55"/>
      <c r="BI191" s="55"/>
      <c r="BJ191" s="55"/>
      <c r="BK191" s="55"/>
      <c r="BL191" s="55"/>
      <c r="BM191" s="55"/>
      <c r="BN191" s="55"/>
      <c r="BO191" s="55"/>
      <c r="BP191" s="55"/>
      <c r="BQ191" s="55"/>
      <c r="BR191" s="55"/>
      <c r="BS191" s="55"/>
      <c r="BT191" s="55"/>
      <c r="BU191" s="55"/>
      <c r="BV191" s="55"/>
      <c r="BW191" s="55"/>
      <c r="BX191" s="55"/>
      <c r="BY191" s="55"/>
      <c r="BZ191" s="55"/>
      <c r="CA191" s="55"/>
      <c r="CB191" s="55"/>
      <c r="CC191" s="55"/>
      <c r="CD191" s="55"/>
      <c r="CE191" s="55"/>
    </row>
    <row r="192" spans="1:83" x14ac:dyDescent="0.25">
      <c r="B192" s="55"/>
      <c r="C192" s="55"/>
      <c r="D192" s="55"/>
      <c r="E192" s="55"/>
      <c r="F192" s="55"/>
      <c r="G192" s="55"/>
      <c r="H192" s="55"/>
      <c r="I192" s="55"/>
      <c r="J192" s="55"/>
      <c r="K192" s="55"/>
      <c r="L192" s="55"/>
      <c r="M192" s="55"/>
      <c r="N192" s="55"/>
      <c r="O192" s="55"/>
      <c r="P192" s="55"/>
      <c r="Q192" s="55"/>
      <c r="R192" s="55"/>
      <c r="S192" s="55"/>
      <c r="T192" s="55"/>
      <c r="U192" s="55"/>
      <c r="V192" s="55"/>
      <c r="W192" s="55"/>
      <c r="X192" s="55"/>
      <c r="Y192" s="55"/>
      <c r="Z192" s="55"/>
      <c r="AA192" s="55"/>
      <c r="AB192" s="55"/>
      <c r="AC192" s="55"/>
      <c r="AD192" s="55"/>
      <c r="AE192" s="55"/>
      <c r="AF192" s="55"/>
      <c r="AG192" s="55"/>
      <c r="AH192" s="55"/>
      <c r="AI192" s="55"/>
      <c r="AJ192" s="55"/>
      <c r="AK192" s="55"/>
      <c r="AL192" s="55"/>
      <c r="AM192" s="55"/>
      <c r="AN192" s="55"/>
      <c r="AO192" s="55"/>
      <c r="AP192" s="55"/>
      <c r="AQ192" s="55"/>
      <c r="AR192" s="55"/>
      <c r="AS192" s="55"/>
      <c r="AT192" s="55"/>
      <c r="AU192" s="55"/>
      <c r="AV192" s="55"/>
      <c r="AW192" s="55"/>
      <c r="AX192" s="55"/>
      <c r="AY192" s="55"/>
      <c r="AZ192" s="55"/>
      <c r="BA192" s="55"/>
      <c r="BB192" s="55"/>
      <c r="BC192" s="55"/>
      <c r="BD192" s="55"/>
      <c r="BE192" s="55"/>
      <c r="BF192" s="55"/>
      <c r="BG192" s="55"/>
      <c r="BH192" s="55"/>
      <c r="BI192" s="55"/>
      <c r="BJ192" s="55"/>
      <c r="BK192" s="55"/>
      <c r="BL192" s="55"/>
      <c r="BM192" s="55"/>
      <c r="BN192" s="55"/>
      <c r="BO192" s="55"/>
      <c r="BP192" s="55"/>
      <c r="BQ192" s="55"/>
      <c r="BR192" s="55"/>
      <c r="BS192" s="55"/>
      <c r="BT192" s="55"/>
      <c r="BU192" s="55"/>
      <c r="BV192" s="55"/>
      <c r="BW192" s="55"/>
      <c r="BX192" s="55"/>
      <c r="BY192" s="55"/>
      <c r="BZ192" s="55"/>
      <c r="CA192" s="55"/>
      <c r="CB192" s="55"/>
      <c r="CC192" s="55"/>
      <c r="CD192" s="55"/>
      <c r="CE192" s="55"/>
    </row>
    <row r="193" spans="2:83" x14ac:dyDescent="0.25">
      <c r="B193" s="55"/>
      <c r="C193" s="55"/>
      <c r="D193" s="55"/>
      <c r="E193" s="55"/>
      <c r="F193" s="55"/>
      <c r="G193" s="55"/>
      <c r="H193" s="55"/>
      <c r="I193" s="55"/>
      <c r="J193" s="55"/>
      <c r="K193" s="55"/>
      <c r="L193" s="55"/>
      <c r="M193" s="55"/>
      <c r="N193" s="55"/>
      <c r="O193" s="55"/>
      <c r="P193" s="55"/>
      <c r="Q193" s="55"/>
      <c r="R193" s="55"/>
      <c r="S193" s="55"/>
      <c r="T193" s="55"/>
      <c r="U193" s="55"/>
      <c r="V193" s="55"/>
      <c r="W193" s="55"/>
      <c r="X193" s="55"/>
      <c r="Y193" s="55"/>
      <c r="Z193" s="55"/>
      <c r="AA193" s="55"/>
      <c r="AB193" s="55"/>
      <c r="AC193" s="55"/>
      <c r="AD193" s="55"/>
      <c r="AE193" s="55"/>
      <c r="AF193" s="55"/>
      <c r="AG193" s="55"/>
      <c r="AH193" s="55"/>
      <c r="AI193" s="55"/>
      <c r="AJ193" s="55"/>
      <c r="AK193" s="55"/>
      <c r="AL193" s="55"/>
      <c r="AM193" s="55"/>
      <c r="AN193" s="55"/>
      <c r="AO193" s="55"/>
      <c r="AP193" s="55"/>
      <c r="AQ193" s="55"/>
      <c r="AR193" s="55"/>
      <c r="AS193" s="55"/>
      <c r="AT193" s="55"/>
      <c r="AU193" s="55"/>
      <c r="AV193" s="55"/>
      <c r="AW193" s="55"/>
      <c r="AX193" s="55"/>
      <c r="AY193" s="55"/>
      <c r="AZ193" s="55"/>
      <c r="BA193" s="55"/>
      <c r="BB193" s="55"/>
      <c r="BC193" s="55"/>
      <c r="BD193" s="55"/>
      <c r="BE193" s="55"/>
      <c r="BF193" s="55"/>
      <c r="BG193" s="55"/>
      <c r="BH193" s="55"/>
      <c r="BI193" s="55"/>
      <c r="BJ193" s="55"/>
      <c r="BK193" s="55"/>
      <c r="BL193" s="55"/>
      <c r="BM193" s="55"/>
      <c r="BN193" s="55"/>
      <c r="BO193" s="55"/>
      <c r="BP193" s="55"/>
      <c r="BQ193" s="55"/>
      <c r="BR193" s="55"/>
      <c r="BS193" s="55"/>
      <c r="BT193" s="55"/>
      <c r="BU193" s="55"/>
      <c r="BV193" s="55"/>
      <c r="BW193" s="55"/>
      <c r="BX193" s="55"/>
      <c r="BY193" s="55"/>
      <c r="BZ193" s="55"/>
      <c r="CA193" s="55"/>
      <c r="CB193" s="55"/>
      <c r="CC193" s="55"/>
      <c r="CD193" s="55"/>
      <c r="CE193" s="55"/>
    </row>
    <row r="194" spans="2:83" x14ac:dyDescent="0.25">
      <c r="B194" s="55"/>
      <c r="C194" s="55"/>
      <c r="D194" s="55"/>
      <c r="E194" s="55"/>
      <c r="F194" s="55"/>
      <c r="G194" s="55"/>
      <c r="H194" s="55"/>
      <c r="I194" s="55"/>
      <c r="J194" s="55"/>
      <c r="K194" s="55"/>
      <c r="L194" s="55"/>
      <c r="M194" s="55"/>
      <c r="N194" s="55"/>
      <c r="O194" s="55"/>
      <c r="P194" s="55"/>
      <c r="Q194" s="55"/>
      <c r="R194" s="55"/>
      <c r="S194" s="55"/>
      <c r="T194" s="55"/>
      <c r="U194" s="55"/>
      <c r="V194" s="55"/>
      <c r="W194" s="55"/>
      <c r="X194" s="55"/>
      <c r="Y194" s="55"/>
      <c r="Z194" s="55"/>
      <c r="AA194" s="55"/>
      <c r="AB194" s="55"/>
      <c r="AC194" s="55"/>
      <c r="AD194" s="55"/>
      <c r="AE194" s="55"/>
      <c r="AF194" s="55"/>
      <c r="AG194" s="55"/>
      <c r="AH194" s="55"/>
      <c r="AI194" s="55"/>
      <c r="AJ194" s="55"/>
      <c r="AK194" s="55"/>
      <c r="AL194" s="55"/>
      <c r="AM194" s="55"/>
      <c r="AN194" s="55"/>
      <c r="AO194" s="55"/>
      <c r="AP194" s="55"/>
      <c r="AQ194" s="55"/>
      <c r="AR194" s="55"/>
      <c r="AS194" s="55"/>
      <c r="AT194" s="55"/>
      <c r="AU194" s="55"/>
      <c r="AV194" s="55"/>
      <c r="AW194" s="55"/>
      <c r="AX194" s="55"/>
      <c r="AY194" s="55"/>
      <c r="AZ194" s="55"/>
      <c r="BA194" s="55"/>
      <c r="BB194" s="55"/>
      <c r="BC194" s="55"/>
      <c r="BD194" s="55"/>
      <c r="BE194" s="55"/>
      <c r="BF194" s="55"/>
      <c r="BG194" s="55"/>
      <c r="BH194" s="55"/>
      <c r="BI194" s="55"/>
      <c r="BJ194" s="55"/>
      <c r="BK194" s="55"/>
      <c r="BL194" s="55"/>
      <c r="BM194" s="55"/>
      <c r="BN194" s="55"/>
      <c r="BO194" s="55"/>
      <c r="BP194" s="55"/>
      <c r="BQ194" s="55"/>
      <c r="BR194" s="55"/>
      <c r="BS194" s="55"/>
      <c r="BT194" s="55"/>
      <c r="BU194" s="55"/>
      <c r="BV194" s="55"/>
      <c r="BW194" s="55"/>
      <c r="BX194" s="55"/>
      <c r="BY194" s="55"/>
      <c r="BZ194" s="55"/>
      <c r="CA194" s="55"/>
      <c r="CB194" s="55"/>
      <c r="CC194" s="55"/>
      <c r="CD194" s="55"/>
      <c r="CE194" s="55"/>
    </row>
    <row r="195" spans="2:83" x14ac:dyDescent="0.25">
      <c r="B195" s="55"/>
      <c r="C195" s="55"/>
      <c r="D195" s="55"/>
      <c r="E195" s="55"/>
      <c r="F195" s="55"/>
      <c r="G195" s="55"/>
      <c r="H195" s="55"/>
      <c r="I195" s="55"/>
      <c r="J195" s="55"/>
      <c r="K195" s="55"/>
      <c r="L195" s="55"/>
      <c r="M195" s="55"/>
      <c r="N195" s="55"/>
      <c r="O195" s="55"/>
      <c r="P195" s="55"/>
      <c r="Q195" s="55"/>
      <c r="R195" s="55"/>
      <c r="S195" s="55"/>
      <c r="T195" s="55"/>
      <c r="U195" s="55"/>
      <c r="V195" s="55"/>
      <c r="W195" s="55"/>
      <c r="X195" s="55"/>
      <c r="Y195" s="55"/>
      <c r="Z195" s="55"/>
      <c r="AA195" s="55"/>
      <c r="AB195" s="55"/>
      <c r="AC195" s="55"/>
      <c r="AD195" s="55"/>
      <c r="AE195" s="55"/>
      <c r="AF195" s="55"/>
      <c r="AG195" s="55"/>
      <c r="AH195" s="55"/>
      <c r="AI195" s="55"/>
      <c r="AJ195" s="55"/>
      <c r="AK195" s="55"/>
      <c r="AL195" s="55"/>
      <c r="AM195" s="55"/>
      <c r="AN195" s="55"/>
      <c r="AO195" s="55"/>
      <c r="AP195" s="55"/>
      <c r="AQ195" s="55"/>
      <c r="AR195" s="55"/>
      <c r="AS195" s="55"/>
      <c r="AT195" s="55"/>
      <c r="AU195" s="55"/>
      <c r="AV195" s="55"/>
      <c r="AW195" s="55"/>
      <c r="AX195" s="55"/>
      <c r="AY195" s="55"/>
      <c r="AZ195" s="55"/>
      <c r="BA195" s="55"/>
      <c r="BB195" s="55"/>
      <c r="BC195" s="55"/>
      <c r="BD195" s="55"/>
      <c r="BE195" s="55"/>
      <c r="BF195" s="55"/>
      <c r="BG195" s="55"/>
      <c r="BH195" s="55"/>
      <c r="BI195" s="55"/>
      <c r="BJ195" s="55"/>
      <c r="BK195" s="55"/>
      <c r="BL195" s="55"/>
      <c r="BM195" s="55"/>
      <c r="BN195" s="55"/>
      <c r="BO195" s="55"/>
      <c r="BP195" s="55"/>
      <c r="BQ195" s="55"/>
      <c r="BR195" s="55"/>
      <c r="BS195" s="55"/>
      <c r="BT195" s="55"/>
      <c r="BU195" s="55"/>
      <c r="BV195" s="55"/>
      <c r="BW195" s="55"/>
      <c r="BX195" s="55"/>
      <c r="BY195" s="55"/>
      <c r="BZ195" s="55"/>
      <c r="CA195" s="55"/>
      <c r="CB195" s="55"/>
      <c r="CC195" s="55"/>
      <c r="CD195" s="55"/>
      <c r="CE195" s="55"/>
    </row>
    <row r="196" spans="2:83" x14ac:dyDescent="0.25">
      <c r="B196" s="55"/>
      <c r="C196" s="55"/>
      <c r="D196" s="55"/>
      <c r="E196" s="55"/>
      <c r="F196" s="55"/>
      <c r="G196" s="55"/>
      <c r="H196" s="55"/>
      <c r="I196" s="55"/>
      <c r="J196" s="55"/>
      <c r="K196" s="55"/>
      <c r="L196" s="55"/>
      <c r="M196" s="55"/>
      <c r="N196" s="55"/>
      <c r="O196" s="55"/>
      <c r="P196" s="55"/>
      <c r="Q196" s="55"/>
      <c r="R196" s="55"/>
      <c r="S196" s="55"/>
      <c r="T196" s="55"/>
      <c r="U196" s="55"/>
      <c r="V196" s="55"/>
      <c r="W196" s="55"/>
      <c r="X196" s="55"/>
      <c r="Y196" s="55"/>
      <c r="Z196" s="55"/>
      <c r="AA196" s="55"/>
      <c r="AB196" s="55"/>
      <c r="AC196" s="55"/>
      <c r="AD196" s="55"/>
      <c r="AE196" s="55"/>
      <c r="AF196" s="55"/>
      <c r="AG196" s="55"/>
      <c r="AH196" s="55"/>
      <c r="AI196" s="55"/>
      <c r="AJ196" s="55"/>
      <c r="AK196" s="55"/>
      <c r="AL196" s="55"/>
      <c r="AM196" s="55"/>
      <c r="AN196" s="55"/>
      <c r="AO196" s="55"/>
      <c r="AP196" s="55"/>
      <c r="AQ196" s="55"/>
      <c r="AR196" s="55"/>
      <c r="AS196" s="55"/>
      <c r="AT196" s="55"/>
      <c r="AU196" s="55"/>
      <c r="AV196" s="55"/>
      <c r="AW196" s="55"/>
      <c r="AX196" s="55"/>
      <c r="AY196" s="55"/>
      <c r="AZ196" s="55"/>
      <c r="BA196" s="55"/>
      <c r="BB196" s="55"/>
      <c r="BC196" s="55"/>
      <c r="BD196" s="55"/>
      <c r="BE196" s="55"/>
      <c r="BF196" s="55"/>
      <c r="BG196" s="55"/>
      <c r="BH196" s="55"/>
      <c r="BI196" s="55"/>
      <c r="BJ196" s="55"/>
      <c r="BK196" s="55"/>
      <c r="BL196" s="55"/>
      <c r="BM196" s="55"/>
      <c r="BN196" s="55"/>
      <c r="BO196" s="55"/>
      <c r="BP196" s="55"/>
      <c r="BQ196" s="55"/>
      <c r="BR196" s="55"/>
      <c r="BS196" s="55"/>
      <c r="BT196" s="55"/>
      <c r="BU196" s="55"/>
      <c r="BV196" s="55"/>
      <c r="BW196" s="55"/>
      <c r="BX196" s="55"/>
      <c r="BY196" s="55"/>
      <c r="BZ196" s="55"/>
      <c r="CA196" s="55"/>
      <c r="CB196" s="55"/>
      <c r="CC196" s="55"/>
      <c r="CD196" s="55"/>
      <c r="CE196" s="55"/>
    </row>
    <row r="197" spans="2:83" x14ac:dyDescent="0.25">
      <c r="B197" s="55"/>
      <c r="C197" s="55"/>
      <c r="D197" s="55"/>
      <c r="E197" s="55"/>
      <c r="F197" s="55"/>
      <c r="G197" s="55"/>
      <c r="H197" s="55"/>
      <c r="I197" s="55"/>
      <c r="BI197" s="55"/>
      <c r="BJ197" s="55"/>
      <c r="BK197" s="55"/>
      <c r="BL197" s="55"/>
      <c r="BM197" s="55"/>
      <c r="BN197" s="55"/>
    </row>
    <row r="198" spans="2:83" x14ac:dyDescent="0.25">
      <c r="B198" s="55"/>
      <c r="C198" s="55"/>
      <c r="D198" s="55"/>
      <c r="E198" s="55"/>
      <c r="F198" s="55"/>
      <c r="G198" s="55"/>
      <c r="H198" s="55"/>
      <c r="I198" s="55"/>
      <c r="BI198" s="55"/>
      <c r="BJ198" s="55"/>
      <c r="BK198" s="55"/>
      <c r="BL198" s="55"/>
      <c r="BM198" s="55"/>
      <c r="BN198" s="55"/>
    </row>
    <row r="199" spans="2:83" x14ac:dyDescent="0.25">
      <c r="B199" s="55"/>
      <c r="C199" s="55"/>
      <c r="D199" s="55"/>
      <c r="E199" s="55"/>
      <c r="F199" s="55"/>
      <c r="G199" s="55"/>
      <c r="H199" s="55"/>
      <c r="I199" s="55"/>
      <c r="BI199" s="55"/>
      <c r="BJ199" s="55"/>
      <c r="BK199" s="55"/>
      <c r="BL199" s="55"/>
      <c r="BM199" s="55"/>
      <c r="BN199" s="55"/>
    </row>
    <row r="200" spans="2:83" x14ac:dyDescent="0.25">
      <c r="B200" s="55"/>
      <c r="C200" s="55"/>
      <c r="D200" s="55"/>
      <c r="E200" s="55"/>
      <c r="F200" s="55"/>
      <c r="G200" s="55"/>
      <c r="H200" s="55"/>
      <c r="I200" s="55"/>
      <c r="BI200" s="55"/>
      <c r="BJ200" s="55"/>
      <c r="BK200" s="55"/>
      <c r="BL200" s="55"/>
      <c r="BM200" s="55"/>
      <c r="BN200" s="55"/>
    </row>
    <row r="201" spans="2:83" x14ac:dyDescent="0.25">
      <c r="BI201" s="55"/>
      <c r="BJ201" s="55"/>
      <c r="BK201" s="55"/>
      <c r="BL201" s="55"/>
      <c r="BM201" s="55"/>
      <c r="BN201" s="55"/>
    </row>
    <row r="202" spans="2:83" x14ac:dyDescent="0.25">
      <c r="BI202" s="55"/>
      <c r="BJ202" s="55"/>
      <c r="BK202" s="55"/>
      <c r="BL202" s="55"/>
      <c r="BM202" s="55"/>
      <c r="BN202" s="55"/>
    </row>
    <row r="203" spans="2:83" x14ac:dyDescent="0.25">
      <c r="BI203" s="55"/>
      <c r="BJ203" s="55"/>
      <c r="BK203" s="55"/>
      <c r="BL203" s="55"/>
      <c r="BM203" s="55"/>
      <c r="BN203" s="55"/>
    </row>
    <row r="204" spans="2:83" x14ac:dyDescent="0.25">
      <c r="BI204" s="55"/>
      <c r="BJ204" s="55"/>
      <c r="BK204" s="55"/>
      <c r="BL204" s="55"/>
      <c r="BM204" s="55"/>
      <c r="BN204" s="55"/>
    </row>
  </sheetData>
  <mergeCells count="1267">
    <mergeCell ref="J96:K97"/>
    <mergeCell ref="L96:M97"/>
    <mergeCell ref="N96:O97"/>
    <mergeCell ref="P96:Q97"/>
    <mergeCell ref="R96:S97"/>
    <mergeCell ref="X94:Y95"/>
    <mergeCell ref="Z94:AA95"/>
    <mergeCell ref="AB94:AC95"/>
    <mergeCell ref="T96:U97"/>
    <mergeCell ref="V96:W97"/>
    <mergeCell ref="X96:Y97"/>
    <mergeCell ref="Z96:AA97"/>
    <mergeCell ref="AB96:AC97"/>
    <mergeCell ref="P94:Q95"/>
    <mergeCell ref="R94:S95"/>
    <mergeCell ref="BD94:BE95"/>
    <mergeCell ref="BF94:BG95"/>
    <mergeCell ref="AX96:AY97"/>
    <mergeCell ref="AZ96:BA97"/>
    <mergeCell ref="BB96:BC97"/>
    <mergeCell ref="BD96:BE97"/>
    <mergeCell ref="BF96:BG97"/>
    <mergeCell ref="AH94:AI95"/>
    <mergeCell ref="AJ94:AK95"/>
    <mergeCell ref="AL94:AM95"/>
    <mergeCell ref="AD96:AE97"/>
    <mergeCell ref="AF96:AG97"/>
    <mergeCell ref="AH96:AI97"/>
    <mergeCell ref="AJ96:AK97"/>
    <mergeCell ref="AL96:AM97"/>
    <mergeCell ref="AT94:AU95"/>
    <mergeCell ref="AV94:AW95"/>
    <mergeCell ref="J92:K93"/>
    <mergeCell ref="L92:M93"/>
    <mergeCell ref="N92:O93"/>
    <mergeCell ref="P92:Q93"/>
    <mergeCell ref="R92:S93"/>
    <mergeCell ref="AD92:AE93"/>
    <mergeCell ref="AF92:AG93"/>
    <mergeCell ref="AH92:AI93"/>
    <mergeCell ref="AJ92:AK93"/>
    <mergeCell ref="AL92:AM93"/>
    <mergeCell ref="AX92:AY93"/>
    <mergeCell ref="AZ92:BA93"/>
    <mergeCell ref="BB92:BC93"/>
    <mergeCell ref="BD92:BE93"/>
    <mergeCell ref="BF92:BG93"/>
    <mergeCell ref="AN74:AO75"/>
    <mergeCell ref="AP74:AQ75"/>
    <mergeCell ref="AR74:AS75"/>
    <mergeCell ref="AT74:AU75"/>
    <mergeCell ref="AN92:AO93"/>
    <mergeCell ref="J74:K75"/>
    <mergeCell ref="L74:M75"/>
    <mergeCell ref="N74:O75"/>
    <mergeCell ref="P74:Q75"/>
    <mergeCell ref="R74:S75"/>
    <mergeCell ref="J76:K77"/>
    <mergeCell ref="L76:M77"/>
    <mergeCell ref="N76:O77"/>
    <mergeCell ref="P76:Q77"/>
    <mergeCell ref="R76:S77"/>
    <mergeCell ref="J78:K79"/>
    <mergeCell ref="L78:M79"/>
    <mergeCell ref="T74:U75"/>
    <mergeCell ref="V74:W75"/>
    <mergeCell ref="T78:U79"/>
    <mergeCell ref="T76:U77"/>
    <mergeCell ref="V76:W77"/>
    <mergeCell ref="V78:W79"/>
    <mergeCell ref="AL42:AM43"/>
    <mergeCell ref="AD44:AE45"/>
    <mergeCell ref="AF44:AG45"/>
    <mergeCell ref="AH44:AI45"/>
    <mergeCell ref="AJ44:AK45"/>
    <mergeCell ref="AL44:AM45"/>
    <mergeCell ref="AD46:AE47"/>
    <mergeCell ref="AF46:AG47"/>
    <mergeCell ref="T48:U49"/>
    <mergeCell ref="X54:Y55"/>
    <mergeCell ref="X60:Y61"/>
    <mergeCell ref="Z50:AA51"/>
    <mergeCell ref="V52:W53"/>
    <mergeCell ref="V54:W55"/>
    <mergeCell ref="T60:U61"/>
    <mergeCell ref="V60:W61"/>
    <mergeCell ref="AL46:AM47"/>
    <mergeCell ref="AD54:AE55"/>
    <mergeCell ref="AJ54:AK55"/>
    <mergeCell ref="AL54:AM55"/>
    <mergeCell ref="AH54:AI55"/>
    <mergeCell ref="AF60:AG61"/>
    <mergeCell ref="AH60:AI61"/>
    <mergeCell ref="AH48:AI49"/>
    <mergeCell ref="AJ48:AK49"/>
    <mergeCell ref="AL48:AM49"/>
    <mergeCell ref="AR48:AS49"/>
    <mergeCell ref="AD50:AE51"/>
    <mergeCell ref="AF50:AG51"/>
    <mergeCell ref="AB42:AC43"/>
    <mergeCell ref="V50:W51"/>
    <mergeCell ref="Z42:AA43"/>
    <mergeCell ref="Z52:AA53"/>
    <mergeCell ref="AB60:AC61"/>
    <mergeCell ref="AJ72:AK73"/>
    <mergeCell ref="X68:Y69"/>
    <mergeCell ref="Z68:AA69"/>
    <mergeCell ref="AV54:AW55"/>
    <mergeCell ref="AN50:AO51"/>
    <mergeCell ref="AP50:AQ51"/>
    <mergeCell ref="X52:Y53"/>
    <mergeCell ref="AL60:AM61"/>
    <mergeCell ref="AD64:AE65"/>
    <mergeCell ref="AJ64:AK65"/>
    <mergeCell ref="AL64:AM65"/>
    <mergeCell ref="AJ46:AK47"/>
    <mergeCell ref="AH56:AI57"/>
    <mergeCell ref="AJ56:AK57"/>
    <mergeCell ref="AL56:AM57"/>
    <mergeCell ref="AF64:AG65"/>
    <mergeCell ref="AH64:AI65"/>
    <mergeCell ref="AN60:AO61"/>
    <mergeCell ref="AT60:AU61"/>
    <mergeCell ref="AV60:AW61"/>
    <mergeCell ref="AH46:AI47"/>
    <mergeCell ref="AD48:AE49"/>
    <mergeCell ref="AF48:AG49"/>
    <mergeCell ref="AT56:AU57"/>
    <mergeCell ref="AB56:AC57"/>
    <mergeCell ref="T58:U59"/>
    <mergeCell ref="V58:W59"/>
    <mergeCell ref="X58:Y59"/>
    <mergeCell ref="Z58:AA59"/>
    <mergeCell ref="AB58:AC59"/>
    <mergeCell ref="AD56:AE57"/>
    <mergeCell ref="AF56:AG57"/>
    <mergeCell ref="AD58:AE59"/>
    <mergeCell ref="AF58:AG59"/>
    <mergeCell ref="J56:K57"/>
    <mergeCell ref="L56:M57"/>
    <mergeCell ref="N56:O57"/>
    <mergeCell ref="P56:Q57"/>
    <mergeCell ref="R56:S57"/>
    <mergeCell ref="AN46:AO47"/>
    <mergeCell ref="AP46:AQ47"/>
    <mergeCell ref="AN48:AO49"/>
    <mergeCell ref="AP48:AQ49"/>
    <mergeCell ref="X48:Y49"/>
    <mergeCell ref="AT20:AU21"/>
    <mergeCell ref="AV20:AW21"/>
    <mergeCell ref="AV22:AW23"/>
    <mergeCell ref="J40:K41"/>
    <mergeCell ref="L40:M41"/>
    <mergeCell ref="N40:O41"/>
    <mergeCell ref="P40:Q41"/>
    <mergeCell ref="R40:S41"/>
    <mergeCell ref="J42:K43"/>
    <mergeCell ref="L42:M43"/>
    <mergeCell ref="N42:O43"/>
    <mergeCell ref="P42:Q43"/>
    <mergeCell ref="R42:S43"/>
    <mergeCell ref="J44:K45"/>
    <mergeCell ref="L44:M45"/>
    <mergeCell ref="J46:K47"/>
    <mergeCell ref="L46:M47"/>
    <mergeCell ref="N46:O47"/>
    <mergeCell ref="P46:Q47"/>
    <mergeCell ref="R46:S47"/>
    <mergeCell ref="AT46:AU47"/>
    <mergeCell ref="AR46:AS47"/>
    <mergeCell ref="AN22:AO23"/>
    <mergeCell ref="AN20:AO21"/>
    <mergeCell ref="AV46:AW47"/>
    <mergeCell ref="T46:U47"/>
    <mergeCell ref="V46:W47"/>
    <mergeCell ref="X46:Y47"/>
    <mergeCell ref="Z46:AA47"/>
    <mergeCell ref="AB46:AC47"/>
    <mergeCell ref="X42:Y43"/>
    <mergeCell ref="AD20:AE21"/>
    <mergeCell ref="AZ24:BA25"/>
    <mergeCell ref="AT32:AU33"/>
    <mergeCell ref="AV32:AW33"/>
    <mergeCell ref="AP34:AQ35"/>
    <mergeCell ref="AR34:AS35"/>
    <mergeCell ref="AT36:AU37"/>
    <mergeCell ref="AV36:AW37"/>
    <mergeCell ref="AP26:AQ27"/>
    <mergeCell ref="AR26:AS27"/>
    <mergeCell ref="AP28:AQ29"/>
    <mergeCell ref="AR28:AS29"/>
    <mergeCell ref="AN30:AO31"/>
    <mergeCell ref="AP30:AQ31"/>
    <mergeCell ref="AR30:AS31"/>
    <mergeCell ref="AN32:AO33"/>
    <mergeCell ref="AP32:AQ33"/>
    <mergeCell ref="AR32:AS33"/>
    <mergeCell ref="AT30:AU31"/>
    <mergeCell ref="AV24:AW25"/>
    <mergeCell ref="AT26:AU27"/>
    <mergeCell ref="AR42:AS43"/>
    <mergeCell ref="AT42:AU43"/>
    <mergeCell ref="AV42:AW43"/>
    <mergeCell ref="AT38:AU39"/>
    <mergeCell ref="AV38:AW39"/>
    <mergeCell ref="AD36:AE37"/>
    <mergeCell ref="AF36:AG37"/>
    <mergeCell ref="AH36:AI37"/>
    <mergeCell ref="AN34:AO35"/>
    <mergeCell ref="AD30:AE31"/>
    <mergeCell ref="AF30:AG31"/>
    <mergeCell ref="AH30:AI31"/>
    <mergeCell ref="AJ30:AK31"/>
    <mergeCell ref="AL30:AM31"/>
    <mergeCell ref="AD34:AE35"/>
    <mergeCell ref="AJ34:AK35"/>
    <mergeCell ref="AN36:AO37"/>
    <mergeCell ref="AB32:AC33"/>
    <mergeCell ref="Z60:AA61"/>
    <mergeCell ref="R20:S21"/>
    <mergeCell ref="J22:K23"/>
    <mergeCell ref="L22:M23"/>
    <mergeCell ref="N22:O23"/>
    <mergeCell ref="P22:Q23"/>
    <mergeCell ref="R22:S23"/>
    <mergeCell ref="T20:U21"/>
    <mergeCell ref="V20:W21"/>
    <mergeCell ref="X20:Y21"/>
    <mergeCell ref="Z20:AA21"/>
    <mergeCell ref="AB20:AC21"/>
    <mergeCell ref="T22:U23"/>
    <mergeCell ref="V22:W23"/>
    <mergeCell ref="X22:Y23"/>
    <mergeCell ref="Z22:AA23"/>
    <mergeCell ref="AB22:AC23"/>
    <mergeCell ref="X50:Y51"/>
    <mergeCell ref="J58:K59"/>
    <mergeCell ref="L58:M59"/>
    <mergeCell ref="N58:O59"/>
    <mergeCell ref="P58:Q59"/>
    <mergeCell ref="R58:S59"/>
    <mergeCell ref="T56:U57"/>
    <mergeCell ref="V56:W57"/>
    <mergeCell ref="X56:Y57"/>
    <mergeCell ref="AB36:AC37"/>
    <mergeCell ref="V28:W29"/>
    <mergeCell ref="V30:W31"/>
    <mergeCell ref="V32:W33"/>
    <mergeCell ref="V34:W35"/>
    <mergeCell ref="T44:U45"/>
    <mergeCell ref="V44:W45"/>
    <mergeCell ref="X44:Y45"/>
    <mergeCell ref="Z44:AA45"/>
    <mergeCell ref="AB44:AC45"/>
    <mergeCell ref="AD40:AE41"/>
    <mergeCell ref="AF40:AG41"/>
    <mergeCell ref="T40:U41"/>
    <mergeCell ref="V40:W41"/>
    <mergeCell ref="X40:Y41"/>
    <mergeCell ref="Z40:AA41"/>
    <mergeCell ref="AB40:AC41"/>
    <mergeCell ref="T42:U43"/>
    <mergeCell ref="V42:W43"/>
    <mergeCell ref="AL34:AM35"/>
    <mergeCell ref="T38:U39"/>
    <mergeCell ref="V38:W39"/>
    <mergeCell ref="X38:Y39"/>
    <mergeCell ref="V36:W37"/>
    <mergeCell ref="AD42:AE43"/>
    <mergeCell ref="AF42:AG43"/>
    <mergeCell ref="AH42:AI43"/>
    <mergeCell ref="AJ42:AK43"/>
    <mergeCell ref="AH68:AI69"/>
    <mergeCell ref="AF82:AG83"/>
    <mergeCell ref="AL82:AM83"/>
    <mergeCell ref="AN82:AO83"/>
    <mergeCell ref="AP82:AQ83"/>
    <mergeCell ref="AR82:AS83"/>
    <mergeCell ref="AT82:AU83"/>
    <mergeCell ref="AV82:AW83"/>
    <mergeCell ref="AX82:AY83"/>
    <mergeCell ref="AF20:AG21"/>
    <mergeCell ref="AH20:AI21"/>
    <mergeCell ref="AJ20:AK21"/>
    <mergeCell ref="AL20:AM21"/>
    <mergeCell ref="AD22:AE23"/>
    <mergeCell ref="AF22:AG23"/>
    <mergeCell ref="AH22:AI23"/>
    <mergeCell ref="AJ22:AK23"/>
    <mergeCell ref="AL22:AM23"/>
    <mergeCell ref="AD32:AE33"/>
    <mergeCell ref="AF32:AG33"/>
    <mergeCell ref="AD26:AE27"/>
    <mergeCell ref="AD28:AE29"/>
    <mergeCell ref="AV48:AW49"/>
    <mergeCell ref="AV30:AW31"/>
    <mergeCell ref="AT34:AU35"/>
    <mergeCell ref="AV34:AW35"/>
    <mergeCell ref="AP40:AQ41"/>
    <mergeCell ref="AR40:AS41"/>
    <mergeCell ref="AT40:AU41"/>
    <mergeCell ref="AV40:AW41"/>
    <mergeCell ref="AN42:AO43"/>
    <mergeCell ref="AP42:AQ43"/>
    <mergeCell ref="AX38:AY39"/>
    <mergeCell ref="AR54:AS55"/>
    <mergeCell ref="AP60:AQ61"/>
    <mergeCell ref="AB38:AC39"/>
    <mergeCell ref="AD38:AE39"/>
    <mergeCell ref="T64:U65"/>
    <mergeCell ref="Z64:AA65"/>
    <mergeCell ref="AB64:AC65"/>
    <mergeCell ref="AT48:AU49"/>
    <mergeCell ref="AR60:AS61"/>
    <mergeCell ref="AP38:AQ39"/>
    <mergeCell ref="Z48:AA49"/>
    <mergeCell ref="AB48:AC49"/>
    <mergeCell ref="AN44:AO45"/>
    <mergeCell ref="AP44:AQ45"/>
    <mergeCell ref="AR44:AS45"/>
    <mergeCell ref="AT44:AU45"/>
    <mergeCell ref="AV44:AW45"/>
    <mergeCell ref="AL58:AM59"/>
    <mergeCell ref="AN56:AO57"/>
    <mergeCell ref="AP56:AQ57"/>
    <mergeCell ref="AR56:AS57"/>
    <mergeCell ref="AN54:AO55"/>
    <mergeCell ref="AT54:AU55"/>
    <mergeCell ref="AH50:AI51"/>
    <mergeCell ref="AJ50:AK51"/>
    <mergeCell ref="AL50:AM51"/>
    <mergeCell ref="AD52:AE53"/>
    <mergeCell ref="AF52:AG53"/>
    <mergeCell ref="AV56:AW57"/>
    <mergeCell ref="AN58:AO59"/>
    <mergeCell ref="AD60:AE61"/>
    <mergeCell ref="AR50:AS51"/>
    <mergeCell ref="Z38:AA39"/>
    <mergeCell ref="AP58:AQ59"/>
    <mergeCell ref="AR58:AS59"/>
    <mergeCell ref="AT58:AU59"/>
    <mergeCell ref="AJ52:AK53"/>
    <mergeCell ref="AJ60:AK61"/>
    <mergeCell ref="Z56:AA57"/>
    <mergeCell ref="AF74:AG75"/>
    <mergeCell ref="AN66:AO67"/>
    <mergeCell ref="AT66:AU67"/>
    <mergeCell ref="AV66:AW67"/>
    <mergeCell ref="AF76:AG77"/>
    <mergeCell ref="AH76:AI77"/>
    <mergeCell ref="AP80:AQ81"/>
    <mergeCell ref="AR80:AS81"/>
    <mergeCell ref="AT80:AU81"/>
    <mergeCell ref="AV80:AW81"/>
    <mergeCell ref="AL80:AM81"/>
    <mergeCell ref="AL78:AM79"/>
    <mergeCell ref="AH38:AI39"/>
    <mergeCell ref="AJ38:AK39"/>
    <mergeCell ref="AL38:AM39"/>
    <mergeCell ref="AN38:AO39"/>
    <mergeCell ref="AN40:AO41"/>
    <mergeCell ref="AV64:AW65"/>
    <mergeCell ref="AP64:AQ65"/>
    <mergeCell ref="AR64:AS65"/>
    <mergeCell ref="AP66:AQ67"/>
    <mergeCell ref="AR66:AS67"/>
    <mergeCell ref="AN78:AO79"/>
    <mergeCell ref="AP78:AQ79"/>
    <mergeCell ref="V72:W73"/>
    <mergeCell ref="V80:W81"/>
    <mergeCell ref="X70:Y71"/>
    <mergeCell ref="X72:Y73"/>
    <mergeCell ref="X80:Y81"/>
    <mergeCell ref="Z72:AA73"/>
    <mergeCell ref="AD80:AE81"/>
    <mergeCell ref="AJ80:AK81"/>
    <mergeCell ref="X76:Y77"/>
    <mergeCell ref="Z76:AA77"/>
    <mergeCell ref="AB76:AC77"/>
    <mergeCell ref="AH70:AI71"/>
    <mergeCell ref="AH72:AI73"/>
    <mergeCell ref="X74:Y75"/>
    <mergeCell ref="Z74:AA75"/>
    <mergeCell ref="AB74:AC75"/>
    <mergeCell ref="AH78:AI79"/>
    <mergeCell ref="AJ78:AK79"/>
    <mergeCell ref="AH74:AI75"/>
    <mergeCell ref="AF72:AG73"/>
    <mergeCell ref="AF80:AG81"/>
    <mergeCell ref="AH80:AI81"/>
    <mergeCell ref="AX72:AY73"/>
    <mergeCell ref="AZ72:BA73"/>
    <mergeCell ref="BD80:BE81"/>
    <mergeCell ref="BF80:BG81"/>
    <mergeCell ref="AZ82:BA83"/>
    <mergeCell ref="AN76:AO77"/>
    <mergeCell ref="AP76:AQ77"/>
    <mergeCell ref="AR76:AS77"/>
    <mergeCell ref="AT76:AU77"/>
    <mergeCell ref="AV76:AW77"/>
    <mergeCell ref="BF74:BG75"/>
    <mergeCell ref="AX76:AY77"/>
    <mergeCell ref="AZ76:BA77"/>
    <mergeCell ref="BB76:BC77"/>
    <mergeCell ref="BD76:BE77"/>
    <mergeCell ref="BF76:BG77"/>
    <mergeCell ref="AX78:AY79"/>
    <mergeCell ref="AZ78:BA79"/>
    <mergeCell ref="BB78:BC79"/>
    <mergeCell ref="BD74:BE75"/>
    <mergeCell ref="BB82:BC83"/>
    <mergeCell ref="AR78:AS79"/>
    <mergeCell ref="AT78:AU79"/>
    <mergeCell ref="AV78:AW79"/>
    <mergeCell ref="AX74:AY75"/>
    <mergeCell ref="AZ74:BA75"/>
    <mergeCell ref="BB74:BC75"/>
    <mergeCell ref="AT18:AU19"/>
    <mergeCell ref="AV18:AW19"/>
    <mergeCell ref="AX18:AY19"/>
    <mergeCell ref="AZ18:BA19"/>
    <mergeCell ref="BD102:BE103"/>
    <mergeCell ref="BF102:BG103"/>
    <mergeCell ref="J62:K63"/>
    <mergeCell ref="L62:M63"/>
    <mergeCell ref="N62:O63"/>
    <mergeCell ref="P62:Q63"/>
    <mergeCell ref="R62:S63"/>
    <mergeCell ref="T62:U63"/>
    <mergeCell ref="V62:W63"/>
    <mergeCell ref="X62:Y63"/>
    <mergeCell ref="Z62:AA63"/>
    <mergeCell ref="AB62:AC63"/>
    <mergeCell ref="AD62:AE63"/>
    <mergeCell ref="AF62:AG63"/>
    <mergeCell ref="AH62:AI63"/>
    <mergeCell ref="AJ62:AK63"/>
    <mergeCell ref="AL62:AM63"/>
    <mergeCell ref="AN62:AO63"/>
    <mergeCell ref="J38:K39"/>
    <mergeCell ref="L38:M39"/>
    <mergeCell ref="J102:K103"/>
    <mergeCell ref="AJ82:AK83"/>
    <mergeCell ref="L102:M103"/>
    <mergeCell ref="AF38:AG39"/>
    <mergeCell ref="BD72:BE73"/>
    <mergeCell ref="BF72:BG73"/>
    <mergeCell ref="AZ80:BA81"/>
    <mergeCell ref="BB80:BC81"/>
    <mergeCell ref="N102:O103"/>
    <mergeCell ref="P102:Q103"/>
    <mergeCell ref="R102:S103"/>
    <mergeCell ref="T102:U103"/>
    <mergeCell ref="V102:W103"/>
    <mergeCell ref="X102:Y103"/>
    <mergeCell ref="Z102:AA103"/>
    <mergeCell ref="AB102:AC103"/>
    <mergeCell ref="AD102:AE103"/>
    <mergeCell ref="AF102:AG103"/>
    <mergeCell ref="AH102:AI103"/>
    <mergeCell ref="AH40:AI41"/>
    <mergeCell ref="P100:Q101"/>
    <mergeCell ref="AH52:AI53"/>
    <mergeCell ref="AH58:AI59"/>
    <mergeCell ref="V82:W83"/>
    <mergeCell ref="X82:Y83"/>
    <mergeCell ref="Z82:AA83"/>
    <mergeCell ref="N72:O73"/>
    <mergeCell ref="AH82:AI83"/>
    <mergeCell ref="Z70:AA71"/>
    <mergeCell ref="V64:W65"/>
    <mergeCell ref="X64:Y65"/>
    <mergeCell ref="X78:Y79"/>
    <mergeCell ref="Z78:AA79"/>
    <mergeCell ref="AB78:AC79"/>
    <mergeCell ref="AB82:AC83"/>
    <mergeCell ref="T100:U101"/>
    <mergeCell ref="Z54:AA55"/>
    <mergeCell ref="R50:S51"/>
    <mergeCell ref="P48:Q49"/>
    <mergeCell ref="AD74:AE75"/>
    <mergeCell ref="AJ102:AK103"/>
    <mergeCell ref="AL102:AM103"/>
    <mergeCell ref="AN102:AO103"/>
    <mergeCell ref="AP102:AQ103"/>
    <mergeCell ref="BD36:BE37"/>
    <mergeCell ref="AP52:AQ53"/>
    <mergeCell ref="AR52:AS53"/>
    <mergeCell ref="AT52:AU53"/>
    <mergeCell ref="AV52:AW53"/>
    <mergeCell ref="AP54:AQ55"/>
    <mergeCell ref="AN70:AO71"/>
    <mergeCell ref="AP70:AQ71"/>
    <mergeCell ref="AR70:AS71"/>
    <mergeCell ref="AT70:AU71"/>
    <mergeCell ref="AV70:AW71"/>
    <mergeCell ref="AN72:AO73"/>
    <mergeCell ref="AX84:AY85"/>
    <mergeCell ref="AP72:AQ73"/>
    <mergeCell ref="AR72:AS73"/>
    <mergeCell ref="AT72:AU73"/>
    <mergeCell ref="BD84:BE85"/>
    <mergeCell ref="AJ40:AK41"/>
    <mergeCell ref="AL40:AM41"/>
    <mergeCell ref="AJ36:AK37"/>
    <mergeCell ref="AL36:AM37"/>
    <mergeCell ref="AR38:AS39"/>
    <mergeCell ref="AV72:AW73"/>
    <mergeCell ref="AN68:AO69"/>
    <mergeCell ref="AP62:AQ63"/>
    <mergeCell ref="AR62:AS63"/>
    <mergeCell ref="AT62:AU63"/>
    <mergeCell ref="AV62:AW63"/>
    <mergeCell ref="BB38:BC39"/>
    <mergeCell ref="BD38:BE39"/>
    <mergeCell ref="BF38:BG39"/>
    <mergeCell ref="AX60:AY61"/>
    <mergeCell ref="BD60:BE61"/>
    <mergeCell ref="BF60:BG61"/>
    <mergeCell ref="AX64:AY65"/>
    <mergeCell ref="BD64:BE65"/>
    <mergeCell ref="BF64:BG65"/>
    <mergeCell ref="AX54:AY55"/>
    <mergeCell ref="AN84:AO85"/>
    <mergeCell ref="AT84:AU85"/>
    <mergeCell ref="AP36:AQ37"/>
    <mergeCell ref="AR36:AS37"/>
    <mergeCell ref="BB48:BC49"/>
    <mergeCell ref="BD48:BE49"/>
    <mergeCell ref="BF48:BG49"/>
    <mergeCell ref="AX50:AY51"/>
    <mergeCell ref="AZ50:BA51"/>
    <mergeCell ref="BB50:BC51"/>
    <mergeCell ref="AZ84:BA85"/>
    <mergeCell ref="BB84:BC85"/>
    <mergeCell ref="AX36:AY37"/>
    <mergeCell ref="AZ36:BA37"/>
    <mergeCell ref="BB36:BC37"/>
    <mergeCell ref="AT50:AU51"/>
    <mergeCell ref="AV50:AW51"/>
    <mergeCell ref="AN52:AO53"/>
    <mergeCell ref="AV58:AW59"/>
    <mergeCell ref="BF84:BG85"/>
    <mergeCell ref="BB62:BC63"/>
    <mergeCell ref="AX80:AY81"/>
    <mergeCell ref="BB10:BC11"/>
    <mergeCell ref="BB12:BC13"/>
    <mergeCell ref="BB14:BC15"/>
    <mergeCell ref="AX10:AY11"/>
    <mergeCell ref="AX12:AY13"/>
    <mergeCell ref="AX14:AY15"/>
    <mergeCell ref="AX16:AY17"/>
    <mergeCell ref="AX24:AY25"/>
    <mergeCell ref="AX34:AY35"/>
    <mergeCell ref="BB18:BC19"/>
    <mergeCell ref="AZ86:BA87"/>
    <mergeCell ref="BB86:BC87"/>
    <mergeCell ref="BB72:BC73"/>
    <mergeCell ref="BB20:BC21"/>
    <mergeCell ref="AX22:AY23"/>
    <mergeCell ref="AZ22:BA23"/>
    <mergeCell ref="BB22:BC23"/>
    <mergeCell ref="AX44:AY45"/>
    <mergeCell ref="AZ44:BA45"/>
    <mergeCell ref="BB44:BC45"/>
    <mergeCell ref="AX56:AY57"/>
    <mergeCell ref="AZ56:BA57"/>
    <mergeCell ref="BB56:BC57"/>
    <mergeCell ref="AX58:AY59"/>
    <mergeCell ref="AZ58:BA59"/>
    <mergeCell ref="BB58:BC59"/>
    <mergeCell ref="AX46:AY47"/>
    <mergeCell ref="AX40:AY41"/>
    <mergeCell ref="AZ40:BA41"/>
    <mergeCell ref="BB40:BC41"/>
    <mergeCell ref="AZ38:BA39"/>
    <mergeCell ref="AX68:AY69"/>
    <mergeCell ref="AP6:AQ7"/>
    <mergeCell ref="AR6:AS7"/>
    <mergeCell ref="AP8:AQ9"/>
    <mergeCell ref="AR8:AS9"/>
    <mergeCell ref="AN10:AO11"/>
    <mergeCell ref="AP10:AQ11"/>
    <mergeCell ref="AR10:AS11"/>
    <mergeCell ref="AD16:AE17"/>
    <mergeCell ref="AF16:AG17"/>
    <mergeCell ref="AH16:AI17"/>
    <mergeCell ref="AJ16:AK17"/>
    <mergeCell ref="AL16:AM17"/>
    <mergeCell ref="AF24:AG25"/>
    <mergeCell ref="AH24:AI25"/>
    <mergeCell ref="AN16:AO17"/>
    <mergeCell ref="AP16:AQ17"/>
    <mergeCell ref="AR16:AS17"/>
    <mergeCell ref="AL18:AM19"/>
    <mergeCell ref="AN18:AO19"/>
    <mergeCell ref="AP20:AQ21"/>
    <mergeCell ref="AR20:AS21"/>
    <mergeCell ref="AD18:AE19"/>
    <mergeCell ref="AD14:AE15"/>
    <mergeCell ref="AP18:AQ19"/>
    <mergeCell ref="AR18:AS19"/>
    <mergeCell ref="T104:U105"/>
    <mergeCell ref="V104:W105"/>
    <mergeCell ref="X104:Y105"/>
    <mergeCell ref="X86:Y87"/>
    <mergeCell ref="V86:W87"/>
    <mergeCell ref="V88:W89"/>
    <mergeCell ref="X88:Y89"/>
    <mergeCell ref="V90:W91"/>
    <mergeCell ref="V98:W99"/>
    <mergeCell ref="V100:W101"/>
    <mergeCell ref="X90:Y91"/>
    <mergeCell ref="X98:Y99"/>
    <mergeCell ref="X100:Y101"/>
    <mergeCell ref="Z104:AA105"/>
    <mergeCell ref="AB104:AC105"/>
    <mergeCell ref="AB100:AC101"/>
    <mergeCell ref="AB98:AC99"/>
    <mergeCell ref="AB90:AC91"/>
    <mergeCell ref="AB88:AC89"/>
    <mergeCell ref="AB86:AC87"/>
    <mergeCell ref="Z86:AA87"/>
    <mergeCell ref="Z88:AA89"/>
    <mergeCell ref="Z90:AA91"/>
    <mergeCell ref="Z98:AA99"/>
    <mergeCell ref="Z100:AA101"/>
    <mergeCell ref="T92:U93"/>
    <mergeCell ref="V92:W93"/>
    <mergeCell ref="X92:Y93"/>
    <mergeCell ref="Z92:AA93"/>
    <mergeCell ref="AB92:AC93"/>
    <mergeCell ref="T94:U95"/>
    <mergeCell ref="V94:W95"/>
    <mergeCell ref="AT10:AU11"/>
    <mergeCell ref="AV10:AW11"/>
    <mergeCell ref="AN12:AO13"/>
    <mergeCell ref="AP12:AQ13"/>
    <mergeCell ref="AR12:AS13"/>
    <mergeCell ref="AT12:AU13"/>
    <mergeCell ref="AV12:AW13"/>
    <mergeCell ref="AN14:AO15"/>
    <mergeCell ref="AP14:AQ15"/>
    <mergeCell ref="AR14:AS15"/>
    <mergeCell ref="AT14:AU15"/>
    <mergeCell ref="AV14:AW15"/>
    <mergeCell ref="AH32:AI33"/>
    <mergeCell ref="AJ32:AK33"/>
    <mergeCell ref="AL32:AM33"/>
    <mergeCell ref="AF34:AG35"/>
    <mergeCell ref="AH34:AI35"/>
    <mergeCell ref="AH14:AI15"/>
    <mergeCell ref="AJ14:AK15"/>
    <mergeCell ref="AL14:AM15"/>
    <mergeCell ref="AP22:AQ23"/>
    <mergeCell ref="AR22:AS23"/>
    <mergeCell ref="AF14:AG15"/>
    <mergeCell ref="AF18:AG19"/>
    <mergeCell ref="AH18:AI19"/>
    <mergeCell ref="AJ18:AK19"/>
    <mergeCell ref="AV26:AW27"/>
    <mergeCell ref="AN28:AO29"/>
    <mergeCell ref="AT28:AU29"/>
    <mergeCell ref="AV28:AW29"/>
    <mergeCell ref="AJ26:AK27"/>
    <mergeCell ref="AL26:AM27"/>
    <mergeCell ref="X28:Y29"/>
    <mergeCell ref="X30:Y31"/>
    <mergeCell ref="X32:Y33"/>
    <mergeCell ref="X34:Y35"/>
    <mergeCell ref="X36:Y37"/>
    <mergeCell ref="Z30:AA31"/>
    <mergeCell ref="Z32:AA33"/>
    <mergeCell ref="Z36:AA37"/>
    <mergeCell ref="AB34:AC35"/>
    <mergeCell ref="V6:W7"/>
    <mergeCell ref="X6:Y7"/>
    <mergeCell ref="V26:W27"/>
    <mergeCell ref="X26:Y27"/>
    <mergeCell ref="AB30:AC31"/>
    <mergeCell ref="T10:U11"/>
    <mergeCell ref="T12:U13"/>
    <mergeCell ref="T14:U15"/>
    <mergeCell ref="T16:U17"/>
    <mergeCell ref="V24:W25"/>
    <mergeCell ref="X24:Y25"/>
    <mergeCell ref="AB10:AC11"/>
    <mergeCell ref="AB12:AC13"/>
    <mergeCell ref="AB14:AC15"/>
    <mergeCell ref="AB16:AC17"/>
    <mergeCell ref="V8:W9"/>
    <mergeCell ref="V10:W11"/>
    <mergeCell ref="V12:W13"/>
    <mergeCell ref="V14:W15"/>
    <mergeCell ref="V16:W17"/>
    <mergeCell ref="X8:Y9"/>
    <mergeCell ref="X10:Y11"/>
    <mergeCell ref="X12:Y13"/>
    <mergeCell ref="X14:Y15"/>
    <mergeCell ref="X16:Y17"/>
    <mergeCell ref="Z10:AA11"/>
    <mergeCell ref="Z12:AA13"/>
    <mergeCell ref="T18:U19"/>
    <mergeCell ref="Z14:AA15"/>
    <mergeCell ref="Z16:AA17"/>
    <mergeCell ref="AB18:AC19"/>
    <mergeCell ref="V18:W19"/>
    <mergeCell ref="X18:Y19"/>
    <mergeCell ref="Z18:AA19"/>
    <mergeCell ref="L36:M37"/>
    <mergeCell ref="P88:Q89"/>
    <mergeCell ref="P90:Q91"/>
    <mergeCell ref="P98:Q99"/>
    <mergeCell ref="L68:M69"/>
    <mergeCell ref="N68:O69"/>
    <mergeCell ref="P68:Q69"/>
    <mergeCell ref="R68:S69"/>
    <mergeCell ref="L94:M95"/>
    <mergeCell ref="N94:O95"/>
    <mergeCell ref="N38:O39"/>
    <mergeCell ref="P38:Q39"/>
    <mergeCell ref="R38:S39"/>
    <mergeCell ref="P82:Q83"/>
    <mergeCell ref="R82:S83"/>
    <mergeCell ref="N44:O45"/>
    <mergeCell ref="P44:Q45"/>
    <mergeCell ref="R44:S45"/>
    <mergeCell ref="N66:O67"/>
    <mergeCell ref="N78:O79"/>
    <mergeCell ref="P78:Q79"/>
    <mergeCell ref="R78:S79"/>
    <mergeCell ref="R52:S53"/>
    <mergeCell ref="P104:Q105"/>
    <mergeCell ref="R88:S89"/>
    <mergeCell ref="R90:S91"/>
    <mergeCell ref="R98:S99"/>
    <mergeCell ref="R100:S101"/>
    <mergeCell ref="R104:S105"/>
    <mergeCell ref="P70:Q71"/>
    <mergeCell ref="R70:S71"/>
    <mergeCell ref="J88:K89"/>
    <mergeCell ref="J90:K91"/>
    <mergeCell ref="L88:M89"/>
    <mergeCell ref="L90:M91"/>
    <mergeCell ref="N88:O89"/>
    <mergeCell ref="N90:O91"/>
    <mergeCell ref="P84:Q85"/>
    <mergeCell ref="R84:S85"/>
    <mergeCell ref="N80:O81"/>
    <mergeCell ref="P80:Q81"/>
    <mergeCell ref="R80:S81"/>
    <mergeCell ref="R72:S73"/>
    <mergeCell ref="N84:O85"/>
    <mergeCell ref="L72:M73"/>
    <mergeCell ref="L70:M71"/>
    <mergeCell ref="N70:O71"/>
    <mergeCell ref="N98:O99"/>
    <mergeCell ref="N100:O101"/>
    <mergeCell ref="N104:O105"/>
    <mergeCell ref="J82:K83"/>
    <mergeCell ref="L82:M83"/>
    <mergeCell ref="N82:O83"/>
    <mergeCell ref="J94:K95"/>
    <mergeCell ref="L98:M99"/>
    <mergeCell ref="J16:K17"/>
    <mergeCell ref="L16:M17"/>
    <mergeCell ref="N16:O17"/>
    <mergeCell ref="P16:Q17"/>
    <mergeCell ref="R16:S17"/>
    <mergeCell ref="N26:O27"/>
    <mergeCell ref="P26:Q27"/>
    <mergeCell ref="R26:S27"/>
    <mergeCell ref="J30:K31"/>
    <mergeCell ref="L30:M31"/>
    <mergeCell ref="N24:O25"/>
    <mergeCell ref="P24:Q25"/>
    <mergeCell ref="R24:S25"/>
    <mergeCell ref="J26:K27"/>
    <mergeCell ref="L26:M27"/>
    <mergeCell ref="J28:K29"/>
    <mergeCell ref="L28:M29"/>
    <mergeCell ref="R28:S29"/>
    <mergeCell ref="P28:Q29"/>
    <mergeCell ref="N28:O29"/>
    <mergeCell ref="N30:O31"/>
    <mergeCell ref="P30:Q31"/>
    <mergeCell ref="R30:S31"/>
    <mergeCell ref="J18:K19"/>
    <mergeCell ref="L18:M19"/>
    <mergeCell ref="N18:O19"/>
    <mergeCell ref="P18:Q19"/>
    <mergeCell ref="R18:S19"/>
    <mergeCell ref="J20:K21"/>
    <mergeCell ref="L20:M21"/>
    <mergeCell ref="N20:O21"/>
    <mergeCell ref="P20:Q21"/>
    <mergeCell ref="L14:M15"/>
    <mergeCell ref="N8:O9"/>
    <mergeCell ref="N10:O11"/>
    <mergeCell ref="N12:O13"/>
    <mergeCell ref="N14:O15"/>
    <mergeCell ref="P8:Q9"/>
    <mergeCell ref="P10:Q11"/>
    <mergeCell ref="P12:Q13"/>
    <mergeCell ref="P14:Q15"/>
    <mergeCell ref="R14:S15"/>
    <mergeCell ref="R12:S13"/>
    <mergeCell ref="R10:S11"/>
    <mergeCell ref="R8:S9"/>
    <mergeCell ref="P72:Q73"/>
    <mergeCell ref="N86:O87"/>
    <mergeCell ref="P86:Q87"/>
    <mergeCell ref="R86:S87"/>
    <mergeCell ref="P32:Q33"/>
    <mergeCell ref="P34:Q35"/>
    <mergeCell ref="P36:Q37"/>
    <mergeCell ref="N54:O55"/>
    <mergeCell ref="P52:Q53"/>
    <mergeCell ref="P54:Q55"/>
    <mergeCell ref="N60:O61"/>
    <mergeCell ref="N64:O65"/>
    <mergeCell ref="P60:Q61"/>
    <mergeCell ref="P64:Q65"/>
    <mergeCell ref="R64:S65"/>
    <mergeCell ref="R60:S61"/>
    <mergeCell ref="R54:S55"/>
    <mergeCell ref="P66:Q67"/>
    <mergeCell ref="R66:S67"/>
    <mergeCell ref="BI14:BN33"/>
    <mergeCell ref="BI34:BN53"/>
    <mergeCell ref="BI54:BN73"/>
    <mergeCell ref="BI74:BN97"/>
    <mergeCell ref="E46:I65"/>
    <mergeCell ref="E86:I105"/>
    <mergeCell ref="J106:S111"/>
    <mergeCell ref="T106:AC111"/>
    <mergeCell ref="AD106:AM111"/>
    <mergeCell ref="Z24:AA25"/>
    <mergeCell ref="AB24:AC25"/>
    <mergeCell ref="AD6:AE7"/>
    <mergeCell ref="AJ6:AK7"/>
    <mergeCell ref="AL6:AM7"/>
    <mergeCell ref="AD8:AE9"/>
    <mergeCell ref="AJ8:AK9"/>
    <mergeCell ref="AL8:AM9"/>
    <mergeCell ref="Z6:AA7"/>
    <mergeCell ref="AB6:AC7"/>
    <mergeCell ref="AN6:AO7"/>
    <mergeCell ref="AT6:AU7"/>
    <mergeCell ref="AN24:AO25"/>
    <mergeCell ref="AT24:AU25"/>
    <mergeCell ref="AN26:AO27"/>
    <mergeCell ref="AL10:AM11"/>
    <mergeCell ref="AD12:AE13"/>
    <mergeCell ref="AF12:AG13"/>
    <mergeCell ref="AH12:AI13"/>
    <mergeCell ref="AJ12:AK13"/>
    <mergeCell ref="AL12:AM13"/>
    <mergeCell ref="N6:O7"/>
    <mergeCell ref="AN106:AW111"/>
    <mergeCell ref="AX106:BG111"/>
    <mergeCell ref="T6:U7"/>
    <mergeCell ref="T24:U25"/>
    <mergeCell ref="L6:M7"/>
    <mergeCell ref="L8:M9"/>
    <mergeCell ref="J8:K9"/>
    <mergeCell ref="E66:I85"/>
    <mergeCell ref="T8:U9"/>
    <mergeCell ref="Z8:AA9"/>
    <mergeCell ref="AB8:AC9"/>
    <mergeCell ref="J24:K25"/>
    <mergeCell ref="L24:M25"/>
    <mergeCell ref="AV6:AW7"/>
    <mergeCell ref="AN8:AO9"/>
    <mergeCell ref="AT8:AU9"/>
    <mergeCell ref="AV8:AW9"/>
    <mergeCell ref="AD24:AE25"/>
    <mergeCell ref="AJ24:AK25"/>
    <mergeCell ref="AL24:AM25"/>
    <mergeCell ref="AF6:AG7"/>
    <mergeCell ref="AH6:AI7"/>
    <mergeCell ref="AF8:AG9"/>
    <mergeCell ref="AH8:AI9"/>
    <mergeCell ref="AD10:AE11"/>
    <mergeCell ref="AF10:AG11"/>
    <mergeCell ref="AH10:AI11"/>
    <mergeCell ref="AJ10:AK11"/>
    <mergeCell ref="R6:S7"/>
    <mergeCell ref="P6:Q7"/>
    <mergeCell ref="J10:K11"/>
    <mergeCell ref="J12:K13"/>
    <mergeCell ref="AJ28:AK29"/>
    <mergeCell ref="AL28:AM29"/>
    <mergeCell ref="AT16:AU17"/>
    <mergeCell ref="AV16:AW17"/>
    <mergeCell ref="AP24:AQ25"/>
    <mergeCell ref="AR24:AS25"/>
    <mergeCell ref="AF26:AG27"/>
    <mergeCell ref="AH26:AI27"/>
    <mergeCell ref="AF28:AG29"/>
    <mergeCell ref="AH28:AI29"/>
    <mergeCell ref="AT22:AU23"/>
    <mergeCell ref="AN100:AO101"/>
    <mergeCell ref="AT100:AU101"/>
    <mergeCell ref="AV100:AW101"/>
    <mergeCell ref="AP84:AQ85"/>
    <mergeCell ref="AR84:AS85"/>
    <mergeCell ref="AP86:AQ87"/>
    <mergeCell ref="AR86:AS87"/>
    <mergeCell ref="AN88:AO89"/>
    <mergeCell ref="AP88:AQ89"/>
    <mergeCell ref="AR88:AS89"/>
    <mergeCell ref="AN80:AO81"/>
    <mergeCell ref="AP98:AQ99"/>
    <mergeCell ref="AR98:AS99"/>
    <mergeCell ref="AP68:AQ69"/>
    <mergeCell ref="AR68:AS69"/>
    <mergeCell ref="AT68:AU69"/>
    <mergeCell ref="AV68:AW69"/>
    <mergeCell ref="AV92:AW93"/>
    <mergeCell ref="AN94:AO95"/>
    <mergeCell ref="AP94:AQ95"/>
    <mergeCell ref="AR94:AS95"/>
    <mergeCell ref="AN96:AO97"/>
    <mergeCell ref="AP96:AQ97"/>
    <mergeCell ref="AR96:AS97"/>
    <mergeCell ref="AN64:AO65"/>
    <mergeCell ref="AT64:AU65"/>
    <mergeCell ref="AP92:AQ93"/>
    <mergeCell ref="AR92:AS93"/>
    <mergeCell ref="AT92:AU93"/>
    <mergeCell ref="AV84:AW85"/>
    <mergeCell ref="AT96:AU97"/>
    <mergeCell ref="AV96:AW97"/>
    <mergeCell ref="AV74:AW75"/>
    <mergeCell ref="AN104:AO105"/>
    <mergeCell ref="AT104:AU105"/>
    <mergeCell ref="AV104:AW105"/>
    <mergeCell ref="AN86:AO87"/>
    <mergeCell ref="AT86:AU87"/>
    <mergeCell ref="AV86:AW87"/>
    <mergeCell ref="AN98:AO99"/>
    <mergeCell ref="AT98:AU99"/>
    <mergeCell ref="AV98:AW99"/>
    <mergeCell ref="AT88:AU89"/>
    <mergeCell ref="AV88:AW89"/>
    <mergeCell ref="AN90:AO91"/>
    <mergeCell ref="AP90:AQ91"/>
    <mergeCell ref="AR90:AS91"/>
    <mergeCell ref="AT90:AU91"/>
    <mergeCell ref="AV90:AW91"/>
    <mergeCell ref="AP100:AQ101"/>
    <mergeCell ref="AR100:AS101"/>
    <mergeCell ref="AP104:AQ105"/>
    <mergeCell ref="AR104:AS105"/>
    <mergeCell ref="AR102:AS103"/>
    <mergeCell ref="AT102:AU103"/>
    <mergeCell ref="AV102:AW103"/>
    <mergeCell ref="BD24:BE25"/>
    <mergeCell ref="BF24:BG25"/>
    <mergeCell ref="AX6:AY7"/>
    <mergeCell ref="BD6:BE7"/>
    <mergeCell ref="BF6:BG7"/>
    <mergeCell ref="AX8:AY9"/>
    <mergeCell ref="BD8:BE9"/>
    <mergeCell ref="BF8:BG9"/>
    <mergeCell ref="BD16:BE17"/>
    <mergeCell ref="BD14:BE15"/>
    <mergeCell ref="BD12:BE13"/>
    <mergeCell ref="BD10:BE11"/>
    <mergeCell ref="BF16:BG17"/>
    <mergeCell ref="BF14:BG15"/>
    <mergeCell ref="BF12:BG13"/>
    <mergeCell ref="BF10:BG11"/>
    <mergeCell ref="AZ6:BA7"/>
    <mergeCell ref="BB6:BC7"/>
    <mergeCell ref="BB8:BC9"/>
    <mergeCell ref="AZ8:BA9"/>
    <mergeCell ref="AZ10:BA11"/>
    <mergeCell ref="AZ12:BA13"/>
    <mergeCell ref="AZ14:BA15"/>
    <mergeCell ref="BB24:BC25"/>
    <mergeCell ref="BD18:BE19"/>
    <mergeCell ref="BF18:BG19"/>
    <mergeCell ref="BD20:BE21"/>
    <mergeCell ref="BF20:BG21"/>
    <mergeCell ref="BD22:BE23"/>
    <mergeCell ref="BF22:BG23"/>
    <mergeCell ref="AZ16:BA17"/>
    <mergeCell ref="BB16:BC17"/>
    <mergeCell ref="AZ48:BA49"/>
    <mergeCell ref="AX48:AY49"/>
    <mergeCell ref="BD34:BE35"/>
    <mergeCell ref="BF34:BG35"/>
    <mergeCell ref="AX26:AY27"/>
    <mergeCell ref="BD26:BE27"/>
    <mergeCell ref="BF26:BG27"/>
    <mergeCell ref="AX28:AY29"/>
    <mergeCell ref="BD28:BE29"/>
    <mergeCell ref="BF28:BG29"/>
    <mergeCell ref="AX30:AY31"/>
    <mergeCell ref="AZ30:BA31"/>
    <mergeCell ref="BB30:BC31"/>
    <mergeCell ref="BD30:BE31"/>
    <mergeCell ref="BF30:BG31"/>
    <mergeCell ref="AX32:AY33"/>
    <mergeCell ref="AZ32:BA33"/>
    <mergeCell ref="BB32:BC33"/>
    <mergeCell ref="BD32:BE33"/>
    <mergeCell ref="BF32:BG33"/>
    <mergeCell ref="AZ34:BA35"/>
    <mergeCell ref="BB34:BC35"/>
    <mergeCell ref="AZ26:BA27"/>
    <mergeCell ref="BB26:BC27"/>
    <mergeCell ref="AZ28:BA29"/>
    <mergeCell ref="BB28:BC29"/>
    <mergeCell ref="BF36:BG37"/>
    <mergeCell ref="AX20:AY21"/>
    <mergeCell ref="AZ20:BA21"/>
    <mergeCell ref="BD82:BE83"/>
    <mergeCell ref="BF82:BG83"/>
    <mergeCell ref="BD78:BE79"/>
    <mergeCell ref="BF78:BG79"/>
    <mergeCell ref="AZ94:BA95"/>
    <mergeCell ref="BB94:BC95"/>
    <mergeCell ref="BD40:BE41"/>
    <mergeCell ref="BF40:BG41"/>
    <mergeCell ref="AX42:AY43"/>
    <mergeCell ref="AZ42:BA43"/>
    <mergeCell ref="BB42:BC43"/>
    <mergeCell ref="BD42:BE43"/>
    <mergeCell ref="BD50:BE51"/>
    <mergeCell ref="BF50:BG51"/>
    <mergeCell ref="AX52:AY53"/>
    <mergeCell ref="AZ52:BA53"/>
    <mergeCell ref="AX66:AY67"/>
    <mergeCell ref="BD66:BE67"/>
    <mergeCell ref="BF66:BG67"/>
    <mergeCell ref="AZ66:BA67"/>
    <mergeCell ref="BB66:BC67"/>
    <mergeCell ref="BD46:BE47"/>
    <mergeCell ref="BF46:BG47"/>
    <mergeCell ref="BF42:BG43"/>
    <mergeCell ref="BD44:BE45"/>
    <mergeCell ref="BF44:BG45"/>
    <mergeCell ref="BD56:BE57"/>
    <mergeCell ref="BF56:BG57"/>
    <mergeCell ref="BD58:BE59"/>
    <mergeCell ref="BF58:BG59"/>
    <mergeCell ref="AZ46:BA47"/>
    <mergeCell ref="BB46:BC47"/>
    <mergeCell ref="AZ68:BA69"/>
    <mergeCell ref="BB68:BC69"/>
    <mergeCell ref="BD68:BE69"/>
    <mergeCell ref="BF68:BG69"/>
    <mergeCell ref="AX70:AY71"/>
    <mergeCell ref="AZ70:BA71"/>
    <mergeCell ref="BB70:BC71"/>
    <mergeCell ref="BD70:BE71"/>
    <mergeCell ref="BF70:BG71"/>
    <mergeCell ref="AZ54:BA55"/>
    <mergeCell ref="BB54:BC55"/>
    <mergeCell ref="AZ60:BA61"/>
    <mergeCell ref="BB60:BC61"/>
    <mergeCell ref="BD54:BE55"/>
    <mergeCell ref="BF54:BG55"/>
    <mergeCell ref="AX62:AY63"/>
    <mergeCell ref="AZ62:BA63"/>
    <mergeCell ref="BD62:BE63"/>
    <mergeCell ref="BF62:BG63"/>
    <mergeCell ref="BB52:BC53"/>
    <mergeCell ref="BD52:BE53"/>
    <mergeCell ref="BF52:BG53"/>
    <mergeCell ref="AZ64:BA65"/>
    <mergeCell ref="BB64:BC65"/>
    <mergeCell ref="BD100:BE101"/>
    <mergeCell ref="BF100:BG101"/>
    <mergeCell ref="AX104:AY105"/>
    <mergeCell ref="BD104:BE105"/>
    <mergeCell ref="BF104:BG105"/>
    <mergeCell ref="AX86:AY87"/>
    <mergeCell ref="BD86:BE87"/>
    <mergeCell ref="BF86:BG87"/>
    <mergeCell ref="AX98:AY99"/>
    <mergeCell ref="BD98:BE99"/>
    <mergeCell ref="BF98:BG99"/>
    <mergeCell ref="AX90:AY91"/>
    <mergeCell ref="AZ90:BA91"/>
    <mergeCell ref="BB90:BC91"/>
    <mergeCell ref="BD90:BE91"/>
    <mergeCell ref="BF90:BG91"/>
    <mergeCell ref="AZ98:BA99"/>
    <mergeCell ref="BB98:BC99"/>
    <mergeCell ref="AZ100:BA101"/>
    <mergeCell ref="BB100:BC101"/>
    <mergeCell ref="AZ104:BA105"/>
    <mergeCell ref="BB104:BC105"/>
    <mergeCell ref="AX100:AY101"/>
    <mergeCell ref="BB102:BC103"/>
    <mergeCell ref="BD88:BE89"/>
    <mergeCell ref="BF88:BG89"/>
    <mergeCell ref="AX94:AY95"/>
    <mergeCell ref="AX88:AY89"/>
    <mergeCell ref="AZ88:BA89"/>
    <mergeCell ref="BB88:BC89"/>
    <mergeCell ref="AX102:AY103"/>
    <mergeCell ref="AZ102:BA103"/>
    <mergeCell ref="L32:M33"/>
    <mergeCell ref="T34:U35"/>
    <mergeCell ref="Z34:AA35"/>
    <mergeCell ref="J34:K35"/>
    <mergeCell ref="L34:M35"/>
    <mergeCell ref="J32:K33"/>
    <mergeCell ref="J36:K37"/>
    <mergeCell ref="R32:S33"/>
    <mergeCell ref="R34:S35"/>
    <mergeCell ref="R36:S37"/>
    <mergeCell ref="T54:U55"/>
    <mergeCell ref="AB68:AC69"/>
    <mergeCell ref="X66:Y67"/>
    <mergeCell ref="V66:W67"/>
    <mergeCell ref="V68:W69"/>
    <mergeCell ref="AB54:AC55"/>
    <mergeCell ref="T50:U51"/>
    <mergeCell ref="T52:U53"/>
    <mergeCell ref="AB52:AC53"/>
    <mergeCell ref="AB50:AC51"/>
    <mergeCell ref="V48:W49"/>
    <mergeCell ref="N32:O33"/>
    <mergeCell ref="N34:O35"/>
    <mergeCell ref="N36:O37"/>
    <mergeCell ref="L48:M49"/>
    <mergeCell ref="L50:M51"/>
    <mergeCell ref="L52:M53"/>
    <mergeCell ref="N48:O49"/>
    <mergeCell ref="N50:O51"/>
    <mergeCell ref="P50:Q51"/>
    <mergeCell ref="N52:O53"/>
    <mergeCell ref="R48:S49"/>
    <mergeCell ref="T90:U91"/>
    <mergeCell ref="T98:U99"/>
    <mergeCell ref="AJ58:AK59"/>
    <mergeCell ref="AD84:AE85"/>
    <mergeCell ref="AJ84:AK85"/>
    <mergeCell ref="AL84:AM85"/>
    <mergeCell ref="AD66:AE67"/>
    <mergeCell ref="AJ66:AK67"/>
    <mergeCell ref="AL66:AM67"/>
    <mergeCell ref="AF84:AG85"/>
    <mergeCell ref="AH84:AI85"/>
    <mergeCell ref="AD68:AE69"/>
    <mergeCell ref="AF68:AG69"/>
    <mergeCell ref="AD70:AE71"/>
    <mergeCell ref="AD72:AE73"/>
    <mergeCell ref="AF66:AG67"/>
    <mergeCell ref="AH66:AI67"/>
    <mergeCell ref="AL68:AM69"/>
    <mergeCell ref="AL70:AM71"/>
    <mergeCell ref="AL72:AM73"/>
    <mergeCell ref="AF70:AG71"/>
    <mergeCell ref="AJ76:AK77"/>
    <mergeCell ref="AL76:AM77"/>
    <mergeCell ref="AD78:AE79"/>
    <mergeCell ref="AD86:AE87"/>
    <mergeCell ref="AJ86:AK87"/>
    <mergeCell ref="AL86:AM87"/>
    <mergeCell ref="AD98:AE99"/>
    <mergeCell ref="AD82:AE83"/>
    <mergeCell ref="AJ68:AK69"/>
    <mergeCell ref="AJ70:AK71"/>
    <mergeCell ref="AF78:AG79"/>
    <mergeCell ref="AH104:AI105"/>
    <mergeCell ref="AD94:AE95"/>
    <mergeCell ref="AF94:AG95"/>
    <mergeCell ref="AF98:AG99"/>
    <mergeCell ref="AF100:AG101"/>
    <mergeCell ref="AH100:AI101"/>
    <mergeCell ref="AL52:AM53"/>
    <mergeCell ref="AF54:AG55"/>
    <mergeCell ref="AJ74:AK75"/>
    <mergeCell ref="AL74:AM75"/>
    <mergeCell ref="AD76:AE77"/>
    <mergeCell ref="AH98:AI99"/>
    <mergeCell ref="T80:U81"/>
    <mergeCell ref="Z80:AA81"/>
    <mergeCell ref="AB80:AC81"/>
    <mergeCell ref="T84:U85"/>
    <mergeCell ref="Z84:AA85"/>
    <mergeCell ref="AB84:AC85"/>
    <mergeCell ref="T66:U67"/>
    <mergeCell ref="Z66:AA67"/>
    <mergeCell ref="AB66:AC67"/>
    <mergeCell ref="T68:U69"/>
    <mergeCell ref="T70:U71"/>
    <mergeCell ref="T72:U73"/>
    <mergeCell ref="V84:W85"/>
    <mergeCell ref="X84:Y85"/>
    <mergeCell ref="AB72:AC73"/>
    <mergeCell ref="AB70:AC71"/>
    <mergeCell ref="V70:W71"/>
    <mergeCell ref="T82:U83"/>
    <mergeCell ref="T86:U87"/>
    <mergeCell ref="T88:U89"/>
    <mergeCell ref="B2:I4"/>
    <mergeCell ref="J80:K81"/>
    <mergeCell ref="L80:M81"/>
    <mergeCell ref="J84:K85"/>
    <mergeCell ref="L84:M85"/>
    <mergeCell ref="J66:K67"/>
    <mergeCell ref="L66:M67"/>
    <mergeCell ref="J68:K69"/>
    <mergeCell ref="J70:K71"/>
    <mergeCell ref="J72:K73"/>
    <mergeCell ref="J60:K61"/>
    <mergeCell ref="L60:M61"/>
    <mergeCell ref="J64:K65"/>
    <mergeCell ref="L64:M65"/>
    <mergeCell ref="J2:BG4"/>
    <mergeCell ref="E6:I25"/>
    <mergeCell ref="E26:I45"/>
    <mergeCell ref="J6:K7"/>
    <mergeCell ref="T26:U27"/>
    <mergeCell ref="Z26:AA27"/>
    <mergeCell ref="AB26:AC27"/>
    <mergeCell ref="T28:U29"/>
    <mergeCell ref="Z28:AA29"/>
    <mergeCell ref="AB28:AC29"/>
    <mergeCell ref="T36:U37"/>
    <mergeCell ref="T32:U33"/>
    <mergeCell ref="T30:U31"/>
    <mergeCell ref="J54:K55"/>
    <mergeCell ref="L54:M55"/>
    <mergeCell ref="J48:K49"/>
    <mergeCell ref="J50:K51"/>
    <mergeCell ref="J52:K53"/>
    <mergeCell ref="B6:D105"/>
    <mergeCell ref="J14:K15"/>
    <mergeCell ref="L10:M11"/>
    <mergeCell ref="L12:M13"/>
    <mergeCell ref="J100:K101"/>
    <mergeCell ref="L100:M101"/>
    <mergeCell ref="J104:K105"/>
    <mergeCell ref="L104:M105"/>
    <mergeCell ref="J86:K87"/>
    <mergeCell ref="L86:M87"/>
    <mergeCell ref="J98:K99"/>
    <mergeCell ref="AD104:AE105"/>
    <mergeCell ref="AJ104:AK105"/>
    <mergeCell ref="AL104:AM105"/>
    <mergeCell ref="AJ98:AK99"/>
    <mergeCell ref="AL98:AM99"/>
    <mergeCell ref="AF86:AG87"/>
    <mergeCell ref="AH86:AI87"/>
    <mergeCell ref="AD88:AE89"/>
    <mergeCell ref="AF88:AG89"/>
    <mergeCell ref="AH88:AI89"/>
    <mergeCell ref="AJ88:AK89"/>
    <mergeCell ref="AL88:AM89"/>
    <mergeCell ref="AD90:AE91"/>
    <mergeCell ref="AF90:AG91"/>
    <mergeCell ref="AH90:AI91"/>
    <mergeCell ref="AJ90:AK91"/>
    <mergeCell ref="AL90:AM91"/>
    <mergeCell ref="AD100:AE101"/>
    <mergeCell ref="AJ100:AK101"/>
    <mergeCell ref="AL100:AM101"/>
    <mergeCell ref="AF104:AG10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C6" sqref="C6"/>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55"/>
      <c r="B1" s="523" t="s">
        <v>49</v>
      </c>
      <c r="C1" s="523"/>
      <c r="D1" s="523"/>
      <c r="E1" s="55"/>
      <c r="F1" s="55"/>
      <c r="G1" s="55"/>
      <c r="H1" s="55"/>
      <c r="I1" s="55"/>
      <c r="J1" s="55"/>
      <c r="K1" s="55"/>
      <c r="L1" s="55"/>
      <c r="M1" s="55"/>
      <c r="N1" s="55"/>
      <c r="O1" s="55"/>
      <c r="P1" s="55"/>
      <c r="Q1" s="55"/>
      <c r="R1" s="55"/>
      <c r="S1" s="55"/>
      <c r="T1" s="55"/>
      <c r="U1" s="55"/>
      <c r="V1" s="55"/>
      <c r="W1" s="55"/>
      <c r="X1" s="55"/>
      <c r="Y1" s="55"/>
      <c r="Z1" s="55"/>
      <c r="AA1" s="55"/>
      <c r="AB1" s="55"/>
      <c r="AC1" s="55"/>
      <c r="AD1" s="55"/>
      <c r="AE1" s="55"/>
    </row>
    <row r="2" spans="1:37" x14ac:dyDescent="0.25">
      <c r="A2" s="55"/>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row>
    <row r="3" spans="1:37" ht="25.5" x14ac:dyDescent="0.25">
      <c r="A3" s="55"/>
      <c r="B3" s="6"/>
      <c r="C3" s="7" t="s">
        <v>46</v>
      </c>
      <c r="D3" s="7" t="s">
        <v>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row>
    <row r="4" spans="1:37" ht="51" x14ac:dyDescent="0.25">
      <c r="A4" s="55"/>
      <c r="B4" s="8" t="s">
        <v>45</v>
      </c>
      <c r="C4" s="9" t="s">
        <v>93</v>
      </c>
      <c r="D4" s="10">
        <v>0.2</v>
      </c>
      <c r="E4" s="55"/>
      <c r="F4" s="55"/>
      <c r="G4" s="55"/>
      <c r="H4" s="55"/>
      <c r="I4" s="55"/>
      <c r="J4" s="55"/>
      <c r="K4" s="55"/>
      <c r="L4" s="55"/>
      <c r="M4" s="55"/>
      <c r="N4" s="55"/>
      <c r="O4" s="55"/>
      <c r="P4" s="55"/>
      <c r="Q4" s="55"/>
      <c r="R4" s="55"/>
      <c r="S4" s="55"/>
      <c r="T4" s="55"/>
      <c r="U4" s="55"/>
      <c r="V4" s="55"/>
      <c r="W4" s="55"/>
      <c r="X4" s="55"/>
      <c r="Y4" s="55"/>
      <c r="Z4" s="55"/>
      <c r="AA4" s="55"/>
      <c r="AB4" s="55"/>
      <c r="AC4" s="55"/>
      <c r="AD4" s="55"/>
      <c r="AE4" s="55"/>
    </row>
    <row r="5" spans="1:37" ht="51" x14ac:dyDescent="0.25">
      <c r="A5" s="55"/>
      <c r="B5" s="11" t="s">
        <v>47</v>
      </c>
      <c r="C5" s="12" t="s">
        <v>94</v>
      </c>
      <c r="D5" s="13">
        <v>0.4</v>
      </c>
      <c r="E5" s="55"/>
      <c r="F5" s="55"/>
      <c r="G5" s="55"/>
      <c r="H5" s="55"/>
      <c r="I5" s="55"/>
      <c r="J5" s="55"/>
      <c r="K5" s="55"/>
      <c r="L5" s="55"/>
      <c r="M5" s="55"/>
      <c r="N5" s="55"/>
      <c r="O5" s="55"/>
      <c r="P5" s="55"/>
      <c r="Q5" s="55"/>
      <c r="R5" s="55"/>
      <c r="S5" s="55"/>
      <c r="T5" s="55"/>
      <c r="U5" s="55"/>
      <c r="V5" s="55"/>
      <c r="W5" s="55"/>
      <c r="X5" s="55"/>
      <c r="Y5" s="55"/>
      <c r="Z5" s="55"/>
      <c r="AA5" s="55"/>
      <c r="AB5" s="55"/>
      <c r="AC5" s="55"/>
      <c r="AD5" s="55"/>
      <c r="AE5" s="55"/>
    </row>
    <row r="6" spans="1:37" ht="51" x14ac:dyDescent="0.25">
      <c r="A6" s="55"/>
      <c r="B6" s="14" t="s">
        <v>98</v>
      </c>
      <c r="C6" s="12" t="s">
        <v>95</v>
      </c>
      <c r="D6" s="13">
        <v>0.6</v>
      </c>
      <c r="E6" s="55"/>
      <c r="F6" s="55"/>
      <c r="G6" s="55"/>
      <c r="H6" s="55"/>
      <c r="I6" s="55"/>
      <c r="J6" s="55"/>
      <c r="K6" s="55"/>
      <c r="L6" s="55"/>
      <c r="M6" s="55"/>
      <c r="N6" s="55"/>
      <c r="O6" s="55"/>
      <c r="P6" s="55"/>
      <c r="Q6" s="55"/>
      <c r="R6" s="55"/>
      <c r="S6" s="55"/>
      <c r="T6" s="55"/>
      <c r="U6" s="55"/>
      <c r="V6" s="55"/>
      <c r="W6" s="55"/>
      <c r="X6" s="55"/>
      <c r="Y6" s="55"/>
      <c r="Z6" s="55"/>
      <c r="AA6" s="55"/>
      <c r="AB6" s="55"/>
      <c r="AC6" s="55"/>
      <c r="AD6" s="55"/>
      <c r="AE6" s="55"/>
    </row>
    <row r="7" spans="1:37" ht="76.5" x14ac:dyDescent="0.25">
      <c r="A7" s="55"/>
      <c r="B7" s="15" t="s">
        <v>6</v>
      </c>
      <c r="C7" s="12" t="s">
        <v>96</v>
      </c>
      <c r="D7" s="13">
        <v>0.8</v>
      </c>
      <c r="E7" s="55"/>
      <c r="F7" s="55"/>
      <c r="G7" s="55"/>
      <c r="H7" s="55"/>
      <c r="I7" s="55"/>
      <c r="J7" s="55"/>
      <c r="K7" s="55"/>
      <c r="L7" s="55"/>
      <c r="M7" s="55"/>
      <c r="N7" s="55"/>
      <c r="O7" s="55"/>
      <c r="P7" s="55"/>
      <c r="Q7" s="55"/>
      <c r="R7" s="55"/>
      <c r="S7" s="55"/>
      <c r="T7" s="55"/>
      <c r="U7" s="55"/>
      <c r="V7" s="55"/>
      <c r="W7" s="55"/>
      <c r="X7" s="55"/>
      <c r="Y7" s="55"/>
      <c r="Z7" s="55"/>
      <c r="AA7" s="55"/>
      <c r="AB7" s="55"/>
      <c r="AC7" s="55"/>
      <c r="AD7" s="55"/>
      <c r="AE7" s="55"/>
    </row>
    <row r="8" spans="1:37" ht="51" x14ac:dyDescent="0.25">
      <c r="A8" s="55"/>
      <c r="B8" s="16" t="s">
        <v>48</v>
      </c>
      <c r="C8" s="12" t="s">
        <v>97</v>
      </c>
      <c r="D8" s="13">
        <v>1</v>
      </c>
      <c r="E8" s="55"/>
      <c r="F8" s="55"/>
      <c r="G8" s="55"/>
      <c r="H8" s="55"/>
      <c r="I8" s="55"/>
      <c r="J8" s="55"/>
      <c r="K8" s="55"/>
      <c r="L8" s="55"/>
      <c r="M8" s="55"/>
      <c r="N8" s="55"/>
      <c r="O8" s="55"/>
      <c r="P8" s="55"/>
      <c r="Q8" s="55"/>
      <c r="R8" s="55"/>
      <c r="S8" s="55"/>
      <c r="T8" s="55"/>
      <c r="U8" s="55"/>
      <c r="V8" s="55"/>
      <c r="W8" s="55"/>
      <c r="X8" s="55"/>
      <c r="Y8" s="55"/>
      <c r="Z8" s="55"/>
      <c r="AA8" s="55"/>
      <c r="AB8" s="55"/>
      <c r="AC8" s="55"/>
      <c r="AD8" s="55"/>
      <c r="AE8" s="55"/>
    </row>
    <row r="9" spans="1:37" x14ac:dyDescent="0.25">
      <c r="A9" s="55"/>
      <c r="B9" s="79"/>
      <c r="C9" s="79"/>
      <c r="D9" s="79"/>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row>
    <row r="10" spans="1:37" ht="16.5" x14ac:dyDescent="0.25">
      <c r="A10" s="55"/>
      <c r="B10" s="80"/>
      <c r="C10" s="79"/>
      <c r="D10" s="79"/>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row>
    <row r="11" spans="1:37" x14ac:dyDescent="0.25">
      <c r="A11" s="55"/>
      <c r="B11" s="79"/>
      <c r="C11" s="79"/>
      <c r="D11" s="79"/>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row>
    <row r="12" spans="1:37" x14ac:dyDescent="0.25">
      <c r="A12" s="55"/>
      <c r="B12" s="79"/>
      <c r="C12" s="79"/>
      <c r="D12" s="79"/>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row>
    <row r="13" spans="1:37" x14ac:dyDescent="0.25">
      <c r="A13" s="55"/>
      <c r="B13" s="79"/>
      <c r="C13" s="79"/>
      <c r="D13" s="79"/>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row>
    <row r="14" spans="1:37" x14ac:dyDescent="0.25">
      <c r="A14" s="55"/>
      <c r="B14" s="79"/>
      <c r="C14" s="79"/>
      <c r="D14" s="79"/>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row>
    <row r="15" spans="1:37" x14ac:dyDescent="0.25">
      <c r="A15" s="55"/>
      <c r="B15" s="79"/>
      <c r="C15" s="79"/>
      <c r="D15" s="79"/>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row>
    <row r="16" spans="1:37" x14ac:dyDescent="0.25">
      <c r="A16" s="55"/>
      <c r="B16" s="79"/>
      <c r="C16" s="79"/>
      <c r="D16" s="79"/>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row>
    <row r="17" spans="1:37" x14ac:dyDescent="0.25">
      <c r="A17" s="55"/>
      <c r="B17" s="79"/>
      <c r="C17" s="79"/>
      <c r="D17" s="79"/>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row>
    <row r="18" spans="1:37" x14ac:dyDescent="0.25">
      <c r="A18" s="55"/>
      <c r="B18" s="79"/>
      <c r="C18" s="79"/>
      <c r="D18" s="79"/>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row>
    <row r="19" spans="1:37" x14ac:dyDescent="0.25">
      <c r="A19" s="55"/>
      <c r="B19" s="55"/>
      <c r="C19" s="55"/>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row>
    <row r="20" spans="1:37" x14ac:dyDescent="0.25">
      <c r="A20" s="55"/>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row>
    <row r="21" spans="1:37" x14ac:dyDescent="0.25">
      <c r="A21" s="55"/>
      <c r="B21" s="55"/>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row>
    <row r="22" spans="1:37" x14ac:dyDescent="0.25">
      <c r="A22" s="55"/>
      <c r="B22" s="55"/>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row>
    <row r="23" spans="1:37" x14ac:dyDescent="0.25">
      <c r="A23" s="55"/>
      <c r="B23" s="55"/>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row>
    <row r="24" spans="1:37" x14ac:dyDescent="0.25">
      <c r="A24" s="55"/>
      <c r="B24" s="55"/>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row>
    <row r="25" spans="1:37" x14ac:dyDescent="0.25">
      <c r="A25" s="55"/>
      <c r="B25" s="55"/>
      <c r="C25" s="55"/>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row>
    <row r="26" spans="1:37" x14ac:dyDescent="0.25">
      <c r="A26" s="55"/>
      <c r="B26" s="55"/>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row>
    <row r="27" spans="1:37" x14ac:dyDescent="0.25">
      <c r="A27" s="55"/>
      <c r="B27" s="55"/>
      <c r="C27" s="55"/>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row>
    <row r="28" spans="1:37" x14ac:dyDescent="0.25">
      <c r="A28" s="55"/>
      <c r="B28" s="55"/>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row>
    <row r="29" spans="1:37" x14ac:dyDescent="0.25">
      <c r="A29" s="55"/>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row>
    <row r="30" spans="1:37" x14ac:dyDescent="0.25">
      <c r="A30" s="55"/>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row>
    <row r="31" spans="1:37" x14ac:dyDescent="0.25">
      <c r="A31" s="55"/>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row>
    <row r="32" spans="1:37" x14ac:dyDescent="0.25">
      <c r="A32" s="55"/>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row>
    <row r="33" spans="1:31" x14ac:dyDescent="0.25">
      <c r="A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row>
    <row r="34" spans="1:31" x14ac:dyDescent="0.25">
      <c r="A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row>
    <row r="35" spans="1:31" x14ac:dyDescent="0.25">
      <c r="A35" s="55"/>
    </row>
    <row r="36" spans="1:31" x14ac:dyDescent="0.25">
      <c r="A36" s="55"/>
    </row>
    <row r="37" spans="1:31" x14ac:dyDescent="0.25">
      <c r="A37" s="55"/>
    </row>
    <row r="38" spans="1:31" x14ac:dyDescent="0.25">
      <c r="A38" s="55"/>
    </row>
    <row r="39" spans="1:31" x14ac:dyDescent="0.25">
      <c r="A39" s="55"/>
    </row>
    <row r="40" spans="1:31" x14ac:dyDescent="0.25">
      <c r="A40" s="55"/>
    </row>
    <row r="41" spans="1:31" x14ac:dyDescent="0.25">
      <c r="A41" s="55"/>
    </row>
    <row r="42" spans="1:31" x14ac:dyDescent="0.25">
      <c r="A42" s="55"/>
    </row>
    <row r="43" spans="1:31" x14ac:dyDescent="0.25">
      <c r="A43" s="55"/>
    </row>
    <row r="44" spans="1:31" x14ac:dyDescent="0.25">
      <c r="A44" s="55"/>
    </row>
    <row r="45" spans="1:31" x14ac:dyDescent="0.25">
      <c r="A45" s="55"/>
    </row>
    <row r="46" spans="1:31" x14ac:dyDescent="0.25">
      <c r="A46" s="55"/>
    </row>
    <row r="47" spans="1:31" x14ac:dyDescent="0.25">
      <c r="A47" s="55"/>
    </row>
    <row r="48" spans="1:31" x14ac:dyDescent="0.25">
      <c r="A48" s="55"/>
    </row>
    <row r="49" spans="1:1" x14ac:dyDescent="0.25">
      <c r="A49" s="55"/>
    </row>
    <row r="50" spans="1:1" x14ac:dyDescent="0.25">
      <c r="A50" s="55"/>
    </row>
    <row r="51" spans="1:1" x14ac:dyDescent="0.25">
      <c r="A51" s="55"/>
    </row>
    <row r="52" spans="1:1" x14ac:dyDescent="0.25">
      <c r="A52" s="55"/>
    </row>
    <row r="53" spans="1:1" x14ac:dyDescent="0.25">
      <c r="A53" s="55"/>
    </row>
    <row r="54" spans="1:1" x14ac:dyDescent="0.25">
      <c r="A54" s="55"/>
    </row>
    <row r="55" spans="1:1" x14ac:dyDescent="0.25">
      <c r="A55" s="55"/>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topLeftCell="A204" zoomScale="70" zoomScaleNormal="70" workbookViewId="0">
      <selection activeCell="C218" sqref="C218"/>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55"/>
      <c r="B1" s="524" t="s">
        <v>57</v>
      </c>
      <c r="C1" s="524"/>
      <c r="D1" s="524"/>
      <c r="E1" s="55"/>
      <c r="F1" s="55"/>
      <c r="G1" s="55"/>
      <c r="H1" s="55"/>
      <c r="I1" s="55"/>
      <c r="J1" s="55"/>
      <c r="K1" s="55"/>
      <c r="L1" s="55"/>
      <c r="M1" s="55"/>
      <c r="N1" s="55"/>
      <c r="O1" s="55"/>
      <c r="P1" s="55"/>
      <c r="Q1" s="55"/>
      <c r="R1" s="55"/>
      <c r="S1" s="55"/>
      <c r="T1" s="55"/>
      <c r="U1" s="55"/>
    </row>
    <row r="2" spans="1:21" x14ac:dyDescent="0.25">
      <c r="A2" s="55"/>
      <c r="B2" s="55"/>
      <c r="C2" s="55"/>
      <c r="D2" s="55"/>
      <c r="E2" s="55"/>
      <c r="F2" s="55"/>
      <c r="G2" s="55"/>
      <c r="H2" s="55"/>
      <c r="I2" s="55"/>
      <c r="J2" s="55"/>
      <c r="K2" s="55"/>
      <c r="L2" s="55"/>
      <c r="M2" s="55"/>
      <c r="N2" s="55"/>
      <c r="O2" s="55"/>
      <c r="P2" s="55"/>
      <c r="Q2" s="55"/>
      <c r="R2" s="55"/>
      <c r="S2" s="55"/>
      <c r="T2" s="55"/>
      <c r="U2" s="55"/>
    </row>
    <row r="3" spans="1:21" ht="30" x14ac:dyDescent="0.25">
      <c r="A3" s="55"/>
      <c r="B3" s="76"/>
      <c r="C3" s="29" t="s">
        <v>50</v>
      </c>
      <c r="D3" s="29" t="s">
        <v>51</v>
      </c>
      <c r="E3" s="55"/>
      <c r="F3" s="55"/>
      <c r="G3" s="55"/>
      <c r="H3" s="55"/>
      <c r="I3" s="55"/>
      <c r="J3" s="55"/>
      <c r="K3" s="55"/>
      <c r="L3" s="55"/>
      <c r="M3" s="55"/>
      <c r="N3" s="55"/>
      <c r="O3" s="55"/>
      <c r="P3" s="55"/>
      <c r="Q3" s="55"/>
      <c r="R3" s="55"/>
      <c r="S3" s="55"/>
      <c r="T3" s="55"/>
      <c r="U3" s="55"/>
    </row>
    <row r="4" spans="1:21" ht="33.75" x14ac:dyDescent="0.25">
      <c r="A4" s="75" t="s">
        <v>77</v>
      </c>
      <c r="B4" s="32" t="s">
        <v>92</v>
      </c>
      <c r="C4" s="37" t="s">
        <v>132</v>
      </c>
      <c r="D4" s="30" t="s">
        <v>90</v>
      </c>
      <c r="E4" s="55"/>
      <c r="F4" s="55"/>
      <c r="G4" s="55"/>
      <c r="H4" s="55"/>
      <c r="I4" s="55"/>
      <c r="J4" s="55"/>
      <c r="K4" s="55"/>
      <c r="L4" s="55"/>
      <c r="M4" s="55"/>
      <c r="N4" s="55"/>
      <c r="O4" s="55"/>
      <c r="P4" s="55"/>
      <c r="Q4" s="55"/>
      <c r="R4" s="55"/>
      <c r="S4" s="55"/>
      <c r="T4" s="55"/>
      <c r="U4" s="55"/>
    </row>
    <row r="5" spans="1:21" ht="101.25" x14ac:dyDescent="0.25">
      <c r="A5" s="75" t="s">
        <v>78</v>
      </c>
      <c r="B5" s="33" t="s">
        <v>53</v>
      </c>
      <c r="C5" s="38" t="s">
        <v>86</v>
      </c>
      <c r="D5" s="31" t="s">
        <v>490</v>
      </c>
      <c r="E5" s="55"/>
      <c r="F5" s="55"/>
      <c r="G5" s="55"/>
      <c r="H5" s="55"/>
      <c r="I5" s="55"/>
      <c r="J5" s="55"/>
      <c r="K5" s="55"/>
      <c r="L5" s="55"/>
      <c r="M5" s="55"/>
      <c r="N5" s="55"/>
      <c r="O5" s="55"/>
      <c r="P5" s="55"/>
      <c r="Q5" s="55"/>
      <c r="R5" s="55"/>
      <c r="S5" s="55"/>
      <c r="T5" s="55"/>
      <c r="U5" s="55"/>
    </row>
    <row r="6" spans="1:21" ht="67.5" x14ac:dyDescent="0.25">
      <c r="A6" s="75" t="s">
        <v>75</v>
      </c>
      <c r="B6" s="34" t="s">
        <v>54</v>
      </c>
      <c r="C6" s="38" t="s">
        <v>87</v>
      </c>
      <c r="D6" s="31" t="s">
        <v>91</v>
      </c>
      <c r="E6" s="55"/>
      <c r="F6" s="55"/>
      <c r="G6" s="55"/>
      <c r="H6" s="55"/>
      <c r="I6" s="55"/>
      <c r="J6" s="55"/>
      <c r="K6" s="55"/>
      <c r="L6" s="55"/>
      <c r="M6" s="55"/>
      <c r="N6" s="55"/>
      <c r="O6" s="55"/>
      <c r="P6" s="55"/>
      <c r="Q6" s="55"/>
      <c r="R6" s="55"/>
      <c r="S6" s="55"/>
      <c r="T6" s="55"/>
      <c r="U6" s="55"/>
    </row>
    <row r="7" spans="1:21" ht="101.25" x14ac:dyDescent="0.25">
      <c r="A7" s="75" t="s">
        <v>7</v>
      </c>
      <c r="B7" s="35" t="s">
        <v>55</v>
      </c>
      <c r="C7" s="38" t="s">
        <v>88</v>
      </c>
      <c r="D7" s="31" t="s">
        <v>492</v>
      </c>
      <c r="E7" s="55"/>
      <c r="F7" s="55"/>
      <c r="G7" s="55"/>
      <c r="H7" s="55"/>
      <c r="I7" s="55"/>
      <c r="J7" s="55"/>
      <c r="K7" s="55"/>
      <c r="L7" s="55"/>
      <c r="M7" s="55"/>
      <c r="N7" s="55"/>
      <c r="O7" s="55"/>
      <c r="P7" s="55"/>
      <c r="Q7" s="55"/>
      <c r="R7" s="55"/>
      <c r="S7" s="55"/>
      <c r="T7" s="55"/>
      <c r="U7" s="55"/>
    </row>
    <row r="8" spans="1:21" ht="67.5" x14ac:dyDescent="0.25">
      <c r="A8" s="75" t="s">
        <v>79</v>
      </c>
      <c r="B8" s="36" t="s">
        <v>56</v>
      </c>
      <c r="C8" s="38" t="s">
        <v>89</v>
      </c>
      <c r="D8" s="31" t="s">
        <v>109</v>
      </c>
      <c r="E8" s="55"/>
      <c r="F8" s="55"/>
      <c r="G8" s="55"/>
      <c r="H8" s="55"/>
      <c r="I8" s="55"/>
      <c r="J8" s="55"/>
      <c r="K8" s="55"/>
      <c r="L8" s="55"/>
      <c r="M8" s="55"/>
      <c r="N8" s="55"/>
      <c r="O8" s="55"/>
      <c r="P8" s="55"/>
      <c r="Q8" s="55"/>
      <c r="R8" s="55"/>
      <c r="S8" s="55"/>
      <c r="T8" s="55"/>
      <c r="U8" s="55"/>
    </row>
    <row r="9" spans="1:21" ht="20.25" x14ac:dyDescent="0.25">
      <c r="A9" s="75"/>
      <c r="B9" s="75"/>
      <c r="C9" s="77"/>
      <c r="D9" s="77"/>
      <c r="E9" s="55"/>
      <c r="F9" s="55"/>
      <c r="G9" s="55"/>
      <c r="H9" s="55"/>
      <c r="I9" s="55"/>
      <c r="J9" s="55"/>
      <c r="K9" s="55"/>
      <c r="L9" s="55"/>
      <c r="M9" s="55"/>
      <c r="N9" s="55"/>
      <c r="O9" s="55"/>
      <c r="P9" s="55"/>
      <c r="Q9" s="55"/>
      <c r="R9" s="55"/>
      <c r="S9" s="55"/>
      <c r="T9" s="55"/>
      <c r="U9" s="55"/>
    </row>
    <row r="10" spans="1:21" ht="16.5" x14ac:dyDescent="0.25">
      <c r="A10" s="75"/>
      <c r="B10" s="78"/>
      <c r="C10" s="78"/>
      <c r="D10" s="78"/>
      <c r="E10" s="55"/>
      <c r="F10" s="55"/>
      <c r="G10" s="55"/>
      <c r="H10" s="55"/>
      <c r="I10" s="55"/>
      <c r="J10" s="55"/>
      <c r="K10" s="55"/>
      <c r="L10" s="55"/>
      <c r="M10" s="55"/>
      <c r="N10" s="55"/>
      <c r="O10" s="55"/>
      <c r="P10" s="55"/>
      <c r="Q10" s="55"/>
      <c r="R10" s="55"/>
      <c r="S10" s="55"/>
      <c r="T10" s="55"/>
      <c r="U10" s="55"/>
    </row>
    <row r="11" spans="1:21" x14ac:dyDescent="0.25">
      <c r="A11" s="75"/>
      <c r="B11" s="75" t="s">
        <v>84</v>
      </c>
      <c r="C11" s="75" t="s">
        <v>482</v>
      </c>
      <c r="D11" s="75" t="s">
        <v>483</v>
      </c>
      <c r="E11" s="55"/>
      <c r="F11" s="55"/>
      <c r="G11" s="55"/>
      <c r="H11" s="55"/>
      <c r="I11" s="55"/>
      <c r="J11" s="55"/>
      <c r="K11" s="55"/>
      <c r="L11" s="55"/>
      <c r="M11" s="55"/>
      <c r="N11" s="55"/>
      <c r="O11" s="55"/>
      <c r="P11" s="55"/>
      <c r="Q11" s="55"/>
      <c r="R11" s="55"/>
      <c r="S11" s="55"/>
      <c r="T11" s="55"/>
      <c r="U11" s="55"/>
    </row>
    <row r="12" spans="1:21" x14ac:dyDescent="0.25">
      <c r="A12" s="75"/>
      <c r="B12" s="75" t="s">
        <v>82</v>
      </c>
      <c r="C12" s="75" t="s">
        <v>484</v>
      </c>
      <c r="D12" s="75" t="s">
        <v>491</v>
      </c>
      <c r="E12" s="55"/>
      <c r="F12" s="55"/>
      <c r="G12" s="55"/>
      <c r="H12" s="55"/>
      <c r="I12" s="55"/>
      <c r="J12" s="55"/>
      <c r="K12" s="55"/>
      <c r="L12" s="55"/>
      <c r="M12" s="55"/>
      <c r="N12" s="55"/>
      <c r="O12" s="55"/>
      <c r="P12" s="55"/>
      <c r="Q12" s="55"/>
      <c r="R12" s="55"/>
      <c r="S12" s="55"/>
      <c r="T12" s="55"/>
      <c r="U12" s="55"/>
    </row>
    <row r="13" spans="1:21" x14ac:dyDescent="0.25">
      <c r="A13" s="75"/>
      <c r="B13" s="75"/>
      <c r="C13" s="75" t="s">
        <v>485</v>
      </c>
      <c r="D13" s="75" t="s">
        <v>486</v>
      </c>
      <c r="E13" s="55"/>
      <c r="F13" s="55"/>
      <c r="G13" s="55"/>
      <c r="H13" s="55"/>
      <c r="I13" s="55"/>
      <c r="J13" s="55"/>
      <c r="K13" s="55"/>
      <c r="L13" s="55"/>
      <c r="M13" s="55"/>
      <c r="N13" s="55"/>
      <c r="O13" s="55"/>
      <c r="P13" s="55"/>
      <c r="Q13" s="55"/>
      <c r="R13" s="55"/>
      <c r="S13" s="55"/>
      <c r="T13" s="55"/>
      <c r="U13" s="55"/>
    </row>
    <row r="14" spans="1:21" x14ac:dyDescent="0.25">
      <c r="A14" s="75"/>
      <c r="B14" s="75"/>
      <c r="C14" s="75" t="s">
        <v>487</v>
      </c>
      <c r="D14" s="75" t="s">
        <v>493</v>
      </c>
      <c r="E14" s="55"/>
      <c r="F14" s="55"/>
      <c r="G14" s="55"/>
      <c r="H14" s="55"/>
      <c r="I14" s="55"/>
      <c r="J14" s="55"/>
      <c r="K14" s="55"/>
      <c r="L14" s="55"/>
      <c r="M14" s="55"/>
      <c r="N14" s="55"/>
      <c r="O14" s="55"/>
      <c r="P14" s="55"/>
      <c r="Q14" s="55"/>
      <c r="R14" s="55"/>
      <c r="S14" s="55"/>
      <c r="T14" s="55"/>
      <c r="U14" s="55"/>
    </row>
    <row r="15" spans="1:21" x14ac:dyDescent="0.25">
      <c r="A15" s="75"/>
      <c r="B15" s="75"/>
      <c r="C15" s="75" t="s">
        <v>488</v>
      </c>
      <c r="D15" s="75" t="s">
        <v>489</v>
      </c>
      <c r="E15" s="55"/>
      <c r="F15" s="55"/>
      <c r="G15" s="55"/>
      <c r="H15" s="55"/>
      <c r="I15" s="55"/>
      <c r="J15" s="55"/>
      <c r="K15" s="55"/>
      <c r="L15" s="55"/>
      <c r="M15" s="55"/>
      <c r="N15" s="55"/>
      <c r="O15" s="55"/>
      <c r="P15" s="55"/>
      <c r="Q15" s="55"/>
      <c r="R15" s="55"/>
      <c r="S15" s="55"/>
      <c r="T15" s="55"/>
      <c r="U15" s="55"/>
    </row>
    <row r="16" spans="1:21" x14ac:dyDescent="0.25">
      <c r="A16" s="75"/>
      <c r="B16" s="75"/>
      <c r="C16" s="75"/>
      <c r="D16" s="75"/>
      <c r="E16" s="55"/>
      <c r="F16" s="55"/>
      <c r="G16" s="55"/>
      <c r="H16" s="55"/>
      <c r="I16" s="55"/>
      <c r="J16" s="55"/>
      <c r="K16" s="55"/>
      <c r="L16" s="55"/>
      <c r="M16" s="55"/>
      <c r="N16" s="55"/>
      <c r="O16" s="55"/>
    </row>
    <row r="17" spans="1:15" x14ac:dyDescent="0.25">
      <c r="A17" s="75"/>
      <c r="B17" s="75"/>
      <c r="C17" s="75"/>
      <c r="D17" s="75"/>
      <c r="E17" s="55"/>
      <c r="F17" s="55"/>
      <c r="G17" s="55"/>
      <c r="H17" s="55"/>
      <c r="I17" s="55"/>
      <c r="J17" s="55"/>
      <c r="K17" s="55"/>
      <c r="L17" s="55"/>
      <c r="M17" s="55"/>
      <c r="N17" s="55"/>
      <c r="O17" s="55"/>
    </row>
    <row r="18" spans="1:15" x14ac:dyDescent="0.25">
      <c r="A18" s="75"/>
      <c r="B18" s="79"/>
      <c r="C18" s="79"/>
      <c r="D18" s="79"/>
      <c r="E18" s="55"/>
      <c r="F18" s="55"/>
      <c r="G18" s="55"/>
      <c r="H18" s="55"/>
      <c r="I18" s="55"/>
      <c r="J18" s="55"/>
      <c r="K18" s="55"/>
      <c r="L18" s="55"/>
      <c r="M18" s="55"/>
      <c r="N18" s="55"/>
      <c r="O18" s="55"/>
    </row>
    <row r="19" spans="1:15" x14ac:dyDescent="0.25">
      <c r="A19" s="75"/>
      <c r="B19" s="79"/>
      <c r="C19" s="79"/>
      <c r="D19" s="79"/>
      <c r="E19" s="55"/>
      <c r="F19" s="55"/>
      <c r="G19" s="55"/>
      <c r="H19" s="55"/>
      <c r="I19" s="55"/>
      <c r="J19" s="55"/>
      <c r="K19" s="55"/>
      <c r="L19" s="55"/>
      <c r="M19" s="55"/>
      <c r="N19" s="55"/>
      <c r="O19" s="55"/>
    </row>
    <row r="20" spans="1:15" x14ac:dyDescent="0.25">
      <c r="A20" s="75"/>
      <c r="B20" s="79"/>
      <c r="C20" s="79"/>
      <c r="D20" s="79"/>
      <c r="E20" s="55"/>
      <c r="F20" s="55"/>
      <c r="G20" s="55"/>
      <c r="H20" s="55"/>
      <c r="I20" s="55"/>
      <c r="J20" s="55"/>
      <c r="K20" s="55"/>
      <c r="L20" s="55"/>
      <c r="M20" s="55"/>
      <c r="N20" s="55"/>
      <c r="O20" s="55"/>
    </row>
    <row r="21" spans="1:15" x14ac:dyDescent="0.25">
      <c r="A21" s="75"/>
      <c r="B21" s="79"/>
      <c r="C21" s="79"/>
      <c r="D21" s="79"/>
      <c r="E21" s="55"/>
      <c r="F21" s="55"/>
      <c r="G21" s="55"/>
      <c r="H21" s="55"/>
      <c r="I21" s="55"/>
      <c r="J21" s="55"/>
      <c r="K21" s="55"/>
      <c r="L21" s="55"/>
      <c r="M21" s="55"/>
      <c r="N21" s="55"/>
      <c r="O21" s="55"/>
    </row>
    <row r="22" spans="1:15" ht="20.25" x14ac:dyDescent="0.25">
      <c r="A22" s="75"/>
      <c r="B22" s="75"/>
      <c r="C22" s="77"/>
      <c r="D22" s="77"/>
      <c r="E22" s="55"/>
      <c r="F22" s="55"/>
      <c r="G22" s="55"/>
      <c r="H22" s="55"/>
      <c r="I22" s="55"/>
      <c r="J22" s="55"/>
      <c r="K22" s="55"/>
      <c r="L22" s="55"/>
      <c r="M22" s="55"/>
      <c r="N22" s="55"/>
      <c r="O22" s="55"/>
    </row>
    <row r="23" spans="1:15" ht="20.25" x14ac:dyDescent="0.25">
      <c r="A23" s="75"/>
      <c r="B23" s="75"/>
      <c r="C23" s="77"/>
      <c r="D23" s="77"/>
      <c r="E23" s="55"/>
      <c r="F23" s="55"/>
      <c r="G23" s="55"/>
      <c r="H23" s="55"/>
      <c r="I23" s="55"/>
      <c r="J23" s="55"/>
      <c r="K23" s="55"/>
      <c r="L23" s="55"/>
      <c r="M23" s="55"/>
      <c r="N23" s="55"/>
      <c r="O23" s="55"/>
    </row>
    <row r="24" spans="1:15" ht="20.25" x14ac:dyDescent="0.25">
      <c r="A24" s="75"/>
      <c r="B24" s="75"/>
      <c r="C24" s="77"/>
      <c r="D24" s="77"/>
      <c r="E24" s="55"/>
      <c r="F24" s="55"/>
      <c r="G24" s="55"/>
      <c r="H24" s="55"/>
      <c r="I24" s="55"/>
      <c r="J24" s="55"/>
      <c r="K24" s="55"/>
      <c r="L24" s="55"/>
      <c r="M24" s="55"/>
      <c r="N24" s="55"/>
      <c r="O24" s="55"/>
    </row>
    <row r="25" spans="1:15" ht="20.25" x14ac:dyDescent="0.25">
      <c r="A25" s="75"/>
      <c r="B25" s="75"/>
      <c r="C25" s="77"/>
      <c r="D25" s="77"/>
      <c r="E25" s="55"/>
      <c r="F25" s="55"/>
      <c r="G25" s="55"/>
      <c r="H25" s="55"/>
      <c r="I25" s="55"/>
      <c r="J25" s="55"/>
      <c r="K25" s="55"/>
      <c r="L25" s="55"/>
      <c r="M25" s="55"/>
      <c r="N25" s="55"/>
      <c r="O25" s="55"/>
    </row>
    <row r="26" spans="1:15" ht="20.25" x14ac:dyDescent="0.25">
      <c r="A26" s="75"/>
      <c r="B26" s="75"/>
      <c r="C26" s="77"/>
      <c r="D26" s="77"/>
      <c r="E26" s="55"/>
      <c r="F26" s="55"/>
      <c r="G26" s="55"/>
      <c r="H26" s="55"/>
      <c r="I26" s="55"/>
      <c r="J26" s="55"/>
      <c r="K26" s="55"/>
      <c r="L26" s="55"/>
      <c r="M26" s="55"/>
      <c r="N26" s="55"/>
      <c r="O26" s="55"/>
    </row>
    <row r="27" spans="1:15" ht="20.25" x14ac:dyDescent="0.25">
      <c r="A27" s="75"/>
      <c r="B27" s="75"/>
      <c r="C27" s="77"/>
      <c r="D27" s="77"/>
      <c r="E27" s="55"/>
      <c r="F27" s="55"/>
      <c r="G27" s="55"/>
      <c r="H27" s="55"/>
      <c r="I27" s="55"/>
      <c r="J27" s="55"/>
      <c r="K27" s="55"/>
      <c r="L27" s="55"/>
      <c r="M27" s="55"/>
      <c r="N27" s="55"/>
      <c r="O27" s="55"/>
    </row>
    <row r="28" spans="1:15" ht="20.25" x14ac:dyDescent="0.25">
      <c r="A28" s="75"/>
      <c r="B28" s="75"/>
      <c r="C28" s="77"/>
      <c r="D28" s="77"/>
      <c r="E28" s="55"/>
      <c r="F28" s="55"/>
      <c r="G28" s="55"/>
      <c r="H28" s="55"/>
      <c r="I28" s="55"/>
      <c r="J28" s="55"/>
      <c r="K28" s="55"/>
      <c r="L28" s="55"/>
      <c r="M28" s="55"/>
      <c r="N28" s="55"/>
      <c r="O28" s="55"/>
    </row>
    <row r="29" spans="1:15" ht="20.25" x14ac:dyDescent="0.25">
      <c r="A29" s="75"/>
      <c r="B29" s="75"/>
      <c r="C29" s="77"/>
      <c r="D29" s="77"/>
      <c r="E29" s="55"/>
      <c r="F29" s="55"/>
      <c r="G29" s="55"/>
      <c r="H29" s="55"/>
      <c r="I29" s="55"/>
      <c r="J29" s="55"/>
      <c r="K29" s="55"/>
      <c r="L29" s="55"/>
      <c r="M29" s="55"/>
      <c r="N29" s="55"/>
      <c r="O29" s="55"/>
    </row>
    <row r="30" spans="1:15" ht="20.25" x14ac:dyDescent="0.25">
      <c r="A30" s="75"/>
      <c r="B30" s="75"/>
      <c r="C30" s="77"/>
      <c r="D30" s="77"/>
      <c r="E30" s="55"/>
      <c r="F30" s="55"/>
      <c r="G30" s="55"/>
      <c r="H30" s="55"/>
      <c r="I30" s="55"/>
      <c r="J30" s="55"/>
      <c r="K30" s="55"/>
      <c r="L30" s="55"/>
      <c r="M30" s="55"/>
      <c r="N30" s="55"/>
      <c r="O30" s="55"/>
    </row>
    <row r="31" spans="1:15" ht="20.25" x14ac:dyDescent="0.25">
      <c r="A31" s="75"/>
      <c r="B31" s="75"/>
      <c r="C31" s="77"/>
      <c r="D31" s="77"/>
      <c r="E31" s="55"/>
      <c r="F31" s="55"/>
      <c r="G31" s="55"/>
      <c r="H31" s="55"/>
      <c r="I31" s="55"/>
      <c r="J31" s="55"/>
      <c r="K31" s="55"/>
      <c r="L31" s="55"/>
      <c r="M31" s="55"/>
      <c r="N31" s="55"/>
      <c r="O31" s="55"/>
    </row>
    <row r="32" spans="1:15" ht="20.25" x14ac:dyDescent="0.25">
      <c r="A32" s="75"/>
      <c r="B32" s="75"/>
      <c r="C32" s="77"/>
      <c r="D32" s="77"/>
      <c r="E32" s="55"/>
      <c r="F32" s="55"/>
      <c r="G32" s="55"/>
      <c r="H32" s="55"/>
      <c r="I32" s="55"/>
      <c r="J32" s="55"/>
      <c r="K32" s="55"/>
      <c r="L32" s="55"/>
      <c r="M32" s="55"/>
      <c r="N32" s="55"/>
      <c r="O32" s="55"/>
    </row>
    <row r="33" spans="1:15" ht="20.25" x14ac:dyDescent="0.25">
      <c r="A33" s="75"/>
      <c r="B33" s="75"/>
      <c r="C33" s="77"/>
      <c r="D33" s="77"/>
      <c r="E33" s="55"/>
      <c r="F33" s="55"/>
      <c r="G33" s="55"/>
      <c r="H33" s="55"/>
      <c r="I33" s="55"/>
      <c r="J33" s="55"/>
      <c r="K33" s="55"/>
      <c r="L33" s="55"/>
      <c r="M33" s="55"/>
      <c r="N33" s="55"/>
      <c r="O33" s="55"/>
    </row>
    <row r="34" spans="1:15" ht="20.25" x14ac:dyDescent="0.25">
      <c r="A34" s="75"/>
      <c r="B34" s="75"/>
      <c r="C34" s="77"/>
      <c r="D34" s="77"/>
      <c r="E34" s="55"/>
      <c r="F34" s="55"/>
      <c r="G34" s="55"/>
      <c r="H34" s="55"/>
      <c r="I34" s="55"/>
      <c r="J34" s="55"/>
      <c r="K34" s="55"/>
      <c r="L34" s="55"/>
      <c r="M34" s="55"/>
      <c r="N34" s="55"/>
      <c r="O34" s="55"/>
    </row>
    <row r="35" spans="1:15" ht="20.25" x14ac:dyDescent="0.25">
      <c r="A35" s="75"/>
      <c r="B35" s="75"/>
      <c r="C35" s="77"/>
      <c r="D35" s="77"/>
      <c r="E35" s="55"/>
      <c r="F35" s="55"/>
      <c r="G35" s="55"/>
      <c r="H35" s="55"/>
      <c r="I35" s="55"/>
      <c r="J35" s="55"/>
      <c r="K35" s="55"/>
      <c r="L35" s="55"/>
      <c r="M35" s="55"/>
      <c r="N35" s="55"/>
      <c r="O35" s="55"/>
    </row>
    <row r="36" spans="1:15" ht="20.25" x14ac:dyDescent="0.25">
      <c r="A36" s="75"/>
      <c r="B36" s="75"/>
      <c r="C36" s="77"/>
      <c r="D36" s="77"/>
      <c r="E36" s="55"/>
      <c r="F36" s="55"/>
      <c r="G36" s="55"/>
      <c r="H36" s="55"/>
      <c r="I36" s="55"/>
      <c r="J36" s="55"/>
      <c r="K36" s="55"/>
      <c r="L36" s="55"/>
      <c r="M36" s="55"/>
      <c r="N36" s="55"/>
      <c r="O36" s="55"/>
    </row>
    <row r="37" spans="1:15" ht="20.25" x14ac:dyDescent="0.25">
      <c r="A37" s="75"/>
      <c r="B37" s="75"/>
      <c r="C37" s="77"/>
      <c r="D37" s="77"/>
      <c r="E37" s="55"/>
      <c r="F37" s="55"/>
      <c r="G37" s="55"/>
      <c r="H37" s="55"/>
      <c r="I37" s="55"/>
      <c r="J37" s="55"/>
      <c r="K37" s="55"/>
      <c r="L37" s="55"/>
      <c r="M37" s="55"/>
      <c r="N37" s="55"/>
      <c r="O37" s="55"/>
    </row>
    <row r="38" spans="1:15" ht="20.25" x14ac:dyDescent="0.25">
      <c r="A38" s="75"/>
      <c r="B38" s="75"/>
      <c r="C38" s="77"/>
      <c r="D38" s="77"/>
      <c r="E38" s="55"/>
      <c r="F38" s="55"/>
      <c r="G38" s="55"/>
      <c r="H38" s="55"/>
      <c r="I38" s="55"/>
      <c r="J38" s="55"/>
      <c r="K38" s="55"/>
      <c r="L38" s="55"/>
      <c r="M38" s="55"/>
      <c r="N38" s="55"/>
      <c r="O38" s="55"/>
    </row>
    <row r="39" spans="1:15" ht="20.25" x14ac:dyDescent="0.25">
      <c r="A39" s="75"/>
      <c r="B39" s="75"/>
      <c r="C39" s="77"/>
      <c r="D39" s="77"/>
      <c r="E39" s="55"/>
      <c r="F39" s="55"/>
      <c r="G39" s="55"/>
      <c r="H39" s="55"/>
      <c r="I39" s="55"/>
      <c r="J39" s="55"/>
      <c r="K39" s="55"/>
      <c r="L39" s="55"/>
      <c r="M39" s="55"/>
      <c r="N39" s="55"/>
      <c r="O39" s="55"/>
    </row>
    <row r="40" spans="1:15" ht="20.25" x14ac:dyDescent="0.25">
      <c r="A40" s="75"/>
      <c r="B40" s="75"/>
      <c r="C40" s="77"/>
      <c r="D40" s="77"/>
      <c r="E40" s="55"/>
      <c r="F40" s="55"/>
      <c r="G40" s="55"/>
      <c r="H40" s="55"/>
      <c r="I40" s="55"/>
      <c r="J40" s="55"/>
      <c r="K40" s="55"/>
      <c r="L40" s="55"/>
      <c r="M40" s="55"/>
      <c r="N40" s="55"/>
      <c r="O40" s="55"/>
    </row>
    <row r="41" spans="1:15" ht="20.25" x14ac:dyDescent="0.25">
      <c r="A41" s="75"/>
      <c r="B41" s="75"/>
      <c r="C41" s="77"/>
      <c r="D41" s="77"/>
      <c r="E41" s="55"/>
      <c r="F41" s="55"/>
      <c r="G41" s="55"/>
      <c r="H41" s="55"/>
      <c r="I41" s="55"/>
      <c r="J41" s="55"/>
      <c r="K41" s="55"/>
      <c r="L41" s="55"/>
      <c r="M41" s="55"/>
      <c r="N41" s="55"/>
      <c r="O41" s="55"/>
    </row>
    <row r="42" spans="1:15" ht="20.25" x14ac:dyDescent="0.25">
      <c r="A42" s="75"/>
      <c r="B42" s="75"/>
      <c r="C42" s="77"/>
      <c r="D42" s="77"/>
      <c r="E42" s="55"/>
      <c r="F42" s="55"/>
      <c r="G42" s="55"/>
      <c r="H42" s="55"/>
      <c r="I42" s="55"/>
      <c r="J42" s="55"/>
      <c r="K42" s="55"/>
      <c r="L42" s="55"/>
      <c r="M42" s="55"/>
      <c r="N42" s="55"/>
      <c r="O42" s="55"/>
    </row>
    <row r="43" spans="1:15" ht="20.25" x14ac:dyDescent="0.25">
      <c r="A43" s="75"/>
      <c r="B43" s="75"/>
      <c r="C43" s="77"/>
      <c r="D43" s="77"/>
      <c r="E43" s="55"/>
      <c r="F43" s="55"/>
      <c r="G43" s="55"/>
      <c r="H43" s="55"/>
      <c r="I43" s="55"/>
      <c r="J43" s="55"/>
      <c r="K43" s="55"/>
      <c r="L43" s="55"/>
      <c r="M43" s="55"/>
      <c r="N43" s="55"/>
      <c r="O43" s="55"/>
    </row>
    <row r="44" spans="1:15" ht="20.25" x14ac:dyDescent="0.25">
      <c r="A44" s="75"/>
      <c r="B44" s="75"/>
      <c r="C44" s="77"/>
      <c r="D44" s="77"/>
      <c r="E44" s="55"/>
      <c r="F44" s="55"/>
      <c r="G44" s="55"/>
      <c r="H44" s="55"/>
      <c r="I44" s="55"/>
      <c r="J44" s="55"/>
      <c r="K44" s="55"/>
      <c r="L44" s="55"/>
      <c r="M44" s="55"/>
      <c r="N44" s="55"/>
      <c r="O44" s="55"/>
    </row>
    <row r="45" spans="1:15" ht="20.25" x14ac:dyDescent="0.25">
      <c r="A45" s="75"/>
      <c r="B45" s="75"/>
      <c r="C45" s="77"/>
      <c r="D45" s="77"/>
      <c r="E45" s="55"/>
      <c r="F45" s="55"/>
      <c r="G45" s="55"/>
      <c r="H45" s="55"/>
      <c r="I45" s="55"/>
      <c r="J45" s="55"/>
      <c r="K45" s="55"/>
      <c r="L45" s="55"/>
      <c r="M45" s="55"/>
      <c r="N45" s="55"/>
      <c r="O45" s="55"/>
    </row>
    <row r="46" spans="1:15" ht="20.25" x14ac:dyDescent="0.25">
      <c r="A46" s="75"/>
      <c r="B46" s="75"/>
      <c r="C46" s="77"/>
      <c r="D46" s="77"/>
      <c r="E46" s="55"/>
      <c r="F46" s="55"/>
      <c r="G46" s="55"/>
      <c r="H46" s="55"/>
      <c r="I46" s="55"/>
      <c r="J46" s="55"/>
      <c r="K46" s="55"/>
      <c r="L46" s="55"/>
      <c r="M46" s="55"/>
      <c r="N46" s="55"/>
      <c r="O46" s="55"/>
    </row>
    <row r="47" spans="1:15" ht="20.25" x14ac:dyDescent="0.25">
      <c r="A47" s="75"/>
      <c r="B47" s="75"/>
      <c r="C47" s="77"/>
      <c r="D47" s="77"/>
      <c r="E47" s="55"/>
      <c r="F47" s="55"/>
      <c r="G47" s="55"/>
      <c r="H47" s="55"/>
      <c r="I47" s="55"/>
      <c r="J47" s="55"/>
      <c r="K47" s="55"/>
      <c r="L47" s="55"/>
      <c r="M47" s="55"/>
      <c r="N47" s="55"/>
      <c r="O47" s="55"/>
    </row>
    <row r="48" spans="1:15" ht="20.25" x14ac:dyDescent="0.25">
      <c r="A48" s="75"/>
      <c r="B48" s="75"/>
      <c r="C48" s="77"/>
      <c r="D48" s="77"/>
      <c r="E48" s="55"/>
      <c r="F48" s="55"/>
      <c r="G48" s="55"/>
      <c r="H48" s="55"/>
      <c r="I48" s="55"/>
      <c r="J48" s="55"/>
      <c r="K48" s="55"/>
      <c r="L48" s="55"/>
      <c r="M48" s="55"/>
      <c r="N48" s="55"/>
      <c r="O48" s="55"/>
    </row>
    <row r="49" spans="1:15" ht="20.25" x14ac:dyDescent="0.25">
      <c r="A49" s="75"/>
      <c r="B49" s="75"/>
      <c r="C49" s="77"/>
      <c r="D49" s="77"/>
      <c r="E49" s="55"/>
      <c r="F49" s="55"/>
      <c r="G49" s="55"/>
      <c r="H49" s="55"/>
      <c r="I49" s="55"/>
      <c r="J49" s="55"/>
      <c r="K49" s="55"/>
      <c r="L49" s="55"/>
      <c r="M49" s="55"/>
      <c r="N49" s="55"/>
      <c r="O49" s="55"/>
    </row>
    <row r="50" spans="1:15" ht="20.25" x14ac:dyDescent="0.25">
      <c r="A50" s="75"/>
      <c r="B50" s="75"/>
      <c r="C50" s="77"/>
      <c r="D50" s="77"/>
      <c r="E50" s="55"/>
      <c r="F50" s="55"/>
      <c r="G50" s="55"/>
      <c r="H50" s="55"/>
      <c r="I50" s="55"/>
      <c r="J50" s="55"/>
      <c r="K50" s="55"/>
      <c r="L50" s="55"/>
      <c r="M50" s="55"/>
      <c r="N50" s="55"/>
      <c r="O50" s="55"/>
    </row>
    <row r="51" spans="1:15" ht="20.25" x14ac:dyDescent="0.25">
      <c r="A51" s="75"/>
      <c r="B51" s="75"/>
      <c r="C51" s="77"/>
      <c r="D51" s="77"/>
      <c r="E51" s="55"/>
      <c r="F51" s="55"/>
      <c r="G51" s="55"/>
      <c r="H51" s="55"/>
      <c r="I51" s="55"/>
      <c r="J51" s="55"/>
      <c r="K51" s="55"/>
      <c r="L51" s="55"/>
      <c r="M51" s="55"/>
      <c r="N51" s="55"/>
      <c r="O51" s="55"/>
    </row>
    <row r="52" spans="1:15" ht="20.25" x14ac:dyDescent="0.25">
      <c r="A52" s="75"/>
      <c r="B52" s="18"/>
      <c r="C52" s="27"/>
      <c r="D52" s="27"/>
    </row>
    <row r="53" spans="1:15" ht="20.25" x14ac:dyDescent="0.25">
      <c r="A53" s="75"/>
      <c r="B53" s="18"/>
      <c r="C53" s="27"/>
      <c r="D53" s="27"/>
    </row>
    <row r="54" spans="1:15" ht="20.25" x14ac:dyDescent="0.25">
      <c r="A54" s="75"/>
      <c r="B54" s="18"/>
      <c r="C54" s="27"/>
      <c r="D54" s="27"/>
    </row>
    <row r="55" spans="1:15" ht="20.25" x14ac:dyDescent="0.25">
      <c r="A55" s="75"/>
      <c r="B55" s="18"/>
      <c r="C55" s="27"/>
      <c r="D55" s="27"/>
    </row>
    <row r="56" spans="1:15" ht="20.25" x14ac:dyDescent="0.25">
      <c r="A56" s="75"/>
      <c r="B56" s="18"/>
      <c r="C56" s="27"/>
      <c r="D56" s="27"/>
    </row>
    <row r="57" spans="1:15" ht="20.25" x14ac:dyDescent="0.25">
      <c r="A57" s="75"/>
      <c r="B57" s="18"/>
      <c r="C57" s="27"/>
      <c r="D57" s="27"/>
    </row>
    <row r="58" spans="1:15" ht="20.25" x14ac:dyDescent="0.25">
      <c r="A58" s="75"/>
      <c r="B58" s="18"/>
      <c r="C58" s="27"/>
      <c r="D58" s="27"/>
    </row>
    <row r="59" spans="1:15" ht="20.25" x14ac:dyDescent="0.25">
      <c r="A59" s="75"/>
      <c r="B59" s="18"/>
      <c r="C59" s="27"/>
      <c r="D59" s="27"/>
    </row>
    <row r="60" spans="1:15" ht="20.25" x14ac:dyDescent="0.25">
      <c r="A60" s="75"/>
      <c r="B60" s="18"/>
      <c r="C60" s="27"/>
      <c r="D60" s="27"/>
    </row>
    <row r="61" spans="1:15" ht="20.25" x14ac:dyDescent="0.25">
      <c r="A61" s="75"/>
      <c r="B61" s="18"/>
      <c r="C61" s="27"/>
      <c r="D61" s="27"/>
    </row>
    <row r="62" spans="1:15" ht="20.25" x14ac:dyDescent="0.25">
      <c r="A62" s="75"/>
      <c r="B62" s="18"/>
      <c r="C62" s="27"/>
      <c r="D62" s="27"/>
    </row>
    <row r="63" spans="1:15" ht="20.25" x14ac:dyDescent="0.25">
      <c r="A63" s="75"/>
      <c r="B63" s="18"/>
      <c r="C63" s="27"/>
      <c r="D63" s="27"/>
    </row>
    <row r="64" spans="1:15" ht="20.25" x14ac:dyDescent="0.25">
      <c r="A64" s="75"/>
      <c r="B64" s="18"/>
      <c r="C64" s="27"/>
      <c r="D64" s="27"/>
    </row>
    <row r="65" spans="1:4" ht="20.25" x14ac:dyDescent="0.25">
      <c r="A65" s="75"/>
      <c r="B65" s="18"/>
      <c r="C65" s="27"/>
      <c r="D65" s="27"/>
    </row>
    <row r="66" spans="1:4" ht="20.25" x14ac:dyDescent="0.25">
      <c r="A66" s="75"/>
      <c r="B66" s="18"/>
      <c r="C66" s="27"/>
      <c r="D66" s="27"/>
    </row>
    <row r="67" spans="1:4" ht="20.25" x14ac:dyDescent="0.25">
      <c r="A67" s="75"/>
      <c r="B67" s="18"/>
      <c r="C67" s="27"/>
      <c r="D67" s="27"/>
    </row>
    <row r="68" spans="1:4" ht="20.25" x14ac:dyDescent="0.25">
      <c r="A68" s="75"/>
      <c r="B68" s="18"/>
      <c r="C68" s="27"/>
      <c r="D68" s="27"/>
    </row>
    <row r="69" spans="1:4" ht="20.25" x14ac:dyDescent="0.25">
      <c r="A69" s="75"/>
      <c r="B69" s="18"/>
      <c r="C69" s="27"/>
      <c r="D69" s="27"/>
    </row>
    <row r="70" spans="1:4" ht="20.25" x14ac:dyDescent="0.25">
      <c r="A70" s="75"/>
      <c r="B70" s="18"/>
      <c r="C70" s="27"/>
      <c r="D70" s="27"/>
    </row>
    <row r="71" spans="1:4" ht="20.25" x14ac:dyDescent="0.25">
      <c r="A71" s="75"/>
      <c r="B71" s="18"/>
      <c r="C71" s="27"/>
      <c r="D71" s="27"/>
    </row>
    <row r="72" spans="1:4" ht="20.25" x14ac:dyDescent="0.25">
      <c r="A72" s="75"/>
      <c r="B72" s="18"/>
      <c r="C72" s="27"/>
      <c r="D72" s="27"/>
    </row>
    <row r="73" spans="1:4" ht="20.25" x14ac:dyDescent="0.25">
      <c r="A73" s="75"/>
      <c r="B73" s="18"/>
      <c r="C73" s="27"/>
      <c r="D73" s="27"/>
    </row>
    <row r="74" spans="1:4" ht="20.25" x14ac:dyDescent="0.25">
      <c r="A74" s="75"/>
      <c r="B74" s="18"/>
      <c r="C74" s="27"/>
      <c r="D74" s="27"/>
    </row>
    <row r="75" spans="1:4" ht="20.25" x14ac:dyDescent="0.25">
      <c r="A75" s="75"/>
      <c r="B75" s="18"/>
      <c r="C75" s="27"/>
      <c r="D75" s="27"/>
    </row>
    <row r="76" spans="1:4" ht="20.25" x14ac:dyDescent="0.25">
      <c r="A76" s="75"/>
      <c r="B76" s="18"/>
      <c r="C76" s="27"/>
      <c r="D76" s="27"/>
    </row>
    <row r="77" spans="1:4" ht="20.25" x14ac:dyDescent="0.25">
      <c r="A77" s="75"/>
      <c r="B77" s="18"/>
      <c r="C77" s="27"/>
      <c r="D77" s="27"/>
    </row>
    <row r="78" spans="1:4" ht="20.25" x14ac:dyDescent="0.25">
      <c r="A78" s="75"/>
      <c r="B78" s="18"/>
      <c r="C78" s="27"/>
      <c r="D78" s="27"/>
    </row>
    <row r="79" spans="1:4" ht="20.25" x14ac:dyDescent="0.25">
      <c r="A79" s="75"/>
      <c r="B79" s="18"/>
      <c r="C79" s="27"/>
      <c r="D79" s="27"/>
    </row>
    <row r="80" spans="1:4" ht="20.25" x14ac:dyDescent="0.25">
      <c r="A80" s="75"/>
      <c r="B80" s="18"/>
      <c r="C80" s="27"/>
      <c r="D80" s="27"/>
    </row>
    <row r="81" spans="1:4" ht="20.25" x14ac:dyDescent="0.25">
      <c r="A81" s="75"/>
      <c r="B81" s="18"/>
      <c r="C81" s="27"/>
      <c r="D81" s="27"/>
    </row>
    <row r="82" spans="1:4" ht="20.25" x14ac:dyDescent="0.25">
      <c r="A82" s="75"/>
      <c r="B82" s="18"/>
      <c r="C82" s="27"/>
      <c r="D82" s="27"/>
    </row>
    <row r="83" spans="1:4" ht="20.25" x14ac:dyDescent="0.25">
      <c r="A83" s="75"/>
      <c r="B83" s="18"/>
      <c r="C83" s="27"/>
      <c r="D83" s="27"/>
    </row>
    <row r="84" spans="1:4" ht="20.25" x14ac:dyDescent="0.25">
      <c r="A84" s="75"/>
      <c r="B84" s="18"/>
      <c r="C84" s="27"/>
      <c r="D84" s="27"/>
    </row>
    <row r="85" spans="1:4" ht="20.25" x14ac:dyDescent="0.25">
      <c r="A85" s="75"/>
      <c r="B85" s="18"/>
      <c r="C85" s="27"/>
      <c r="D85" s="27"/>
    </row>
    <row r="86" spans="1:4" ht="20.25" x14ac:dyDescent="0.25">
      <c r="A86" s="75"/>
      <c r="B86" s="18"/>
      <c r="C86" s="27"/>
      <c r="D86" s="27"/>
    </row>
    <row r="87" spans="1:4" ht="20.25" x14ac:dyDescent="0.25">
      <c r="A87" s="75"/>
      <c r="B87" s="18"/>
      <c r="C87" s="27"/>
      <c r="D87" s="27"/>
    </row>
    <row r="88" spans="1:4" ht="20.25" x14ac:dyDescent="0.25">
      <c r="A88" s="75"/>
      <c r="B88" s="18"/>
      <c r="C88" s="27"/>
      <c r="D88" s="27"/>
    </row>
    <row r="89" spans="1:4" ht="20.25" x14ac:dyDescent="0.25">
      <c r="A89" s="75"/>
      <c r="B89" s="18"/>
      <c r="C89" s="27"/>
      <c r="D89" s="27"/>
    </row>
    <row r="90" spans="1:4" ht="20.25" x14ac:dyDescent="0.25">
      <c r="A90" s="75"/>
      <c r="B90" s="18"/>
      <c r="C90" s="27"/>
      <c r="D90" s="27"/>
    </row>
    <row r="91" spans="1:4" ht="20.25" x14ac:dyDescent="0.25">
      <c r="A91" s="75"/>
      <c r="B91" s="18"/>
      <c r="C91" s="27"/>
      <c r="D91" s="27"/>
    </row>
    <row r="92" spans="1:4" ht="20.25" x14ac:dyDescent="0.25">
      <c r="A92" s="75"/>
      <c r="B92" s="18"/>
      <c r="C92" s="27"/>
      <c r="D92" s="27"/>
    </row>
    <row r="93" spans="1:4" ht="20.25" x14ac:dyDescent="0.25">
      <c r="A93" s="75"/>
      <c r="B93" s="18"/>
      <c r="C93" s="27"/>
      <c r="D93" s="27"/>
    </row>
    <row r="94" spans="1:4" ht="20.25" x14ac:dyDescent="0.25">
      <c r="A94" s="75"/>
      <c r="B94" s="18"/>
      <c r="C94" s="27"/>
      <c r="D94" s="27"/>
    </row>
    <row r="95" spans="1:4" ht="20.25" x14ac:dyDescent="0.25">
      <c r="A95" s="75"/>
      <c r="B95" s="18"/>
      <c r="C95" s="27"/>
      <c r="D95" s="27"/>
    </row>
    <row r="96" spans="1:4" ht="20.25" x14ac:dyDescent="0.25">
      <c r="A96" s="75"/>
      <c r="B96" s="18"/>
      <c r="C96" s="27"/>
      <c r="D96" s="27"/>
    </row>
    <row r="97" spans="1:4" ht="20.25" x14ac:dyDescent="0.25">
      <c r="A97" s="75"/>
      <c r="B97" s="18"/>
      <c r="C97" s="27"/>
      <c r="D97" s="27"/>
    </row>
    <row r="98" spans="1:4" ht="20.25" x14ac:dyDescent="0.25">
      <c r="A98" s="75"/>
      <c r="B98" s="18"/>
      <c r="C98" s="27"/>
      <c r="D98" s="27"/>
    </row>
    <row r="99" spans="1:4" ht="20.25" x14ac:dyDescent="0.25">
      <c r="A99" s="75"/>
      <c r="B99" s="18"/>
      <c r="C99" s="27"/>
      <c r="D99" s="27"/>
    </row>
    <row r="100" spans="1:4" ht="20.25" x14ac:dyDescent="0.25">
      <c r="A100" s="75"/>
      <c r="B100" s="18"/>
      <c r="C100" s="27"/>
      <c r="D100" s="27"/>
    </row>
    <row r="101" spans="1:4" ht="20.25" x14ac:dyDescent="0.25">
      <c r="A101" s="75"/>
      <c r="B101" s="18"/>
      <c r="C101" s="27"/>
      <c r="D101" s="27"/>
    </row>
    <row r="102" spans="1:4" ht="20.25" x14ac:dyDescent="0.25">
      <c r="A102" s="75"/>
      <c r="B102" s="18"/>
      <c r="C102" s="27"/>
      <c r="D102" s="27"/>
    </row>
    <row r="103" spans="1:4" ht="20.25" x14ac:dyDescent="0.25">
      <c r="A103" s="75"/>
      <c r="B103" s="18"/>
      <c r="C103" s="27"/>
      <c r="D103" s="27"/>
    </row>
    <row r="104" spans="1:4" ht="20.25" x14ac:dyDescent="0.25">
      <c r="A104" s="75"/>
      <c r="B104" s="18"/>
      <c r="C104" s="27"/>
      <c r="D104" s="27"/>
    </row>
    <row r="105" spans="1:4" ht="20.25" x14ac:dyDescent="0.25">
      <c r="A105" s="75"/>
      <c r="B105" s="18"/>
      <c r="C105" s="27"/>
      <c r="D105" s="27"/>
    </row>
    <row r="106" spans="1:4" ht="20.25" x14ac:dyDescent="0.25">
      <c r="A106" s="75"/>
      <c r="B106" s="18"/>
      <c r="C106" s="27"/>
      <c r="D106" s="27"/>
    </row>
    <row r="107" spans="1:4" ht="20.25" x14ac:dyDescent="0.25">
      <c r="A107" s="75"/>
      <c r="B107" s="18"/>
      <c r="C107" s="27"/>
      <c r="D107" s="27"/>
    </row>
    <row r="108" spans="1:4" ht="20.25" x14ac:dyDescent="0.25">
      <c r="A108" s="75"/>
      <c r="B108" s="18"/>
      <c r="C108" s="27"/>
      <c r="D108" s="27"/>
    </row>
    <row r="109" spans="1:4" ht="20.25" x14ac:dyDescent="0.25">
      <c r="A109" s="75"/>
      <c r="B109" s="18"/>
      <c r="C109" s="27"/>
      <c r="D109" s="27"/>
    </row>
    <row r="110" spans="1:4" ht="20.25" x14ac:dyDescent="0.25">
      <c r="A110" s="75"/>
      <c r="B110" s="18"/>
      <c r="C110" s="27"/>
      <c r="D110" s="27"/>
    </row>
    <row r="111" spans="1:4" ht="20.25" x14ac:dyDescent="0.25">
      <c r="A111" s="75"/>
      <c r="B111" s="18"/>
      <c r="C111" s="27"/>
      <c r="D111" s="27"/>
    </row>
    <row r="112" spans="1:4" ht="20.25" x14ac:dyDescent="0.25">
      <c r="A112" s="75"/>
      <c r="B112" s="18"/>
      <c r="C112" s="27"/>
      <c r="D112" s="27"/>
    </row>
    <row r="113" spans="1:4" ht="20.25" x14ac:dyDescent="0.25">
      <c r="A113" s="75"/>
      <c r="B113" s="18"/>
      <c r="C113" s="27"/>
      <c r="D113" s="27"/>
    </row>
    <row r="114" spans="1:4" ht="20.25" x14ac:dyDescent="0.25">
      <c r="A114" s="75"/>
      <c r="B114" s="18"/>
      <c r="C114" s="27"/>
      <c r="D114" s="27"/>
    </row>
    <row r="115" spans="1:4" ht="20.25" x14ac:dyDescent="0.25">
      <c r="A115" s="75"/>
      <c r="B115" s="18"/>
      <c r="C115" s="27"/>
      <c r="D115" s="27"/>
    </row>
    <row r="116" spans="1:4" ht="20.25" x14ac:dyDescent="0.25">
      <c r="A116" s="75"/>
      <c r="B116" s="18"/>
      <c r="C116" s="27"/>
      <c r="D116" s="27"/>
    </row>
    <row r="117" spans="1:4" ht="20.25" x14ac:dyDescent="0.25">
      <c r="A117" s="75"/>
      <c r="B117" s="18"/>
      <c r="C117" s="27"/>
      <c r="D117" s="27"/>
    </row>
    <row r="118" spans="1:4" ht="20.25" x14ac:dyDescent="0.25">
      <c r="A118" s="75"/>
      <c r="B118" s="18"/>
      <c r="C118" s="27"/>
      <c r="D118" s="27"/>
    </row>
    <row r="119" spans="1:4" ht="20.25" x14ac:dyDescent="0.25">
      <c r="A119" s="75"/>
      <c r="B119" s="18"/>
      <c r="C119" s="27"/>
      <c r="D119" s="27"/>
    </row>
    <row r="120" spans="1:4" ht="20.25" x14ac:dyDescent="0.25">
      <c r="A120" s="75"/>
      <c r="B120" s="18"/>
      <c r="C120" s="27"/>
      <c r="D120" s="27"/>
    </row>
    <row r="121" spans="1:4" ht="20.25" x14ac:dyDescent="0.25">
      <c r="A121" s="75"/>
      <c r="B121" s="18"/>
      <c r="C121" s="27"/>
      <c r="D121" s="27"/>
    </row>
    <row r="122" spans="1:4" ht="20.25" x14ac:dyDescent="0.25">
      <c r="A122" s="75"/>
      <c r="B122" s="18"/>
      <c r="C122" s="27"/>
      <c r="D122" s="27"/>
    </row>
    <row r="123" spans="1:4" ht="20.25" x14ac:dyDescent="0.25">
      <c r="A123" s="75"/>
      <c r="B123" s="18"/>
      <c r="C123" s="27"/>
      <c r="D123" s="27"/>
    </row>
    <row r="124" spans="1:4" ht="20.25" x14ac:dyDescent="0.25">
      <c r="A124" s="75"/>
      <c r="B124" s="18"/>
      <c r="C124" s="27"/>
      <c r="D124" s="27"/>
    </row>
    <row r="125" spans="1:4" ht="20.25" x14ac:dyDescent="0.25">
      <c r="A125" s="75"/>
      <c r="B125" s="18"/>
      <c r="C125" s="27"/>
      <c r="D125" s="27"/>
    </row>
    <row r="126" spans="1:4" ht="20.25" x14ac:dyDescent="0.25">
      <c r="A126" s="75"/>
      <c r="B126" s="18"/>
      <c r="C126" s="27"/>
      <c r="D126" s="27"/>
    </row>
    <row r="127" spans="1:4" ht="20.25" x14ac:dyDescent="0.25">
      <c r="A127" s="75"/>
      <c r="B127" s="18"/>
      <c r="C127" s="27"/>
      <c r="D127" s="27"/>
    </row>
    <row r="128" spans="1:4" ht="20.25" x14ac:dyDescent="0.25">
      <c r="A128" s="75"/>
      <c r="B128" s="18"/>
      <c r="C128" s="27"/>
      <c r="D128" s="27"/>
    </row>
    <row r="129" spans="1:4" ht="20.25" x14ac:dyDescent="0.25">
      <c r="A129" s="75"/>
      <c r="B129" s="18"/>
      <c r="C129" s="27"/>
      <c r="D129" s="27"/>
    </row>
    <row r="130" spans="1:4" ht="20.25" x14ac:dyDescent="0.25">
      <c r="A130" s="75"/>
      <c r="B130" s="18"/>
      <c r="C130" s="27"/>
      <c r="D130" s="27"/>
    </row>
    <row r="131" spans="1:4" ht="20.25" x14ac:dyDescent="0.25">
      <c r="A131" s="75"/>
      <c r="B131" s="18"/>
      <c r="C131" s="27"/>
      <c r="D131" s="27"/>
    </row>
    <row r="132" spans="1:4" ht="20.25" x14ac:dyDescent="0.25">
      <c r="A132" s="75"/>
      <c r="B132" s="18"/>
      <c r="C132" s="27"/>
      <c r="D132" s="27"/>
    </row>
    <row r="133" spans="1:4" ht="20.25" x14ac:dyDescent="0.25">
      <c r="A133" s="75"/>
      <c r="B133" s="18"/>
      <c r="C133" s="27"/>
      <c r="D133" s="27"/>
    </row>
    <row r="134" spans="1:4" ht="20.25" x14ac:dyDescent="0.25">
      <c r="A134" s="75"/>
      <c r="B134" s="18"/>
      <c r="C134" s="27"/>
      <c r="D134" s="27"/>
    </row>
    <row r="135" spans="1:4" ht="20.25" x14ac:dyDescent="0.25">
      <c r="A135" s="75"/>
      <c r="B135" s="18"/>
      <c r="C135" s="27"/>
      <c r="D135" s="27"/>
    </row>
    <row r="136" spans="1:4" ht="20.25" x14ac:dyDescent="0.25">
      <c r="A136" s="75"/>
      <c r="B136" s="18"/>
      <c r="C136" s="27"/>
      <c r="D136" s="27"/>
    </row>
    <row r="137" spans="1:4" ht="20.25" x14ac:dyDescent="0.25">
      <c r="A137" s="75"/>
      <c r="B137" s="18"/>
      <c r="C137" s="27"/>
      <c r="D137" s="27"/>
    </row>
    <row r="138" spans="1:4" ht="20.25" x14ac:dyDescent="0.25">
      <c r="A138" s="75"/>
      <c r="B138" s="18"/>
      <c r="C138" s="27"/>
      <c r="D138" s="27"/>
    </row>
    <row r="139" spans="1:4" ht="20.25" x14ac:dyDescent="0.25">
      <c r="A139" s="75"/>
      <c r="B139" s="18"/>
      <c r="C139" s="27"/>
      <c r="D139" s="27"/>
    </row>
    <row r="140" spans="1:4" ht="20.25" x14ac:dyDescent="0.25">
      <c r="A140" s="75"/>
      <c r="B140" s="18"/>
      <c r="C140" s="27"/>
      <c r="D140" s="27"/>
    </row>
    <row r="141" spans="1:4" ht="20.25" x14ac:dyDescent="0.25">
      <c r="A141" s="75"/>
      <c r="B141" s="18"/>
      <c r="C141" s="27"/>
      <c r="D141" s="27"/>
    </row>
    <row r="142" spans="1:4" ht="20.25" x14ac:dyDescent="0.25">
      <c r="A142" s="75"/>
      <c r="B142" s="18"/>
      <c r="C142" s="27"/>
      <c r="D142" s="27"/>
    </row>
    <row r="143" spans="1:4" ht="20.25" x14ac:dyDescent="0.25">
      <c r="A143" s="75"/>
      <c r="B143" s="18"/>
      <c r="C143" s="27"/>
      <c r="D143" s="27"/>
    </row>
    <row r="144" spans="1:4" ht="20.25" x14ac:dyDescent="0.25">
      <c r="A144" s="75"/>
      <c r="B144" s="18"/>
      <c r="C144" s="27"/>
      <c r="D144" s="27"/>
    </row>
    <row r="145" spans="1:4" ht="20.25" x14ac:dyDescent="0.25">
      <c r="A145" s="75"/>
      <c r="B145" s="18"/>
      <c r="C145" s="27"/>
      <c r="D145" s="27"/>
    </row>
    <row r="146" spans="1:4" ht="20.25" x14ac:dyDescent="0.25">
      <c r="A146" s="75"/>
      <c r="B146" s="18"/>
      <c r="C146" s="27"/>
      <c r="D146" s="27"/>
    </row>
    <row r="147" spans="1:4" ht="20.25" x14ac:dyDescent="0.25">
      <c r="A147" s="75"/>
      <c r="B147" s="18"/>
      <c r="C147" s="27"/>
      <c r="D147" s="27"/>
    </row>
    <row r="148" spans="1:4" ht="20.25" x14ac:dyDescent="0.25">
      <c r="A148" s="75"/>
      <c r="B148" s="18"/>
      <c r="C148" s="27"/>
      <c r="D148" s="27"/>
    </row>
    <row r="149" spans="1:4" ht="20.25" x14ac:dyDescent="0.25">
      <c r="A149" s="75"/>
      <c r="B149" s="18"/>
      <c r="C149" s="27"/>
      <c r="D149" s="27"/>
    </row>
    <row r="150" spans="1:4" ht="20.25" x14ac:dyDescent="0.25">
      <c r="A150" s="75"/>
      <c r="B150" s="18"/>
      <c r="C150" s="27"/>
      <c r="D150" s="27"/>
    </row>
    <row r="151" spans="1:4" ht="20.25" x14ac:dyDescent="0.25">
      <c r="A151" s="75"/>
      <c r="B151" s="18"/>
      <c r="C151" s="27"/>
      <c r="D151" s="27"/>
    </row>
    <row r="152" spans="1:4" ht="20.25" x14ac:dyDescent="0.25">
      <c r="A152" s="75"/>
      <c r="B152" s="18"/>
      <c r="C152" s="27"/>
      <c r="D152" s="27"/>
    </row>
    <row r="153" spans="1:4" ht="20.25" x14ac:dyDescent="0.25">
      <c r="A153" s="75"/>
      <c r="B153" s="18"/>
      <c r="C153" s="27"/>
      <c r="D153" s="27"/>
    </row>
    <row r="154" spans="1:4" ht="20.25" x14ac:dyDescent="0.25">
      <c r="A154" s="75"/>
      <c r="B154" s="18"/>
      <c r="C154" s="27"/>
      <c r="D154" s="27"/>
    </row>
    <row r="155" spans="1:4" ht="20.25" x14ac:dyDescent="0.25">
      <c r="A155" s="75"/>
      <c r="B155" s="18"/>
      <c r="C155" s="27"/>
      <c r="D155" s="27"/>
    </row>
    <row r="156" spans="1:4" ht="20.25" x14ac:dyDescent="0.25">
      <c r="A156" s="75"/>
      <c r="B156" s="18"/>
      <c r="C156" s="27"/>
      <c r="D156" s="27"/>
    </row>
    <row r="157" spans="1:4" ht="20.25" x14ac:dyDescent="0.25">
      <c r="A157" s="75"/>
      <c r="B157" s="18"/>
      <c r="C157" s="27"/>
      <c r="D157" s="27"/>
    </row>
    <row r="158" spans="1:4" ht="20.25" x14ac:dyDescent="0.25">
      <c r="A158" s="75"/>
      <c r="B158" s="18"/>
      <c r="C158" s="27"/>
      <c r="D158" s="27"/>
    </row>
    <row r="159" spans="1:4" ht="20.25" x14ac:dyDescent="0.25">
      <c r="A159" s="75"/>
      <c r="B159" s="18"/>
      <c r="C159" s="27"/>
      <c r="D159" s="27"/>
    </row>
    <row r="160" spans="1:4" ht="20.25" x14ac:dyDescent="0.25">
      <c r="A160" s="75"/>
      <c r="B160" s="18"/>
      <c r="C160" s="27"/>
      <c r="D160" s="27"/>
    </row>
    <row r="161" spans="1:4" ht="20.25" x14ac:dyDescent="0.25">
      <c r="A161" s="75"/>
      <c r="B161" s="18"/>
      <c r="C161" s="27"/>
      <c r="D161" s="27"/>
    </row>
    <row r="162" spans="1:4" ht="20.25" x14ac:dyDescent="0.25">
      <c r="A162" s="75"/>
      <c r="B162" s="18"/>
      <c r="C162" s="27"/>
      <c r="D162" s="27"/>
    </row>
    <row r="163" spans="1:4" ht="20.25" x14ac:dyDescent="0.25">
      <c r="A163" s="75"/>
      <c r="B163" s="18"/>
      <c r="C163" s="27"/>
      <c r="D163" s="27"/>
    </row>
    <row r="164" spans="1:4" ht="20.25" x14ac:dyDescent="0.25">
      <c r="A164" s="75"/>
      <c r="B164" s="18"/>
      <c r="C164" s="27"/>
      <c r="D164" s="27"/>
    </row>
    <row r="165" spans="1:4" ht="20.25" x14ac:dyDescent="0.25">
      <c r="A165" s="75"/>
      <c r="B165" s="18"/>
      <c r="C165" s="27"/>
      <c r="D165" s="27"/>
    </row>
    <row r="166" spans="1:4" ht="20.25" x14ac:dyDescent="0.25">
      <c r="A166" s="75"/>
      <c r="B166" s="18"/>
      <c r="C166" s="27"/>
      <c r="D166" s="27"/>
    </row>
    <row r="167" spans="1:4" ht="20.25" x14ac:dyDescent="0.25">
      <c r="A167" s="75"/>
      <c r="B167" s="18"/>
      <c r="C167" s="27"/>
      <c r="D167" s="27"/>
    </row>
    <row r="168" spans="1:4" ht="20.25" x14ac:dyDescent="0.25">
      <c r="A168" s="75"/>
      <c r="B168" s="18"/>
      <c r="C168" s="27"/>
      <c r="D168" s="27"/>
    </row>
    <row r="169" spans="1:4" ht="20.25" x14ac:dyDescent="0.25">
      <c r="A169" s="75"/>
      <c r="B169" s="18"/>
      <c r="C169" s="27"/>
      <c r="D169" s="27"/>
    </row>
    <row r="170" spans="1:4" ht="20.25" x14ac:dyDescent="0.25">
      <c r="A170" s="75"/>
      <c r="B170" s="18"/>
      <c r="C170" s="27"/>
      <c r="D170" s="27"/>
    </row>
    <row r="171" spans="1:4" ht="20.25" x14ac:dyDescent="0.25">
      <c r="A171" s="75"/>
      <c r="B171" s="18"/>
      <c r="C171" s="27"/>
      <c r="D171" s="27"/>
    </row>
    <row r="172" spans="1:4" ht="20.25" x14ac:dyDescent="0.25">
      <c r="A172" s="75"/>
      <c r="B172" s="18"/>
      <c r="C172" s="27"/>
      <c r="D172" s="27"/>
    </row>
    <row r="173" spans="1:4" ht="20.25" x14ac:dyDescent="0.25">
      <c r="A173" s="75"/>
      <c r="B173" s="18"/>
      <c r="C173" s="27"/>
      <c r="D173" s="27"/>
    </row>
    <row r="174" spans="1:4" ht="20.25" x14ac:dyDescent="0.25">
      <c r="A174" s="75"/>
      <c r="B174" s="18"/>
      <c r="C174" s="27"/>
      <c r="D174" s="27"/>
    </row>
    <row r="175" spans="1:4" ht="20.25" x14ac:dyDescent="0.25">
      <c r="A175" s="75"/>
      <c r="B175" s="18"/>
      <c r="C175" s="27"/>
      <c r="D175" s="27"/>
    </row>
    <row r="176" spans="1:4" ht="20.25" x14ac:dyDescent="0.25">
      <c r="A176" s="75"/>
      <c r="B176" s="18"/>
      <c r="C176" s="27"/>
      <c r="D176" s="27"/>
    </row>
    <row r="177" spans="1:4" ht="20.25" x14ac:dyDescent="0.25">
      <c r="A177" s="75"/>
      <c r="B177" s="18"/>
      <c r="C177" s="27"/>
      <c r="D177" s="27"/>
    </row>
    <row r="178" spans="1:4" ht="20.25" x14ac:dyDescent="0.25">
      <c r="A178" s="75"/>
      <c r="B178" s="18"/>
      <c r="C178" s="27"/>
      <c r="D178" s="27"/>
    </row>
    <row r="179" spans="1:4" ht="20.25" x14ac:dyDescent="0.25">
      <c r="A179" s="75"/>
      <c r="B179" s="18"/>
      <c r="C179" s="27"/>
      <c r="D179" s="27"/>
    </row>
    <row r="180" spans="1:4" ht="20.25" x14ac:dyDescent="0.25">
      <c r="A180" s="75"/>
      <c r="B180" s="18"/>
      <c r="C180" s="27"/>
      <c r="D180" s="27"/>
    </row>
    <row r="181" spans="1:4" ht="20.25" x14ac:dyDescent="0.25">
      <c r="A181" s="75"/>
      <c r="B181" s="18"/>
      <c r="C181" s="27"/>
      <c r="D181" s="27"/>
    </row>
    <row r="182" spans="1:4" ht="20.25" x14ac:dyDescent="0.25">
      <c r="A182" s="75"/>
      <c r="B182" s="18"/>
      <c r="C182" s="27"/>
      <c r="D182" s="27"/>
    </row>
    <row r="183" spans="1:4" ht="20.25" x14ac:dyDescent="0.25">
      <c r="A183" s="75"/>
      <c r="B183" s="18"/>
      <c r="C183" s="27"/>
      <c r="D183" s="27"/>
    </row>
    <row r="184" spans="1:4" ht="20.25" x14ac:dyDescent="0.25">
      <c r="A184" s="75"/>
      <c r="B184" s="18"/>
      <c r="C184" s="27"/>
      <c r="D184" s="27"/>
    </row>
    <row r="185" spans="1:4" ht="20.25" x14ac:dyDescent="0.25">
      <c r="A185" s="75"/>
      <c r="B185" s="18"/>
      <c r="C185" s="27"/>
      <c r="D185" s="27"/>
    </row>
    <row r="186" spans="1:4" ht="20.25" x14ac:dyDescent="0.25">
      <c r="A186" s="75"/>
      <c r="B186" s="18"/>
      <c r="C186" s="27"/>
      <c r="D186" s="27"/>
    </row>
    <row r="187" spans="1:4" ht="20.25" x14ac:dyDescent="0.25">
      <c r="A187" s="75"/>
      <c r="B187" s="18"/>
      <c r="C187" s="27"/>
      <c r="D187" s="27"/>
    </row>
    <row r="188" spans="1:4" ht="20.25" x14ac:dyDescent="0.25">
      <c r="A188" s="75"/>
      <c r="B188" s="18"/>
      <c r="C188" s="27"/>
      <c r="D188" s="27"/>
    </row>
    <row r="189" spans="1:4" ht="20.25" x14ac:dyDescent="0.25">
      <c r="A189" s="75"/>
      <c r="B189" s="18"/>
      <c r="C189" s="27"/>
      <c r="D189" s="27"/>
    </row>
    <row r="190" spans="1:4" ht="20.25" x14ac:dyDescent="0.25">
      <c r="A190" s="75"/>
      <c r="B190" s="18"/>
      <c r="C190" s="27"/>
      <c r="D190" s="27"/>
    </row>
    <row r="191" spans="1:4" ht="20.25" x14ac:dyDescent="0.25">
      <c r="A191" s="75"/>
      <c r="B191" s="18"/>
      <c r="C191" s="27"/>
      <c r="D191" s="27"/>
    </row>
    <row r="192" spans="1:4" ht="20.25" x14ac:dyDescent="0.25">
      <c r="A192" s="75"/>
      <c r="B192" s="18"/>
      <c r="C192" s="27"/>
      <c r="D192" s="27"/>
    </row>
    <row r="193" spans="1:4" ht="20.25" x14ac:dyDescent="0.25">
      <c r="A193" s="75"/>
      <c r="B193" s="18"/>
      <c r="C193" s="27"/>
      <c r="D193" s="27"/>
    </row>
    <row r="194" spans="1:4" ht="20.25" x14ac:dyDescent="0.25">
      <c r="A194" s="75"/>
      <c r="B194" s="18"/>
      <c r="C194" s="27"/>
      <c r="D194" s="27"/>
    </row>
    <row r="195" spans="1:4" ht="20.25" x14ac:dyDescent="0.25">
      <c r="A195" s="75"/>
      <c r="B195" s="18"/>
      <c r="C195" s="27"/>
      <c r="D195" s="27"/>
    </row>
    <row r="196" spans="1:4" ht="20.25" x14ac:dyDescent="0.25">
      <c r="A196" s="75"/>
      <c r="B196" s="18"/>
      <c r="C196" s="27"/>
      <c r="D196" s="27"/>
    </row>
    <row r="197" spans="1:4" ht="20.25" x14ac:dyDescent="0.25">
      <c r="A197" s="75"/>
      <c r="B197" s="18"/>
      <c r="C197" s="27"/>
      <c r="D197" s="27"/>
    </row>
    <row r="198" spans="1:4" ht="20.25" x14ac:dyDescent="0.25">
      <c r="A198" s="75"/>
      <c r="B198" s="18"/>
      <c r="C198" s="27"/>
      <c r="D198" s="27"/>
    </row>
    <row r="199" spans="1:4" ht="20.25" x14ac:dyDescent="0.25">
      <c r="A199" s="75"/>
      <c r="B199" s="18"/>
      <c r="C199" s="27"/>
      <c r="D199" s="27"/>
    </row>
    <row r="200" spans="1:4" ht="20.25" x14ac:dyDescent="0.25">
      <c r="A200" s="75"/>
      <c r="B200" s="18"/>
      <c r="C200" s="27"/>
      <c r="D200" s="27"/>
    </row>
    <row r="201" spans="1:4" ht="20.25" x14ac:dyDescent="0.25">
      <c r="A201" s="75"/>
      <c r="B201" s="18"/>
      <c r="C201" s="27"/>
      <c r="D201" s="27"/>
    </row>
    <row r="202" spans="1:4" ht="20.25" x14ac:dyDescent="0.25">
      <c r="A202" s="75"/>
      <c r="B202" s="18"/>
      <c r="C202" s="27"/>
      <c r="D202" s="27"/>
    </row>
    <row r="203" spans="1:4" ht="20.25" x14ac:dyDescent="0.25">
      <c r="A203" s="75"/>
      <c r="B203" s="18"/>
      <c r="C203" s="27"/>
      <c r="D203" s="27"/>
    </row>
    <row r="204" spans="1:4" ht="20.25" x14ac:dyDescent="0.25">
      <c r="A204" s="75"/>
      <c r="B204" s="18"/>
      <c r="C204" s="27"/>
      <c r="D204" s="27"/>
    </row>
    <row r="205" spans="1:4" ht="20.25" x14ac:dyDescent="0.25">
      <c r="A205" s="75"/>
      <c r="B205" s="18"/>
      <c r="C205" s="27"/>
      <c r="D205" s="27"/>
    </row>
    <row r="206" spans="1:4" ht="20.25" x14ac:dyDescent="0.25">
      <c r="A206" s="75"/>
      <c r="B206" s="18"/>
      <c r="C206" s="27"/>
      <c r="D206" s="27"/>
    </row>
    <row r="207" spans="1:4" ht="20.25" x14ac:dyDescent="0.25">
      <c r="A207" s="75"/>
      <c r="B207" s="18"/>
      <c r="C207" s="27"/>
      <c r="D207" s="27"/>
    </row>
    <row r="208" spans="1:4" x14ac:dyDescent="0.25">
      <c r="A208" s="55"/>
      <c r="B208" s="18"/>
      <c r="C208" s="18"/>
      <c r="D208" s="18"/>
    </row>
    <row r="209" spans="1:8" ht="20.25" x14ac:dyDescent="0.25">
      <c r="A209" s="55"/>
      <c r="B209" s="23" t="s">
        <v>81</v>
      </c>
      <c r="C209" s="23" t="s">
        <v>129</v>
      </c>
      <c r="D209" s="26" t="s">
        <v>81</v>
      </c>
      <c r="E209" s="26" t="s">
        <v>129</v>
      </c>
    </row>
    <row r="210" spans="1:8" ht="21" x14ac:dyDescent="0.35">
      <c r="A210" s="55"/>
      <c r="B210" s="24" t="s">
        <v>83</v>
      </c>
      <c r="C210" s="24" t="s">
        <v>52</v>
      </c>
      <c r="D210" t="s">
        <v>83</v>
      </c>
      <c r="F210" t="str">
        <f t="shared" ref="F210:F221" si="0">IF(NOT(ISBLANK(D210)),D210,IF(NOT(ISBLANK(E210))," "&amp;E210,FALSE))</f>
        <v>Afectación Económica o presupuestal</v>
      </c>
      <c r="G210" t="s">
        <v>83</v>
      </c>
      <c r="H210" t="str">
        <f>IF(NOT(ISERROR(MATCH(G210,_xlfn.ANCHORARRAY(B221),0))),F223&amp;"Por favor no seleccionar los criterios de impacto",G210)</f>
        <v>❌Por favor no seleccionar los criterios de impacto</v>
      </c>
    </row>
    <row r="211" spans="1:8" ht="21" x14ac:dyDescent="0.35">
      <c r="A211" s="55"/>
      <c r="B211" s="24" t="s">
        <v>83</v>
      </c>
      <c r="C211" s="24" t="s">
        <v>86</v>
      </c>
      <c r="E211" t="s">
        <v>52</v>
      </c>
      <c r="F211" t="str">
        <f t="shared" si="0"/>
        <v xml:space="preserve"> Afectación menor a 10 SMLMV .</v>
      </c>
    </row>
    <row r="212" spans="1:8" ht="21" x14ac:dyDescent="0.35">
      <c r="A212" s="55"/>
      <c r="B212" s="24" t="s">
        <v>83</v>
      </c>
      <c r="C212" s="24" t="s">
        <v>87</v>
      </c>
      <c r="E212" t="s">
        <v>86</v>
      </c>
      <c r="F212" t="str">
        <f t="shared" si="0"/>
        <v xml:space="preserve"> Entre 10 y 50 SMLMV </v>
      </c>
    </row>
    <row r="213" spans="1:8" ht="21" x14ac:dyDescent="0.35">
      <c r="A213" s="55"/>
      <c r="B213" s="24" t="s">
        <v>83</v>
      </c>
      <c r="C213" s="24" t="s">
        <v>88</v>
      </c>
      <c r="E213" t="s">
        <v>87</v>
      </c>
      <c r="F213" t="str">
        <f t="shared" si="0"/>
        <v xml:space="preserve"> Entre 50 y 100 SMLMV </v>
      </c>
    </row>
    <row r="214" spans="1:8" ht="21" x14ac:dyDescent="0.35">
      <c r="A214" s="55"/>
      <c r="B214" s="24" t="s">
        <v>83</v>
      </c>
      <c r="C214" s="24" t="s">
        <v>89</v>
      </c>
      <c r="E214" t="s">
        <v>88</v>
      </c>
      <c r="F214" t="str">
        <f t="shared" si="0"/>
        <v xml:space="preserve"> Entre 100 y 500 SMLMV </v>
      </c>
    </row>
    <row r="215" spans="1:8" ht="21" x14ac:dyDescent="0.35">
      <c r="A215" s="55"/>
      <c r="B215" s="24" t="s">
        <v>51</v>
      </c>
      <c r="C215" s="24" t="s">
        <v>90</v>
      </c>
      <c r="E215" t="s">
        <v>89</v>
      </c>
      <c r="F215" t="str">
        <f t="shared" si="0"/>
        <v xml:space="preserve"> Mayor a 500 SMLMV </v>
      </c>
    </row>
    <row r="216" spans="1:8" ht="21" x14ac:dyDescent="0.35">
      <c r="A216" s="55"/>
      <c r="B216" s="24" t="s">
        <v>51</v>
      </c>
      <c r="C216" s="24" t="s">
        <v>490</v>
      </c>
      <c r="D216" t="s">
        <v>51</v>
      </c>
      <c r="F216" t="str">
        <f t="shared" si="0"/>
        <v>Pérdida Reputacional</v>
      </c>
    </row>
    <row r="217" spans="1:8" ht="21" x14ac:dyDescent="0.35">
      <c r="A217" s="55"/>
      <c r="B217" s="24" t="s">
        <v>51</v>
      </c>
      <c r="C217" s="24" t="s">
        <v>91</v>
      </c>
      <c r="E217" t="s">
        <v>90</v>
      </c>
      <c r="F217" t="str">
        <f t="shared" si="0"/>
        <v xml:space="preserve"> El riesgo afecta la imagen de alguna área de la organización</v>
      </c>
    </row>
    <row r="218" spans="1:8" ht="21" x14ac:dyDescent="0.35">
      <c r="A218" s="55"/>
      <c r="B218" s="24" t="s">
        <v>51</v>
      </c>
      <c r="C218" s="24" t="s">
        <v>492</v>
      </c>
      <c r="E218" t="s">
        <v>490</v>
      </c>
      <c r="F218" t="str">
        <f t="shared" si="0"/>
        <v xml:space="preserve"> El riesgo afecta la imagen de la entidad internamente, de conocimiento general, nivel interno, de junta directiva y accionistas y/o de proveedores</v>
      </c>
    </row>
    <row r="219" spans="1:8" ht="21" x14ac:dyDescent="0.35">
      <c r="A219" s="55"/>
      <c r="B219" s="24" t="s">
        <v>51</v>
      </c>
      <c r="C219" s="24" t="s">
        <v>109</v>
      </c>
      <c r="E219" t="s">
        <v>91</v>
      </c>
      <c r="F219" t="str">
        <f t="shared" si="0"/>
        <v xml:space="preserve"> El riesgo afecta la imagen de la entidad con algunos usuarios de relevancia frente al logro de los objetivos</v>
      </c>
    </row>
    <row r="220" spans="1:8" x14ac:dyDescent="0.25">
      <c r="A220" s="55"/>
      <c r="B220" s="25"/>
      <c r="C220" s="25"/>
      <c r="E220" t="s">
        <v>492</v>
      </c>
      <c r="F220" t="str">
        <f t="shared" si="0"/>
        <v xml:space="preserve"> El riesgo afecta la imagen de la entidad con efecto publicitario sostenido a nivel de sector administrativo, nivel departamental o municipal</v>
      </c>
    </row>
    <row r="221" spans="1:8" x14ac:dyDescent="0.25">
      <c r="A221" s="55"/>
      <c r="B221" s="25" t="str" cm="1">
        <f t="array" ref="B221:B223">_xlfn.UNIQUE(Tabla1[[#All],[Criterios]])</f>
        <v>Criterios</v>
      </c>
      <c r="C221" s="25"/>
      <c r="E221" t="s">
        <v>109</v>
      </c>
      <c r="F221" t="str">
        <f t="shared" si="0"/>
        <v xml:space="preserve"> El riesgo afecta la imagen de la entidad a nivel nacional, con efecto publicitarios sostenible a nivel país</v>
      </c>
    </row>
    <row r="222" spans="1:8" x14ac:dyDescent="0.25">
      <c r="A222" s="55"/>
      <c r="B222" s="25" t="str">
        <v>Afectación Económica o presupuestal</v>
      </c>
      <c r="C222" s="25"/>
    </row>
    <row r="223" spans="1:8" x14ac:dyDescent="0.25">
      <c r="B223" s="25" t="str">
        <v>Pérdida Reputacional</v>
      </c>
      <c r="C223" s="25"/>
      <c r="F223" s="28" t="s">
        <v>130</v>
      </c>
    </row>
    <row r="224" spans="1:8" x14ac:dyDescent="0.25">
      <c r="B224" s="17"/>
      <c r="C224" s="17"/>
      <c r="F224" s="28" t="s">
        <v>131</v>
      </c>
    </row>
    <row r="225" spans="2:4" x14ac:dyDescent="0.25">
      <c r="B225" s="17"/>
      <c r="C225" s="17"/>
    </row>
    <row r="226" spans="2:4" x14ac:dyDescent="0.25">
      <c r="B226" s="17"/>
      <c r="C226" s="17"/>
    </row>
    <row r="227" spans="2:4" x14ac:dyDescent="0.25">
      <c r="B227" s="17"/>
      <c r="C227" s="17"/>
      <c r="D227" s="17"/>
    </row>
    <row r="228" spans="2:4" x14ac:dyDescent="0.25">
      <c r="B228" s="17"/>
      <c r="C228" s="17"/>
      <c r="D228" s="17"/>
    </row>
    <row r="229" spans="2:4" x14ac:dyDescent="0.25">
      <c r="B229" s="17"/>
      <c r="C229" s="17"/>
      <c r="D229" s="17"/>
    </row>
    <row r="230" spans="2:4" x14ac:dyDescent="0.25">
      <c r="B230" s="17"/>
      <c r="C230" s="17"/>
      <c r="D230" s="17"/>
    </row>
    <row r="231" spans="2:4" x14ac:dyDescent="0.25">
      <c r="B231" s="17"/>
      <c r="C231" s="17"/>
      <c r="D231" s="17"/>
    </row>
    <row r="232" spans="2:4" x14ac:dyDescent="0.25">
      <c r="B232" s="17"/>
      <c r="C232" s="17"/>
      <c r="D232" s="17"/>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topLeftCell="A4" workbookViewId="0">
      <selection activeCell="C7" sqref="C7:C8"/>
    </sheetView>
  </sheetViews>
  <sheetFormatPr baseColWidth="10" defaultColWidth="14.28515625" defaultRowHeight="12.75" x14ac:dyDescent="0.2"/>
  <cols>
    <col min="1" max="2" width="14.28515625" style="60"/>
    <col min="3" max="3" width="17" style="60" customWidth="1"/>
    <col min="4" max="4" width="14.28515625" style="60"/>
    <col min="5" max="5" width="46" style="60" customWidth="1"/>
    <col min="6" max="16384" width="14.28515625" style="60"/>
  </cols>
  <sheetData>
    <row r="1" spans="2:6" ht="24" customHeight="1" thickBot="1" x14ac:dyDescent="0.25">
      <c r="B1" s="525" t="s">
        <v>72</v>
      </c>
      <c r="C1" s="526"/>
      <c r="D1" s="526"/>
      <c r="E1" s="526"/>
      <c r="F1" s="527"/>
    </row>
    <row r="2" spans="2:6" ht="16.5" thickBot="1" x14ac:dyDescent="0.3">
      <c r="B2" s="61"/>
      <c r="C2" s="61"/>
      <c r="D2" s="61"/>
      <c r="E2" s="61"/>
      <c r="F2" s="61"/>
    </row>
    <row r="3" spans="2:6" ht="16.5" thickBot="1" x14ac:dyDescent="0.25">
      <c r="B3" s="529" t="s">
        <v>58</v>
      </c>
      <c r="C3" s="530"/>
      <c r="D3" s="530"/>
      <c r="E3" s="73" t="s">
        <v>59</v>
      </c>
      <c r="F3" s="74" t="s">
        <v>60</v>
      </c>
    </row>
    <row r="4" spans="2:6" ht="31.5" x14ac:dyDescent="0.2">
      <c r="B4" s="531" t="s">
        <v>61</v>
      </c>
      <c r="C4" s="533" t="s">
        <v>13</v>
      </c>
      <c r="D4" s="62" t="s">
        <v>14</v>
      </c>
      <c r="E4" s="63" t="s">
        <v>62</v>
      </c>
      <c r="F4" s="64">
        <v>0.25</v>
      </c>
    </row>
    <row r="5" spans="2:6" ht="47.25" x14ac:dyDescent="0.2">
      <c r="B5" s="532"/>
      <c r="C5" s="534"/>
      <c r="D5" s="65" t="s">
        <v>15</v>
      </c>
      <c r="E5" s="66" t="s">
        <v>63</v>
      </c>
      <c r="F5" s="67">
        <v>0.15</v>
      </c>
    </row>
    <row r="6" spans="2:6" ht="47.25" x14ac:dyDescent="0.2">
      <c r="B6" s="532"/>
      <c r="C6" s="534"/>
      <c r="D6" s="65" t="s">
        <v>16</v>
      </c>
      <c r="E6" s="66" t="s">
        <v>64</v>
      </c>
      <c r="F6" s="67">
        <v>0.1</v>
      </c>
    </row>
    <row r="7" spans="2:6" ht="63" x14ac:dyDescent="0.2">
      <c r="B7" s="532"/>
      <c r="C7" s="534" t="s">
        <v>17</v>
      </c>
      <c r="D7" s="65" t="s">
        <v>10</v>
      </c>
      <c r="E7" s="66" t="s">
        <v>65</v>
      </c>
      <c r="F7" s="67">
        <v>0.25</v>
      </c>
    </row>
    <row r="8" spans="2:6" ht="31.5" x14ac:dyDescent="0.2">
      <c r="B8" s="532"/>
      <c r="C8" s="534"/>
      <c r="D8" s="65" t="s">
        <v>9</v>
      </c>
      <c r="E8" s="66" t="s">
        <v>66</v>
      </c>
      <c r="F8" s="67">
        <v>0.15</v>
      </c>
    </row>
    <row r="9" spans="2:6" ht="47.25" x14ac:dyDescent="0.2">
      <c r="B9" s="532" t="s">
        <v>136</v>
      </c>
      <c r="C9" s="534" t="s">
        <v>18</v>
      </c>
      <c r="D9" s="65" t="s">
        <v>19</v>
      </c>
      <c r="E9" s="66" t="s">
        <v>67</v>
      </c>
      <c r="F9" s="68" t="s">
        <v>68</v>
      </c>
    </row>
    <row r="10" spans="2:6" ht="63" x14ac:dyDescent="0.2">
      <c r="B10" s="532"/>
      <c r="C10" s="534"/>
      <c r="D10" s="65" t="s">
        <v>20</v>
      </c>
      <c r="E10" s="66" t="s">
        <v>69</v>
      </c>
      <c r="F10" s="68" t="s">
        <v>68</v>
      </c>
    </row>
    <row r="11" spans="2:6" ht="47.25" x14ac:dyDescent="0.2">
      <c r="B11" s="532"/>
      <c r="C11" s="534" t="s">
        <v>21</v>
      </c>
      <c r="D11" s="65" t="s">
        <v>22</v>
      </c>
      <c r="E11" s="66" t="s">
        <v>70</v>
      </c>
      <c r="F11" s="68" t="s">
        <v>68</v>
      </c>
    </row>
    <row r="12" spans="2:6" ht="47.25" x14ac:dyDescent="0.2">
      <c r="B12" s="532"/>
      <c r="C12" s="534"/>
      <c r="D12" s="65" t="s">
        <v>23</v>
      </c>
      <c r="E12" s="66" t="s">
        <v>71</v>
      </c>
      <c r="F12" s="68" t="s">
        <v>68</v>
      </c>
    </row>
    <row r="13" spans="2:6" ht="31.5" x14ac:dyDescent="0.2">
      <c r="B13" s="532"/>
      <c r="C13" s="534" t="s">
        <v>24</v>
      </c>
      <c r="D13" s="65" t="s">
        <v>110</v>
      </c>
      <c r="E13" s="66" t="s">
        <v>113</v>
      </c>
      <c r="F13" s="68" t="s">
        <v>68</v>
      </c>
    </row>
    <row r="14" spans="2:6" ht="32.25" thickBot="1" x14ac:dyDescent="0.25">
      <c r="B14" s="535"/>
      <c r="C14" s="536"/>
      <c r="D14" s="69" t="s">
        <v>111</v>
      </c>
      <c r="E14" s="70" t="s">
        <v>112</v>
      </c>
      <c r="F14" s="71" t="s">
        <v>68</v>
      </c>
    </row>
    <row r="15" spans="2:6" ht="49.5" customHeight="1" x14ac:dyDescent="0.2">
      <c r="B15" s="528" t="s">
        <v>133</v>
      </c>
      <c r="C15" s="528"/>
      <c r="D15" s="528"/>
      <c r="E15" s="528"/>
      <c r="F15" s="528"/>
    </row>
    <row r="16" spans="2:6" ht="27" customHeight="1" x14ac:dyDescent="0.25">
      <c r="B16" s="72"/>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workbookViewId="0">
      <selection activeCell="E3" sqref="E3"/>
    </sheetView>
  </sheetViews>
  <sheetFormatPr baseColWidth="10" defaultRowHeight="15" x14ac:dyDescent="0.25"/>
  <sheetData>
    <row r="2" spans="2:5" x14ac:dyDescent="0.25">
      <c r="B2" t="s">
        <v>31</v>
      </c>
      <c r="E2" t="s">
        <v>119</v>
      </c>
    </row>
    <row r="3" spans="2:5" x14ac:dyDescent="0.25">
      <c r="B3" t="s">
        <v>32</v>
      </c>
      <c r="E3" t="s">
        <v>118</v>
      </c>
    </row>
    <row r="4" spans="2:5" x14ac:dyDescent="0.25">
      <c r="B4" t="s">
        <v>123</v>
      </c>
      <c r="E4" t="s">
        <v>120</v>
      </c>
    </row>
    <row r="5" spans="2:5" x14ac:dyDescent="0.25">
      <c r="B5" t="s">
        <v>122</v>
      </c>
    </row>
    <row r="8" spans="2:5" x14ac:dyDescent="0.25">
      <c r="B8" t="s">
        <v>494</v>
      </c>
    </row>
    <row r="9" spans="2:5" x14ac:dyDescent="0.25">
      <c r="B9" t="s">
        <v>36</v>
      </c>
    </row>
    <row r="10" spans="2:5" x14ac:dyDescent="0.25">
      <c r="B10" t="s">
        <v>37</v>
      </c>
    </row>
    <row r="13" spans="2:5" x14ac:dyDescent="0.25">
      <c r="B13" t="s">
        <v>330</v>
      </c>
    </row>
    <row r="14" spans="2:5" x14ac:dyDescent="0.25">
      <c r="B14" t="s">
        <v>328</v>
      </c>
    </row>
    <row r="15" spans="2:5" x14ac:dyDescent="0.25">
      <c r="B15" t="s">
        <v>336</v>
      </c>
    </row>
    <row r="16" spans="2:5" x14ac:dyDescent="0.25">
      <c r="B16" t="s">
        <v>114</v>
      </c>
    </row>
    <row r="17" spans="2:2" x14ac:dyDescent="0.25">
      <c r="B17" t="s">
        <v>115</v>
      </c>
    </row>
    <row r="18" spans="2:2" x14ac:dyDescent="0.25">
      <c r="B18" t="s">
        <v>116</v>
      </c>
    </row>
    <row r="19" spans="2:2" x14ac:dyDescent="0.25">
      <c r="B19" t="s">
        <v>117</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4" sqref="A4"/>
    </sheetView>
  </sheetViews>
  <sheetFormatPr baseColWidth="10" defaultColWidth="11.42578125" defaultRowHeight="12.75" x14ac:dyDescent="0.2"/>
  <cols>
    <col min="1" max="1" width="32.85546875" style="4" customWidth="1"/>
    <col min="2" max="16384" width="11.42578125" style="4"/>
  </cols>
  <sheetData>
    <row r="3" spans="1:1" x14ac:dyDescent="0.2">
      <c r="A3" s="5" t="s">
        <v>14</v>
      </c>
    </row>
    <row r="4" spans="1:1" x14ac:dyDescent="0.2">
      <c r="A4" s="5" t="s">
        <v>15</v>
      </c>
    </row>
    <row r="5" spans="1:1" x14ac:dyDescent="0.2">
      <c r="A5" s="5" t="s">
        <v>16</v>
      </c>
    </row>
    <row r="6" spans="1:1" x14ac:dyDescent="0.2">
      <c r="A6" s="5" t="s">
        <v>10</v>
      </c>
    </row>
    <row r="7" spans="1:1" x14ac:dyDescent="0.2">
      <c r="A7" s="5" t="s">
        <v>9</v>
      </c>
    </row>
    <row r="8" spans="1:1" x14ac:dyDescent="0.2">
      <c r="A8" s="5" t="s">
        <v>19</v>
      </c>
    </row>
    <row r="9" spans="1:1" x14ac:dyDescent="0.2">
      <c r="A9" s="5" t="s">
        <v>20</v>
      </c>
    </row>
    <row r="10" spans="1:1" x14ac:dyDescent="0.2">
      <c r="A10" s="5" t="s">
        <v>22</v>
      </c>
    </row>
    <row r="11" spans="1:1" x14ac:dyDescent="0.2">
      <c r="A11" s="5" t="s">
        <v>23</v>
      </c>
    </row>
    <row r="12" spans="1:1" x14ac:dyDescent="0.2">
      <c r="A12" s="5" t="s">
        <v>25</v>
      </c>
    </row>
    <row r="13" spans="1:1" x14ac:dyDescent="0.2">
      <c r="A13" s="5" t="s">
        <v>26</v>
      </c>
    </row>
    <row r="14" spans="1:1" x14ac:dyDescent="0.2">
      <c r="A14" s="5" t="s">
        <v>27</v>
      </c>
    </row>
    <row r="16" spans="1:1" x14ac:dyDescent="0.2">
      <c r="A16" s="5" t="s">
        <v>30</v>
      </c>
    </row>
    <row r="17" spans="1:1" x14ac:dyDescent="0.2">
      <c r="A17" s="5" t="s">
        <v>31</v>
      </c>
    </row>
    <row r="18" spans="1:1" x14ac:dyDescent="0.2">
      <c r="A18" s="5" t="s">
        <v>32</v>
      </c>
    </row>
    <row r="20" spans="1:1" x14ac:dyDescent="0.2">
      <c r="A20" s="5" t="s">
        <v>36</v>
      </c>
    </row>
    <row r="21" spans="1:1" x14ac:dyDescent="0.2">
      <c r="A21" s="5"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Matriz Calor Residual</vt:lpstr>
      <vt:lpstr>Mapa final</vt:lpstr>
      <vt:lpstr>Matriz Calor Inherente</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user</cp:lastModifiedBy>
  <cp:lastPrinted>2021-10-13T03:54:14Z</cp:lastPrinted>
  <dcterms:created xsi:type="dcterms:W3CDTF">2020-03-24T23:12:47Z</dcterms:created>
  <dcterms:modified xsi:type="dcterms:W3CDTF">2023-02-20T23:55:12Z</dcterms:modified>
</cp:coreProperties>
</file>