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C:\Users\jsantisj\Music\"/>
    </mc:Choice>
  </mc:AlternateContent>
  <bookViews>
    <workbookView xWindow="0" yWindow="0" windowWidth="28800" windowHeight="11700" tabRatio="882" activeTab="2"/>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final'!$A$6:$CP$151</definedName>
  </definedNames>
  <calcPr calcId="162913"/>
  <pivotCaches>
    <pivotCache cacheId="0" r:id="rId11"/>
  </pivotCaches>
</workbook>
</file>

<file path=xl/calcChain.xml><?xml version="1.0" encoding="utf-8"?>
<calcChain xmlns="http://schemas.openxmlformats.org/spreadsheetml/2006/main">
  <c r="AS150" i="1" l="1"/>
  <c r="AP150" i="1"/>
  <c r="AR27" i="1"/>
  <c r="T139" i="1" l="1"/>
  <c r="T136" i="1"/>
  <c r="K67" i="1" l="1"/>
  <c r="L67" i="1" s="1"/>
  <c r="W67" i="1"/>
  <c r="T67" i="1"/>
  <c r="AA67" i="1" l="1"/>
  <c r="X245" i="19"/>
  <c r="X238" i="19"/>
  <c r="W238" i="19"/>
  <c r="X237" i="19"/>
  <c r="X236" i="19"/>
  <c r="X232" i="19"/>
  <c r="W232" i="19"/>
  <c r="W227" i="19"/>
  <c r="X226" i="19"/>
  <c r="X218" i="19"/>
  <c r="W218" i="19"/>
  <c r="X209" i="19"/>
  <c r="W209" i="19"/>
  <c r="X195" i="19"/>
  <c r="X188" i="19"/>
  <c r="W188" i="19"/>
  <c r="X187" i="19"/>
  <c r="X186" i="19"/>
  <c r="X182" i="19"/>
  <c r="W182" i="19"/>
  <c r="W177" i="19"/>
  <c r="X176" i="19"/>
  <c r="X168" i="19"/>
  <c r="W168" i="19"/>
  <c r="X159" i="19"/>
  <c r="W159" i="19"/>
  <c r="X145" i="19"/>
  <c r="X138" i="19"/>
  <c r="W138" i="19"/>
  <c r="X137" i="19"/>
  <c r="X136" i="19"/>
  <c r="X132" i="19"/>
  <c r="W132" i="19"/>
  <c r="W127" i="19"/>
  <c r="X126" i="19"/>
  <c r="X118" i="19"/>
  <c r="W118" i="19"/>
  <c r="X109" i="19"/>
  <c r="W109" i="19"/>
  <c r="X95" i="19"/>
  <c r="X88" i="19"/>
  <c r="W88" i="19"/>
  <c r="X87" i="19"/>
  <c r="X86" i="19"/>
  <c r="X82" i="19"/>
  <c r="W82" i="19"/>
  <c r="W77" i="19"/>
  <c r="X76" i="19"/>
  <c r="X68" i="19"/>
  <c r="W68" i="19"/>
  <c r="X59" i="19"/>
  <c r="W59" i="19"/>
  <c r="X45" i="19"/>
  <c r="X38" i="19"/>
  <c r="W38" i="19"/>
  <c r="X37" i="19"/>
  <c r="X36" i="19"/>
  <c r="X32" i="19"/>
  <c r="W32" i="19"/>
  <c r="W27" i="19"/>
  <c r="X26" i="19"/>
  <c r="X18" i="19"/>
  <c r="W18" i="19"/>
  <c r="X9" i="19"/>
  <c r="W9" i="19"/>
  <c r="U245" i="19"/>
  <c r="U238" i="19"/>
  <c r="T238" i="19"/>
  <c r="U237" i="19"/>
  <c r="U236" i="19"/>
  <c r="U232" i="19"/>
  <c r="T232" i="19"/>
  <c r="T227" i="19"/>
  <c r="U226" i="19"/>
  <c r="U218" i="19"/>
  <c r="T218" i="19"/>
  <c r="U209" i="19"/>
  <c r="T209" i="19"/>
  <c r="U195" i="19"/>
  <c r="U188" i="19"/>
  <c r="T188" i="19"/>
  <c r="U187" i="19"/>
  <c r="U186" i="19"/>
  <c r="U182" i="19"/>
  <c r="T182" i="19"/>
  <c r="T177" i="19"/>
  <c r="U176" i="19"/>
  <c r="U168" i="19"/>
  <c r="T168" i="19"/>
  <c r="U159" i="19"/>
  <c r="T159" i="19"/>
  <c r="U145" i="19"/>
  <c r="U138" i="19"/>
  <c r="T138" i="19"/>
  <c r="U137" i="19"/>
  <c r="U136" i="19"/>
  <c r="U132" i="19"/>
  <c r="T132" i="19"/>
  <c r="T127" i="19"/>
  <c r="U126" i="19"/>
  <c r="U118" i="19"/>
  <c r="T118" i="19"/>
  <c r="U109" i="19"/>
  <c r="T109" i="19"/>
  <c r="U95" i="19"/>
  <c r="U88" i="19"/>
  <c r="T88" i="19"/>
  <c r="U87" i="19"/>
  <c r="U86" i="19"/>
  <c r="U82" i="19"/>
  <c r="T82" i="19"/>
  <c r="T77" i="19"/>
  <c r="U76" i="19"/>
  <c r="U68" i="19"/>
  <c r="T68" i="19"/>
  <c r="U59" i="19"/>
  <c r="T59" i="19"/>
  <c r="U45" i="19"/>
  <c r="U38" i="19"/>
  <c r="T38" i="19"/>
  <c r="U37" i="19"/>
  <c r="U36" i="19"/>
  <c r="U32" i="19"/>
  <c r="T32" i="19"/>
  <c r="T27" i="19"/>
  <c r="U26" i="19"/>
  <c r="U18" i="19"/>
  <c r="T18" i="19"/>
  <c r="U9" i="19"/>
  <c r="T9" i="19"/>
  <c r="R245" i="19"/>
  <c r="R238" i="19"/>
  <c r="Q238" i="19"/>
  <c r="R237" i="19"/>
  <c r="R236" i="19"/>
  <c r="R232" i="19"/>
  <c r="Q232" i="19"/>
  <c r="Q227" i="19"/>
  <c r="R226" i="19"/>
  <c r="R218" i="19"/>
  <c r="Q218" i="19"/>
  <c r="R209" i="19"/>
  <c r="Q209" i="19"/>
  <c r="R195" i="19"/>
  <c r="R188" i="19"/>
  <c r="Q188" i="19"/>
  <c r="R187" i="19"/>
  <c r="R186" i="19"/>
  <c r="R182" i="19"/>
  <c r="Q182" i="19"/>
  <c r="Q177" i="19"/>
  <c r="R176" i="19"/>
  <c r="R168" i="19"/>
  <c r="Q168" i="19"/>
  <c r="R159" i="19"/>
  <c r="Q159" i="19"/>
  <c r="R145" i="19"/>
  <c r="R138" i="19"/>
  <c r="Q138" i="19"/>
  <c r="R137" i="19"/>
  <c r="R136" i="19"/>
  <c r="R132" i="19"/>
  <c r="Q132" i="19"/>
  <c r="Q127" i="19"/>
  <c r="R126" i="19"/>
  <c r="R118" i="19"/>
  <c r="Q118" i="19"/>
  <c r="R109" i="19"/>
  <c r="Q109" i="19"/>
  <c r="R95" i="19"/>
  <c r="R88" i="19"/>
  <c r="Q88" i="19"/>
  <c r="R87" i="19"/>
  <c r="R86" i="19"/>
  <c r="R82" i="19"/>
  <c r="Q82" i="19"/>
  <c r="Q77" i="19"/>
  <c r="R76" i="19"/>
  <c r="R68" i="19"/>
  <c r="Q68" i="19"/>
  <c r="R59" i="19"/>
  <c r="Q59" i="19"/>
  <c r="R45" i="19"/>
  <c r="R38" i="19"/>
  <c r="Q38" i="19"/>
  <c r="R37" i="19"/>
  <c r="R36" i="19"/>
  <c r="R32" i="19"/>
  <c r="Q32" i="19"/>
  <c r="Q27" i="19"/>
  <c r="R26" i="19"/>
  <c r="R18" i="19"/>
  <c r="Q18" i="19"/>
  <c r="R9" i="19"/>
  <c r="Q9" i="19"/>
  <c r="O245" i="19"/>
  <c r="O238" i="19"/>
  <c r="N238" i="19"/>
  <c r="O237" i="19"/>
  <c r="O236" i="19"/>
  <c r="O232" i="19"/>
  <c r="N232" i="19"/>
  <c r="N227" i="19"/>
  <c r="O226" i="19"/>
  <c r="O218" i="19"/>
  <c r="N218" i="19"/>
  <c r="O209" i="19"/>
  <c r="N209" i="19"/>
  <c r="O195" i="19"/>
  <c r="O188" i="19"/>
  <c r="N188" i="19"/>
  <c r="O187" i="19"/>
  <c r="O186" i="19"/>
  <c r="O182" i="19"/>
  <c r="N182" i="19"/>
  <c r="N177" i="19"/>
  <c r="O176" i="19"/>
  <c r="O168" i="19"/>
  <c r="N168" i="19"/>
  <c r="O159" i="19"/>
  <c r="N159" i="19"/>
  <c r="O145" i="19"/>
  <c r="O138" i="19"/>
  <c r="N138" i="19"/>
  <c r="O137" i="19"/>
  <c r="O136" i="19"/>
  <c r="O132" i="19"/>
  <c r="N132" i="19"/>
  <c r="N127" i="19"/>
  <c r="O126" i="19"/>
  <c r="O118" i="19"/>
  <c r="N118" i="19"/>
  <c r="O109" i="19"/>
  <c r="N109" i="19"/>
  <c r="O95" i="19"/>
  <c r="O88" i="19"/>
  <c r="N88" i="19"/>
  <c r="O87" i="19"/>
  <c r="O86" i="19"/>
  <c r="O82" i="19"/>
  <c r="N82" i="19"/>
  <c r="N77" i="19"/>
  <c r="O76" i="19"/>
  <c r="O68" i="19"/>
  <c r="N68" i="19"/>
  <c r="O59" i="19"/>
  <c r="N59" i="19"/>
  <c r="O45" i="19"/>
  <c r="O38" i="19"/>
  <c r="N38" i="19"/>
  <c r="O37" i="19"/>
  <c r="O36" i="19"/>
  <c r="O32" i="19"/>
  <c r="N32" i="19"/>
  <c r="N27" i="19"/>
  <c r="O26" i="19"/>
  <c r="O18" i="19"/>
  <c r="N18" i="19"/>
  <c r="O9" i="19"/>
  <c r="N9" i="19"/>
  <c r="L95" i="19"/>
  <c r="L88" i="19"/>
  <c r="K88" i="19"/>
  <c r="L87" i="19"/>
  <c r="L86" i="19"/>
  <c r="L82" i="19"/>
  <c r="K82" i="19"/>
  <c r="K77" i="19"/>
  <c r="L76" i="19"/>
  <c r="L68" i="19"/>
  <c r="K68" i="19"/>
  <c r="L59" i="19"/>
  <c r="K59" i="19"/>
  <c r="L145" i="19"/>
  <c r="L138" i="19"/>
  <c r="K138" i="19"/>
  <c r="L137" i="19"/>
  <c r="L136" i="19"/>
  <c r="L132" i="19"/>
  <c r="K132" i="19"/>
  <c r="K127" i="19"/>
  <c r="L126" i="19"/>
  <c r="L118" i="19"/>
  <c r="K118" i="19"/>
  <c r="L109" i="19"/>
  <c r="K109" i="19"/>
  <c r="L195" i="19"/>
  <c r="L188" i="19"/>
  <c r="K188" i="19"/>
  <c r="L187" i="19"/>
  <c r="L186" i="19"/>
  <c r="L182" i="19"/>
  <c r="K182" i="19"/>
  <c r="K177" i="19"/>
  <c r="L176" i="19"/>
  <c r="L168" i="19"/>
  <c r="K168" i="19"/>
  <c r="L159" i="19"/>
  <c r="K159" i="19"/>
  <c r="L245" i="19"/>
  <c r="L238" i="19"/>
  <c r="K238" i="19"/>
  <c r="L237" i="19"/>
  <c r="L236" i="19"/>
  <c r="L232" i="19"/>
  <c r="K232" i="19"/>
  <c r="K227" i="19"/>
  <c r="L226" i="19"/>
  <c r="L218" i="19"/>
  <c r="K218" i="19"/>
  <c r="L209" i="19"/>
  <c r="K209" i="19"/>
  <c r="L45" i="19"/>
  <c r="L38" i="19"/>
  <c r="K38" i="19"/>
  <c r="L37" i="19"/>
  <c r="K136" i="1"/>
  <c r="W136" i="1"/>
  <c r="T137" i="1"/>
  <c r="AA137" i="1" s="1"/>
  <c r="W137" i="1"/>
  <c r="T138" i="1"/>
  <c r="AA138" i="1" s="1"/>
  <c r="W138" i="1"/>
  <c r="K139" i="1"/>
  <c r="W139" i="1"/>
  <c r="T140" i="1"/>
  <c r="AA140" i="1" s="1"/>
  <c r="W140" i="1"/>
  <c r="T141" i="1"/>
  <c r="AA141" i="1" s="1"/>
  <c r="AC141" i="1" s="1"/>
  <c r="W141" i="1"/>
  <c r="K142" i="1"/>
  <c r="T142" i="1"/>
  <c r="AA142" i="1" s="1"/>
  <c r="W142" i="1"/>
  <c r="T143" i="1"/>
  <c r="AA143" i="1" s="1"/>
  <c r="W143" i="1"/>
  <c r="T144" i="1"/>
  <c r="AA144" i="1" s="1"/>
  <c r="W144" i="1"/>
  <c r="K145" i="1"/>
  <c r="L145" i="1" s="1"/>
  <c r="T145" i="1"/>
  <c r="AE145" i="1" s="1"/>
  <c r="AD145" i="1" s="1"/>
  <c r="W145" i="1"/>
  <c r="T146" i="1"/>
  <c r="AA146" i="1" s="1"/>
  <c r="W146" i="1"/>
  <c r="T147" i="1"/>
  <c r="AA147" i="1" s="1"/>
  <c r="W147" i="1"/>
  <c r="K148" i="1"/>
  <c r="T148" i="1"/>
  <c r="AA148" i="1" s="1"/>
  <c r="W148" i="1"/>
  <c r="T149" i="1"/>
  <c r="AA149" i="1" s="1"/>
  <c r="W149" i="1"/>
  <c r="T150" i="1"/>
  <c r="AA150" i="1" s="1"/>
  <c r="W150" i="1"/>
  <c r="W97" i="1"/>
  <c r="T97" i="1"/>
  <c r="N97" i="1"/>
  <c r="O97" i="1" s="1"/>
  <c r="P97" i="1" s="1"/>
  <c r="K97" i="1"/>
  <c r="AE146" i="1" l="1"/>
  <c r="AD146" i="1" s="1"/>
  <c r="AA145" i="1"/>
  <c r="AC145" i="1" s="1"/>
  <c r="AE141" i="1"/>
  <c r="AD141" i="1" s="1"/>
  <c r="AB141" i="1"/>
  <c r="AE140" i="1"/>
  <c r="AD140" i="1" s="1"/>
  <c r="AC67" i="1"/>
  <c r="AB67" i="1"/>
  <c r="AC146" i="1"/>
  <c r="AB146" i="1"/>
  <c r="AC140" i="1"/>
  <c r="AB140" i="1"/>
  <c r="AC147" i="1"/>
  <c r="AB147" i="1"/>
  <c r="L136" i="1"/>
  <c r="AA136" i="1" s="1"/>
  <c r="AE147" i="1"/>
  <c r="AD147" i="1" s="1"/>
  <c r="L142" i="1"/>
  <c r="L148" i="1"/>
  <c r="L139" i="1"/>
  <c r="AA139" i="1" s="1"/>
  <c r="BB78" i="18"/>
  <c r="N38" i="18"/>
  <c r="N78" i="18"/>
  <c r="X98" i="18"/>
  <c r="AH78" i="18"/>
  <c r="X38" i="18"/>
  <c r="AH58" i="18"/>
  <c r="AH98" i="18"/>
  <c r="AR78" i="18"/>
  <c r="BB98" i="18"/>
  <c r="X18" i="18"/>
  <c r="X58" i="18"/>
  <c r="AH38" i="18"/>
  <c r="AR18" i="18"/>
  <c r="AR58" i="18"/>
  <c r="AR98" i="18"/>
  <c r="BB38" i="18"/>
  <c r="N18" i="18"/>
  <c r="N58" i="18"/>
  <c r="N98" i="18"/>
  <c r="X78" i="18"/>
  <c r="AH18" i="18"/>
  <c r="AR38" i="18"/>
  <c r="BB18" i="18"/>
  <c r="BB58" i="18"/>
  <c r="AB149" i="1"/>
  <c r="AC149" i="1"/>
  <c r="AB138" i="1"/>
  <c r="AC138" i="1"/>
  <c r="AB144" i="1"/>
  <c r="AC144" i="1"/>
  <c r="AB142" i="1"/>
  <c r="AC142" i="1"/>
  <c r="AB150" i="1"/>
  <c r="AC150" i="1"/>
  <c r="AB148" i="1"/>
  <c r="AC148" i="1"/>
  <c r="AB137" i="1"/>
  <c r="AC137" i="1"/>
  <c r="AB143" i="1"/>
  <c r="AC143" i="1"/>
  <c r="AE150" i="1"/>
  <c r="AD150" i="1" s="1"/>
  <c r="AE149" i="1"/>
  <c r="AD149" i="1" s="1"/>
  <c r="AE148" i="1"/>
  <c r="AD148" i="1" s="1"/>
  <c r="AE144" i="1"/>
  <c r="AD144" i="1" s="1"/>
  <c r="AE143" i="1"/>
  <c r="AD143" i="1" s="1"/>
  <c r="AE142" i="1"/>
  <c r="AD142" i="1" s="1"/>
  <c r="AE138" i="1"/>
  <c r="AD138" i="1" s="1"/>
  <c r="AE137" i="1"/>
  <c r="AD137" i="1" s="1"/>
  <c r="Q97" i="1"/>
  <c r="AE97" i="1"/>
  <c r="AD97" i="1" s="1"/>
  <c r="L97" i="1"/>
  <c r="AA97" i="1" s="1"/>
  <c r="AB139" i="1" l="1"/>
  <c r="AC139" i="1"/>
  <c r="AB136" i="1"/>
  <c r="AC136" i="1"/>
  <c r="X52" i="19"/>
  <c r="R52" i="19"/>
  <c r="O52" i="19"/>
  <c r="AB145" i="1"/>
  <c r="S254" i="19" s="1"/>
  <c r="R102" i="19"/>
  <c r="U52" i="19"/>
  <c r="AF141" i="1"/>
  <c r="O152" i="19"/>
  <c r="L202" i="19"/>
  <c r="L252" i="19"/>
  <c r="L102" i="19"/>
  <c r="X102" i="19"/>
  <c r="O252" i="19"/>
  <c r="L52" i="19"/>
  <c r="L152" i="19"/>
  <c r="O102" i="19"/>
  <c r="X152" i="19"/>
  <c r="O202" i="19"/>
  <c r="R252" i="19"/>
  <c r="R152" i="19"/>
  <c r="U252" i="19"/>
  <c r="U102" i="19"/>
  <c r="X202" i="19"/>
  <c r="R202" i="19"/>
  <c r="X252" i="19"/>
  <c r="U152" i="19"/>
  <c r="U202" i="19"/>
  <c r="AF147" i="1"/>
  <c r="X254" i="19"/>
  <c r="X54" i="19"/>
  <c r="X204" i="19"/>
  <c r="U254" i="19"/>
  <c r="X154" i="19"/>
  <c r="U204" i="19"/>
  <c r="X104" i="19"/>
  <c r="U154" i="19"/>
  <c r="U104" i="19"/>
  <c r="R154" i="19"/>
  <c r="O204" i="19"/>
  <c r="U54" i="19"/>
  <c r="R104" i="19"/>
  <c r="O154" i="19"/>
  <c r="R204" i="19"/>
  <c r="O254" i="19"/>
  <c r="L204" i="19"/>
  <c r="L54" i="19"/>
  <c r="O54" i="19"/>
  <c r="L254" i="19"/>
  <c r="R54" i="19"/>
  <c r="L104" i="19"/>
  <c r="R254" i="19"/>
  <c r="O104" i="19"/>
  <c r="L154" i="19"/>
  <c r="AF143" i="1"/>
  <c r="W253" i="19"/>
  <c r="W53" i="19"/>
  <c r="W203" i="19"/>
  <c r="T253" i="19"/>
  <c r="W153" i="19"/>
  <c r="T203" i="19"/>
  <c r="W103" i="19"/>
  <c r="T103" i="19"/>
  <c r="Q153" i="19"/>
  <c r="N203" i="19"/>
  <c r="T53" i="19"/>
  <c r="Q103" i="19"/>
  <c r="N153" i="19"/>
  <c r="Q253" i="19"/>
  <c r="Q53" i="19"/>
  <c r="N103" i="19"/>
  <c r="K203" i="19"/>
  <c r="N53" i="19"/>
  <c r="K253" i="19"/>
  <c r="T153" i="19"/>
  <c r="N253" i="19"/>
  <c r="K153" i="19"/>
  <c r="Q203" i="19"/>
  <c r="K103" i="19"/>
  <c r="K53" i="19"/>
  <c r="V205" i="19"/>
  <c r="S255" i="19"/>
  <c r="V155" i="19"/>
  <c r="S205" i="19"/>
  <c r="V105" i="19"/>
  <c r="S155" i="19"/>
  <c r="V255" i="19"/>
  <c r="V55" i="19"/>
  <c r="S55" i="19"/>
  <c r="P105" i="19"/>
  <c r="M155" i="19"/>
  <c r="P255" i="19"/>
  <c r="P55" i="19"/>
  <c r="M105" i="19"/>
  <c r="M55" i="19"/>
  <c r="J255" i="19"/>
  <c r="S105" i="19"/>
  <c r="P155" i="19"/>
  <c r="M205" i="19"/>
  <c r="J105" i="19"/>
  <c r="M255" i="19"/>
  <c r="J205" i="19"/>
  <c r="P205" i="19"/>
  <c r="J155" i="19"/>
  <c r="J55" i="19"/>
  <c r="V103" i="19"/>
  <c r="V253" i="19"/>
  <c r="V53" i="19"/>
  <c r="V203" i="19"/>
  <c r="S253" i="19"/>
  <c r="V153" i="19"/>
  <c r="S203" i="19"/>
  <c r="S153" i="19"/>
  <c r="P203" i="19"/>
  <c r="M253" i="19"/>
  <c r="S103" i="19"/>
  <c r="P153" i="19"/>
  <c r="M203" i="19"/>
  <c r="J153" i="19"/>
  <c r="P253" i="19"/>
  <c r="P53" i="19"/>
  <c r="M103" i="19"/>
  <c r="J203" i="19"/>
  <c r="P103" i="19"/>
  <c r="J103" i="19"/>
  <c r="J53" i="19"/>
  <c r="M53" i="19"/>
  <c r="J253" i="19"/>
  <c r="S53" i="19"/>
  <c r="M153" i="19"/>
  <c r="X101" i="19"/>
  <c r="X251" i="19"/>
  <c r="X51" i="19"/>
  <c r="X201" i="19"/>
  <c r="U251" i="19"/>
  <c r="X151" i="19"/>
  <c r="U201" i="19"/>
  <c r="U151" i="19"/>
  <c r="R201" i="19"/>
  <c r="O251" i="19"/>
  <c r="U101" i="19"/>
  <c r="R151" i="19"/>
  <c r="O201" i="19"/>
  <c r="U51" i="19"/>
  <c r="R101" i="19"/>
  <c r="O151" i="19"/>
  <c r="L151" i="19"/>
  <c r="L201" i="19"/>
  <c r="R51" i="19"/>
  <c r="R251" i="19"/>
  <c r="O101" i="19"/>
  <c r="L101" i="19"/>
  <c r="L51" i="19"/>
  <c r="O51" i="19"/>
  <c r="L251" i="19"/>
  <c r="W155" i="19"/>
  <c r="T205" i="19"/>
  <c r="W105" i="19"/>
  <c r="T155" i="19"/>
  <c r="W255" i="19"/>
  <c r="W55" i="19"/>
  <c r="W205" i="19"/>
  <c r="T255" i="19"/>
  <c r="Q255" i="19"/>
  <c r="Q55" i="19"/>
  <c r="N105" i="19"/>
  <c r="Q205" i="19"/>
  <c r="N255" i="19"/>
  <c r="T105" i="19"/>
  <c r="Q155" i="19"/>
  <c r="N205" i="19"/>
  <c r="K105" i="19"/>
  <c r="K155" i="19"/>
  <c r="T55" i="19"/>
  <c r="N155" i="19"/>
  <c r="K55" i="19"/>
  <c r="N55" i="19"/>
  <c r="K255" i="19"/>
  <c r="Q105" i="19"/>
  <c r="K205" i="19"/>
  <c r="AF137" i="1"/>
  <c r="W151" i="19"/>
  <c r="T201" i="19"/>
  <c r="W101" i="19"/>
  <c r="W251" i="19"/>
  <c r="W51" i="19"/>
  <c r="W201" i="19"/>
  <c r="T251" i="19"/>
  <c r="Q251" i="19"/>
  <c r="Q51" i="19"/>
  <c r="N101" i="19"/>
  <c r="T151" i="19"/>
  <c r="Q201" i="19"/>
  <c r="N251" i="19"/>
  <c r="K101" i="19"/>
  <c r="T51" i="19"/>
  <c r="Q101" i="19"/>
  <c r="N151" i="19"/>
  <c r="K151" i="19"/>
  <c r="T101" i="19"/>
  <c r="N201" i="19"/>
  <c r="N51" i="19"/>
  <c r="K251" i="19"/>
  <c r="K201" i="19"/>
  <c r="K51" i="19"/>
  <c r="Q151" i="19"/>
  <c r="AF150" i="1"/>
  <c r="X105" i="19"/>
  <c r="U155" i="19"/>
  <c r="X255" i="19"/>
  <c r="X55" i="19"/>
  <c r="X205" i="19"/>
  <c r="U255" i="19"/>
  <c r="X155" i="19"/>
  <c r="U205" i="19"/>
  <c r="R205" i="19"/>
  <c r="O255" i="19"/>
  <c r="U105" i="19"/>
  <c r="R155" i="19"/>
  <c r="O205" i="19"/>
  <c r="L155" i="19"/>
  <c r="R255" i="19"/>
  <c r="R55" i="19"/>
  <c r="O105" i="19"/>
  <c r="L205" i="19"/>
  <c r="U55" i="19"/>
  <c r="O155" i="19"/>
  <c r="L105" i="19"/>
  <c r="L55" i="19"/>
  <c r="O55" i="19"/>
  <c r="L255" i="19"/>
  <c r="R105" i="19"/>
  <c r="X203" i="19"/>
  <c r="U253" i="19"/>
  <c r="X153" i="19"/>
  <c r="U203" i="19"/>
  <c r="X103" i="19"/>
  <c r="X253" i="19"/>
  <c r="X53" i="19"/>
  <c r="U53" i="19"/>
  <c r="R103" i="19"/>
  <c r="O153" i="19"/>
  <c r="R253" i="19"/>
  <c r="R53" i="19"/>
  <c r="O103" i="19"/>
  <c r="O53" i="19"/>
  <c r="L253" i="19"/>
  <c r="U153" i="19"/>
  <c r="R203" i="19"/>
  <c r="O253" i="19"/>
  <c r="L103" i="19"/>
  <c r="L53" i="19"/>
  <c r="L153" i="19"/>
  <c r="R153" i="19"/>
  <c r="L203" i="19"/>
  <c r="U103" i="19"/>
  <c r="O203" i="19"/>
  <c r="AF140" i="1"/>
  <c r="W202" i="19"/>
  <c r="T252" i="19"/>
  <c r="W152" i="19"/>
  <c r="T202" i="19"/>
  <c r="W102" i="19"/>
  <c r="W252" i="19"/>
  <c r="W52" i="19"/>
  <c r="T52" i="19"/>
  <c r="Q102" i="19"/>
  <c r="N152" i="19"/>
  <c r="Q252" i="19"/>
  <c r="Q52" i="19"/>
  <c r="N102" i="19"/>
  <c r="N52" i="19"/>
  <c r="K252" i="19"/>
  <c r="T102" i="19"/>
  <c r="Q152" i="19"/>
  <c r="N202" i="19"/>
  <c r="K102" i="19"/>
  <c r="Q202" i="19"/>
  <c r="K202" i="19"/>
  <c r="K52" i="19"/>
  <c r="T152" i="19"/>
  <c r="N252" i="19"/>
  <c r="K152" i="19"/>
  <c r="AF146" i="1"/>
  <c r="W104" i="19"/>
  <c r="W254" i="19"/>
  <c r="W54" i="19"/>
  <c r="W204" i="19"/>
  <c r="T254" i="19"/>
  <c r="W154" i="19"/>
  <c r="T204" i="19"/>
  <c r="T154" i="19"/>
  <c r="Q204" i="19"/>
  <c r="N254" i="19"/>
  <c r="T104" i="19"/>
  <c r="Q154" i="19"/>
  <c r="N204" i="19"/>
  <c r="T54" i="19"/>
  <c r="Q104" i="19"/>
  <c r="N154" i="19"/>
  <c r="K154" i="19"/>
  <c r="K204" i="19"/>
  <c r="Q254" i="19"/>
  <c r="N104" i="19"/>
  <c r="Q54" i="19"/>
  <c r="K104" i="19"/>
  <c r="K54" i="19"/>
  <c r="N54" i="19"/>
  <c r="K254" i="19"/>
  <c r="AF144" i="1"/>
  <c r="AF148" i="1"/>
  <c r="AF142" i="1"/>
  <c r="AF138" i="1"/>
  <c r="AF149" i="1"/>
  <c r="AB97" i="1"/>
  <c r="AF97" i="1" s="1"/>
  <c r="AC97" i="1"/>
  <c r="V154" i="19" l="1"/>
  <c r="M204" i="19"/>
  <c r="J204" i="19"/>
  <c r="J104" i="19"/>
  <c r="P54" i="19"/>
  <c r="P254" i="19"/>
  <c r="J54" i="19"/>
  <c r="V204" i="19"/>
  <c r="M154" i="19"/>
  <c r="P104" i="19"/>
  <c r="J254" i="19"/>
  <c r="M254" i="19"/>
  <c r="V54" i="19"/>
  <c r="M54" i="19"/>
  <c r="P204" i="19"/>
  <c r="V254" i="19"/>
  <c r="P154" i="19"/>
  <c r="S154" i="19"/>
  <c r="V104" i="19"/>
  <c r="AF145" i="1"/>
  <c r="J154" i="19"/>
  <c r="M104" i="19"/>
  <c r="S204" i="19"/>
  <c r="S104" i="19"/>
  <c r="S54" i="19"/>
  <c r="J238" i="19"/>
  <c r="S188" i="19"/>
  <c r="S238" i="19"/>
  <c r="J88" i="19"/>
  <c r="M238" i="19"/>
  <c r="V138" i="19"/>
  <c r="V188" i="19"/>
  <c r="M88" i="19"/>
  <c r="S38" i="19"/>
  <c r="J138" i="19"/>
  <c r="M188" i="19"/>
  <c r="M138" i="19"/>
  <c r="M38" i="19"/>
  <c r="P138" i="19"/>
  <c r="J38" i="19"/>
  <c r="S88" i="19"/>
  <c r="J188" i="19"/>
  <c r="P88" i="19"/>
  <c r="P38" i="19"/>
  <c r="P188" i="19"/>
  <c r="V88" i="19"/>
  <c r="V38" i="19"/>
  <c r="V238" i="19"/>
  <c r="P238" i="19"/>
  <c r="S138" i="19"/>
  <c r="L36" i="19"/>
  <c r="L32" i="19"/>
  <c r="K32" i="19"/>
  <c r="L26" i="19"/>
  <c r="L18" i="19"/>
  <c r="K18" i="19"/>
  <c r="L9" i="19"/>
  <c r="K9" i="19"/>
  <c r="F221" i="13" l="1"/>
  <c r="F220" i="13"/>
  <c r="F219" i="13"/>
  <c r="F218" i="13"/>
  <c r="F217" i="13"/>
  <c r="F216" i="13"/>
  <c r="F215" i="13"/>
  <c r="F214" i="13"/>
  <c r="F213" i="13"/>
  <c r="F212" i="13"/>
  <c r="F211" i="13"/>
  <c r="F210" i="13"/>
  <c r="W82" i="1" l="1"/>
  <c r="T82" i="1"/>
  <c r="K82" i="1"/>
  <c r="L82" i="1" l="1"/>
  <c r="AA82" i="1" s="1"/>
  <c r="AB82" i="1" l="1"/>
  <c r="AC82" i="1"/>
  <c r="T30" i="1" l="1"/>
  <c r="T18" i="1" l="1"/>
  <c r="AE18" i="1" s="1"/>
  <c r="AD18" i="1" s="1"/>
  <c r="T17" i="1"/>
  <c r="AE17" i="1" s="1"/>
  <c r="AD17" i="1" s="1"/>
  <c r="W133" i="1"/>
  <c r="T133" i="1"/>
  <c r="K133" i="1"/>
  <c r="W132" i="1"/>
  <c r="T132" i="1"/>
  <c r="AD132" i="1" s="1"/>
  <c r="W131" i="1"/>
  <c r="T131" i="1"/>
  <c r="AD131" i="1" s="1"/>
  <c r="W130" i="1"/>
  <c r="T130" i="1"/>
  <c r="K130" i="1"/>
  <c r="W129" i="1"/>
  <c r="T129" i="1"/>
  <c r="AD129" i="1" s="1"/>
  <c r="W128" i="1"/>
  <c r="T128" i="1"/>
  <c r="AD128" i="1" s="1"/>
  <c r="W127" i="1"/>
  <c r="T127" i="1"/>
  <c r="K127" i="1"/>
  <c r="T126" i="1"/>
  <c r="AE126" i="1" s="1"/>
  <c r="AD126" i="1" s="1"/>
  <c r="T125" i="1"/>
  <c r="AE125" i="1" s="1"/>
  <c r="AD125" i="1" s="1"/>
  <c r="W124" i="1"/>
  <c r="T124" i="1"/>
  <c r="K124" i="1"/>
  <c r="L133" i="1" l="1"/>
  <c r="AA133" i="1" s="1"/>
  <c r="L130" i="1"/>
  <c r="AA130" i="1" s="1"/>
  <c r="AA131" i="1" s="1"/>
  <c r="AA132" i="1" s="1"/>
  <c r="L127" i="1"/>
  <c r="AA127" i="1" s="1"/>
  <c r="AA128" i="1" s="1"/>
  <c r="AA129" i="1" s="1"/>
  <c r="L124" i="1"/>
  <c r="AA124" i="1" s="1"/>
  <c r="AA125" i="1" s="1"/>
  <c r="AA126" i="1" s="1"/>
  <c r="T120" i="1"/>
  <c r="W119" i="1"/>
  <c r="T119" i="1"/>
  <c r="W118" i="1"/>
  <c r="T118" i="1"/>
  <c r="K118" i="1"/>
  <c r="W117" i="1"/>
  <c r="T117" i="1"/>
  <c r="W116" i="1"/>
  <c r="T116" i="1"/>
  <c r="W115" i="1"/>
  <c r="T115" i="1"/>
  <c r="K115" i="1"/>
  <c r="T114" i="1"/>
  <c r="W113" i="1"/>
  <c r="T113" i="1"/>
  <c r="W112" i="1"/>
  <c r="T112" i="1"/>
  <c r="K112" i="1"/>
  <c r="T111" i="1"/>
  <c r="W110" i="1"/>
  <c r="T110" i="1"/>
  <c r="W109" i="1"/>
  <c r="T109" i="1"/>
  <c r="K109" i="1"/>
  <c r="T108" i="1"/>
  <c r="W107" i="1"/>
  <c r="T107" i="1"/>
  <c r="W106" i="1"/>
  <c r="T106" i="1"/>
  <c r="K106" i="1"/>
  <c r="K121" i="1"/>
  <c r="K103" i="1"/>
  <c r="K100" i="1"/>
  <c r="K94" i="1"/>
  <c r="K91" i="1"/>
  <c r="K88" i="1"/>
  <c r="K85" i="1"/>
  <c r="K79" i="1"/>
  <c r="K76" i="1"/>
  <c r="K73" i="1"/>
  <c r="K70" i="1"/>
  <c r="K64" i="1"/>
  <c r="K61" i="1"/>
  <c r="K58" i="1"/>
  <c r="K55" i="1"/>
  <c r="K52" i="1"/>
  <c r="K49" i="1"/>
  <c r="K46" i="1"/>
  <c r="K43" i="1"/>
  <c r="K40" i="1"/>
  <c r="K37" i="1"/>
  <c r="K34" i="1"/>
  <c r="K31" i="1"/>
  <c r="K28" i="1"/>
  <c r="K25" i="1"/>
  <c r="K22" i="1"/>
  <c r="K19" i="1"/>
  <c r="K16" i="1"/>
  <c r="K13" i="1"/>
  <c r="K10" i="1"/>
  <c r="T123" i="1"/>
  <c r="AE123" i="1" s="1"/>
  <c r="AD123" i="1" s="1"/>
  <c r="T122" i="1"/>
  <c r="AE122" i="1" s="1"/>
  <c r="AD122" i="1" s="1"/>
  <c r="W121" i="1"/>
  <c r="T121" i="1"/>
  <c r="T105" i="1"/>
  <c r="W104" i="1"/>
  <c r="T104" i="1"/>
  <c r="T102" i="1"/>
  <c r="W101" i="1"/>
  <c r="T101" i="1"/>
  <c r="W100" i="1"/>
  <c r="T100" i="1"/>
  <c r="T93" i="1"/>
  <c r="W92" i="1"/>
  <c r="T92" i="1"/>
  <c r="T90" i="1"/>
  <c r="W91" i="1"/>
  <c r="T91" i="1"/>
  <c r="W89" i="1"/>
  <c r="T89" i="1"/>
  <c r="AA89" i="1" s="1"/>
  <c r="T87" i="1"/>
  <c r="T86" i="1"/>
  <c r="W81" i="1"/>
  <c r="T81" i="1"/>
  <c r="W80" i="1"/>
  <c r="T80" i="1"/>
  <c r="W78" i="1"/>
  <c r="T78" i="1"/>
  <c r="AD78" i="1" s="1"/>
  <c r="W77" i="1"/>
  <c r="T77" i="1"/>
  <c r="T75" i="1"/>
  <c r="W73" i="1"/>
  <c r="T73" i="1"/>
  <c r="T74" i="1"/>
  <c r="W70" i="1"/>
  <c r="T70" i="1"/>
  <c r="T63" i="1"/>
  <c r="T60" i="1"/>
  <c r="AE60" i="1" s="1"/>
  <c r="AD60" i="1" s="1"/>
  <c r="T59" i="1"/>
  <c r="T57" i="1"/>
  <c r="AE57" i="1" s="1"/>
  <c r="AD57" i="1" s="1"/>
  <c r="T56" i="1"/>
  <c r="T54" i="1"/>
  <c r="AE54" i="1" s="1"/>
  <c r="AD54" i="1" s="1"/>
  <c r="W53" i="1"/>
  <c r="T53" i="1"/>
  <c r="T51" i="1"/>
  <c r="T50" i="1"/>
  <c r="T48" i="1"/>
  <c r="AE48" i="1" s="1"/>
  <c r="AD48" i="1" s="1"/>
  <c r="W49" i="1"/>
  <c r="T49" i="1"/>
  <c r="T47" i="1"/>
  <c r="T45" i="1"/>
  <c r="AE45" i="1" s="1"/>
  <c r="AD45" i="1" s="1"/>
  <c r="T44" i="1"/>
  <c r="T42" i="1"/>
  <c r="AE42" i="1" s="1"/>
  <c r="AD42" i="1" s="1"/>
  <c r="W41" i="1"/>
  <c r="T41" i="1"/>
  <c r="W43" i="1"/>
  <c r="T43" i="1"/>
  <c r="W40" i="1"/>
  <c r="T40" i="1"/>
  <c r="T39" i="1"/>
  <c r="T38" i="1"/>
  <c r="W37" i="1"/>
  <c r="T37" i="1"/>
  <c r="T36" i="1"/>
  <c r="AE36" i="1" s="1"/>
  <c r="AD36" i="1" s="1"/>
  <c r="T35" i="1"/>
  <c r="W34" i="1"/>
  <c r="T34" i="1"/>
  <c r="T33" i="1"/>
  <c r="AE33" i="1" s="1"/>
  <c r="AD33" i="1" s="1"/>
  <c r="T32" i="1"/>
  <c r="W31" i="1"/>
  <c r="T31" i="1"/>
  <c r="W30" i="1"/>
  <c r="AD30" i="1"/>
  <c r="W29" i="1"/>
  <c r="T29" i="1"/>
  <c r="W28" i="1"/>
  <c r="T28" i="1"/>
  <c r="T27" i="1"/>
  <c r="AE27" i="1" s="1"/>
  <c r="AD27" i="1" s="1"/>
  <c r="W26" i="1"/>
  <c r="T26" i="1"/>
  <c r="W25" i="1"/>
  <c r="T25" i="1"/>
  <c r="T24" i="1"/>
  <c r="AE24" i="1" s="1"/>
  <c r="AD24" i="1" s="1"/>
  <c r="T23" i="1"/>
  <c r="W22" i="1"/>
  <c r="T22" i="1"/>
  <c r="W21" i="1"/>
  <c r="T21" i="1"/>
  <c r="AE21" i="1" s="1"/>
  <c r="AD21" i="1" s="1"/>
  <c r="W20" i="1"/>
  <c r="T20" i="1"/>
  <c r="AE23" i="1" l="1"/>
  <c r="AD23" i="1" s="1"/>
  <c r="AD29" i="1"/>
  <c r="AE35" i="1"/>
  <c r="AD35" i="1" s="1"/>
  <c r="AD53" i="1"/>
  <c r="AE59" i="1"/>
  <c r="AD59" i="1" s="1"/>
  <c r="AD77" i="1"/>
  <c r="AE86" i="1"/>
  <c r="AD86" i="1" s="1"/>
  <c r="AE90" i="1"/>
  <c r="AD90" i="1" s="1"/>
  <c r="AA90" i="1"/>
  <c r="AE111" i="1"/>
  <c r="AD111" i="1" s="1"/>
  <c r="AD116" i="1"/>
  <c r="AE20" i="1"/>
  <c r="AD20" i="1" s="1"/>
  <c r="AD26" i="1"/>
  <c r="AE32" i="1"/>
  <c r="AD32" i="1" s="1"/>
  <c r="AE44" i="1"/>
  <c r="AD44" i="1" s="1"/>
  <c r="AE47" i="1"/>
  <c r="AD47" i="1" s="1"/>
  <c r="AE51" i="1"/>
  <c r="AD51" i="1" s="1"/>
  <c r="AE74" i="1"/>
  <c r="AD74" i="1" s="1"/>
  <c r="AE75" i="1"/>
  <c r="AD75" i="1" s="1"/>
  <c r="AE87" i="1"/>
  <c r="AD87" i="1" s="1"/>
  <c r="AD92" i="1"/>
  <c r="AD101" i="1"/>
  <c r="AD104" i="1"/>
  <c r="AE108" i="1"/>
  <c r="AD108" i="1" s="1"/>
  <c r="AD113" i="1"/>
  <c r="AE50" i="1"/>
  <c r="AD50" i="1" s="1"/>
  <c r="AE56" i="1"/>
  <c r="AD56" i="1" s="1"/>
  <c r="AE93" i="1"/>
  <c r="AD93" i="1" s="1"/>
  <c r="AE102" i="1"/>
  <c r="AD102" i="1" s="1"/>
  <c r="AE105" i="1"/>
  <c r="AD105" i="1" s="1"/>
  <c r="AD107" i="1"/>
  <c r="AE114" i="1"/>
  <c r="AD114" i="1" s="1"/>
  <c r="AE119" i="1"/>
  <c r="AD119" i="1" s="1"/>
  <c r="AD110" i="1"/>
  <c r="AD117" i="1"/>
  <c r="AE89" i="1"/>
  <c r="AD89" i="1" s="1"/>
  <c r="AD41" i="1"/>
  <c r="AB133" i="1"/>
  <c r="AC133" i="1"/>
  <c r="AB130" i="1"/>
  <c r="AC130" i="1"/>
  <c r="AB132" i="1"/>
  <c r="AC132" i="1"/>
  <c r="AB131" i="1"/>
  <c r="AC131" i="1"/>
  <c r="AB127" i="1"/>
  <c r="AC127" i="1"/>
  <c r="AB129" i="1"/>
  <c r="AC129" i="1"/>
  <c r="AB128" i="1"/>
  <c r="AC128" i="1"/>
  <c r="AB124" i="1"/>
  <c r="AC124" i="1"/>
  <c r="AB126" i="1"/>
  <c r="AC126" i="1"/>
  <c r="AB125" i="1"/>
  <c r="AC125" i="1"/>
  <c r="L118" i="1"/>
  <c r="AA118" i="1" s="1"/>
  <c r="AA119" i="1" s="1"/>
  <c r="L115" i="1"/>
  <c r="AA115" i="1" s="1"/>
  <c r="AA116" i="1" s="1"/>
  <c r="AA117" i="1" s="1"/>
  <c r="L112" i="1"/>
  <c r="AA112" i="1" s="1"/>
  <c r="AA113" i="1" s="1"/>
  <c r="AA114" i="1" s="1"/>
  <c r="L109" i="1"/>
  <c r="AA109" i="1" s="1"/>
  <c r="AA110" i="1" s="1"/>
  <c r="AA111" i="1" s="1"/>
  <c r="L106" i="1"/>
  <c r="AA106" i="1" s="1"/>
  <c r="AA107" i="1" s="1"/>
  <c r="AA108" i="1" s="1"/>
  <c r="L121" i="1"/>
  <c r="AA121" i="1" s="1"/>
  <c r="AA122" i="1" s="1"/>
  <c r="AA123" i="1" s="1"/>
  <c r="L103" i="1"/>
  <c r="L100" i="1"/>
  <c r="AA100" i="1" s="1"/>
  <c r="AA101" i="1" s="1"/>
  <c r="AA102" i="1" s="1"/>
  <c r="L94" i="1"/>
  <c r="L91" i="1"/>
  <c r="AA91" i="1" s="1"/>
  <c r="AA92" i="1" s="1"/>
  <c r="AA93" i="1" s="1"/>
  <c r="L88" i="1"/>
  <c r="L85" i="1"/>
  <c r="L79" i="1"/>
  <c r="L76" i="1"/>
  <c r="L73" i="1"/>
  <c r="AA73" i="1" s="1"/>
  <c r="AA74" i="1" s="1"/>
  <c r="AA75" i="1" s="1"/>
  <c r="L70" i="1"/>
  <c r="AA70" i="1" s="1"/>
  <c r="L64" i="1"/>
  <c r="L61" i="1"/>
  <c r="L58" i="1"/>
  <c r="L55" i="1"/>
  <c r="L52" i="1"/>
  <c r="L49" i="1"/>
  <c r="AA49" i="1" s="1"/>
  <c r="AA50" i="1" s="1"/>
  <c r="AA51" i="1" s="1"/>
  <c r="L46" i="1"/>
  <c r="L43" i="1"/>
  <c r="AA43" i="1" s="1"/>
  <c r="AA44" i="1" s="1"/>
  <c r="AA45" i="1" s="1"/>
  <c r="L40" i="1"/>
  <c r="AA40" i="1" s="1"/>
  <c r="AA41" i="1" s="1"/>
  <c r="AA42" i="1" s="1"/>
  <c r="L37" i="1"/>
  <c r="AA37" i="1" s="1"/>
  <c r="L34" i="1"/>
  <c r="AA34" i="1" s="1"/>
  <c r="AA35" i="1" s="1"/>
  <c r="AA36" i="1" s="1"/>
  <c r="L31" i="1"/>
  <c r="AA31" i="1" s="1"/>
  <c r="AA32" i="1" s="1"/>
  <c r="AA33" i="1" s="1"/>
  <c r="L28" i="1"/>
  <c r="AA28" i="1" s="1"/>
  <c r="AA29" i="1" s="1"/>
  <c r="AA30" i="1" s="1"/>
  <c r="L25" i="1"/>
  <c r="AA25" i="1" s="1"/>
  <c r="AA26" i="1" s="1"/>
  <c r="AA27" i="1" s="1"/>
  <c r="L22" i="1"/>
  <c r="AA22" i="1" s="1"/>
  <c r="AA23" i="1" s="1"/>
  <c r="AA24" i="1" s="1"/>
  <c r="L19" i="1"/>
  <c r="L16" i="1"/>
  <c r="L13" i="1"/>
  <c r="L10" i="1"/>
  <c r="T16" i="1"/>
  <c r="W16" i="1"/>
  <c r="T19" i="1"/>
  <c r="W19" i="1"/>
  <c r="T46" i="1"/>
  <c r="W46" i="1"/>
  <c r="T52" i="1"/>
  <c r="W52" i="1"/>
  <c r="T55" i="1"/>
  <c r="W55" i="1"/>
  <c r="T58" i="1"/>
  <c r="W58" i="1"/>
  <c r="T61" i="1"/>
  <c r="W61" i="1"/>
  <c r="T64" i="1"/>
  <c r="W64" i="1"/>
  <c r="T76" i="1"/>
  <c r="W76" i="1"/>
  <c r="T79" i="1"/>
  <c r="W79" i="1"/>
  <c r="T85" i="1"/>
  <c r="W85" i="1"/>
  <c r="T88" i="1"/>
  <c r="W88" i="1"/>
  <c r="T94" i="1"/>
  <c r="W94" i="1"/>
  <c r="T103" i="1"/>
  <c r="W103" i="1"/>
  <c r="T14" i="1"/>
  <c r="T15" i="1"/>
  <c r="T11" i="1"/>
  <c r="T12" i="1"/>
  <c r="W147" i="19" l="1"/>
  <c r="T197" i="19"/>
  <c r="W97" i="19"/>
  <c r="W247" i="19"/>
  <c r="W47" i="19"/>
  <c r="W197" i="19"/>
  <c r="T247" i="19"/>
  <c r="Q247" i="19"/>
  <c r="Q47" i="19"/>
  <c r="T147" i="19"/>
  <c r="Q197" i="19"/>
  <c r="N247" i="19"/>
  <c r="T97" i="19"/>
  <c r="Q147" i="19"/>
  <c r="N197" i="19"/>
  <c r="K97" i="19"/>
  <c r="K147" i="19"/>
  <c r="Q97" i="19"/>
  <c r="K47" i="19"/>
  <c r="N47" i="19"/>
  <c r="K247" i="19"/>
  <c r="T47" i="19"/>
  <c r="N147" i="19"/>
  <c r="N97" i="19"/>
  <c r="K197" i="19"/>
  <c r="X148" i="19"/>
  <c r="U198" i="19"/>
  <c r="X98" i="19"/>
  <c r="X248" i="19"/>
  <c r="X48" i="19"/>
  <c r="X198" i="19"/>
  <c r="U248" i="19"/>
  <c r="R248" i="19"/>
  <c r="R48" i="19"/>
  <c r="U148" i="19"/>
  <c r="R198" i="19"/>
  <c r="O248" i="19"/>
  <c r="L98" i="19"/>
  <c r="U48" i="19"/>
  <c r="R98" i="19"/>
  <c r="O148" i="19"/>
  <c r="L148" i="19"/>
  <c r="R148" i="19"/>
  <c r="O48" i="19"/>
  <c r="L248" i="19"/>
  <c r="O98" i="19"/>
  <c r="L198" i="19"/>
  <c r="U98" i="19"/>
  <c r="O198" i="19"/>
  <c r="L48" i="19"/>
  <c r="W249" i="19"/>
  <c r="W49" i="19"/>
  <c r="W199" i="19"/>
  <c r="T249" i="19"/>
  <c r="W149" i="19"/>
  <c r="T199" i="19"/>
  <c r="W99" i="19"/>
  <c r="T99" i="19"/>
  <c r="Q149" i="19"/>
  <c r="N199" i="19"/>
  <c r="T49" i="19"/>
  <c r="Q99" i="19"/>
  <c r="N149" i="19"/>
  <c r="T149" i="19"/>
  <c r="Q199" i="19"/>
  <c r="N249" i="19"/>
  <c r="N99" i="19"/>
  <c r="K199" i="19"/>
  <c r="N49" i="19"/>
  <c r="K249" i="19"/>
  <c r="Q49" i="19"/>
  <c r="K99" i="19"/>
  <c r="Q249" i="19"/>
  <c r="K149" i="19"/>
  <c r="K49" i="19"/>
  <c r="X250" i="19"/>
  <c r="X50" i="19"/>
  <c r="X200" i="19"/>
  <c r="U250" i="19"/>
  <c r="X150" i="19"/>
  <c r="U200" i="19"/>
  <c r="X100" i="19"/>
  <c r="U100" i="19"/>
  <c r="R150" i="19"/>
  <c r="O200" i="19"/>
  <c r="U50" i="19"/>
  <c r="R100" i="19"/>
  <c r="O150" i="19"/>
  <c r="R250" i="19"/>
  <c r="R50" i="19"/>
  <c r="O100" i="19"/>
  <c r="L200" i="19"/>
  <c r="L50" i="19"/>
  <c r="O50" i="19"/>
  <c r="L250" i="19"/>
  <c r="R200" i="19"/>
  <c r="L150" i="19"/>
  <c r="U150" i="19"/>
  <c r="O250" i="19"/>
  <c r="L100" i="19"/>
  <c r="X97" i="19"/>
  <c r="X247" i="19"/>
  <c r="X47" i="19"/>
  <c r="X197" i="19"/>
  <c r="U247" i="19"/>
  <c r="X147" i="19"/>
  <c r="U197" i="19"/>
  <c r="U147" i="19"/>
  <c r="R197" i="19"/>
  <c r="O247" i="19"/>
  <c r="U97" i="19"/>
  <c r="R147" i="19"/>
  <c r="O197" i="19"/>
  <c r="L147" i="19"/>
  <c r="R247" i="19"/>
  <c r="R47" i="19"/>
  <c r="O97" i="19"/>
  <c r="L197" i="19"/>
  <c r="R97" i="19"/>
  <c r="L97" i="19"/>
  <c r="L47" i="19"/>
  <c r="O47" i="19"/>
  <c r="L247" i="19"/>
  <c r="U47" i="19"/>
  <c r="O147" i="19"/>
  <c r="W198" i="19"/>
  <c r="T248" i="19"/>
  <c r="W148" i="19"/>
  <c r="T198" i="19"/>
  <c r="W98" i="19"/>
  <c r="W248" i="19"/>
  <c r="W48" i="19"/>
  <c r="T48" i="19"/>
  <c r="Q98" i="19"/>
  <c r="N148" i="19"/>
  <c r="Q248" i="19"/>
  <c r="Q48" i="19"/>
  <c r="N48" i="19"/>
  <c r="K248" i="19"/>
  <c r="T148" i="19"/>
  <c r="Q198" i="19"/>
  <c r="N248" i="19"/>
  <c r="K98" i="19"/>
  <c r="K148" i="19"/>
  <c r="K48" i="19"/>
  <c r="Q148" i="19"/>
  <c r="N98" i="19"/>
  <c r="K198" i="19"/>
  <c r="T98" i="19"/>
  <c r="N198" i="19"/>
  <c r="X199" i="19"/>
  <c r="U249" i="19"/>
  <c r="X149" i="19"/>
  <c r="U199" i="19"/>
  <c r="X99" i="19"/>
  <c r="X249" i="19"/>
  <c r="X49" i="19"/>
  <c r="U49" i="19"/>
  <c r="R99" i="19"/>
  <c r="O149" i="19"/>
  <c r="R249" i="19"/>
  <c r="R49" i="19"/>
  <c r="O49" i="19"/>
  <c r="L249" i="19"/>
  <c r="U99" i="19"/>
  <c r="R149" i="19"/>
  <c r="O199" i="19"/>
  <c r="L99" i="19"/>
  <c r="L49" i="19"/>
  <c r="U149" i="19"/>
  <c r="O249" i="19"/>
  <c r="O99" i="19"/>
  <c r="L199" i="19"/>
  <c r="R199" i="19"/>
  <c r="L149" i="19"/>
  <c r="W100" i="19"/>
  <c r="W250" i="19"/>
  <c r="W50" i="19"/>
  <c r="W200" i="19"/>
  <c r="T250" i="19"/>
  <c r="W150" i="19"/>
  <c r="T200" i="19"/>
  <c r="T150" i="19"/>
  <c r="Q200" i="19"/>
  <c r="N250" i="19"/>
  <c r="T100" i="19"/>
  <c r="Q150" i="19"/>
  <c r="N200" i="19"/>
  <c r="K150" i="19"/>
  <c r="Q250" i="19"/>
  <c r="Q50" i="19"/>
  <c r="N100" i="19"/>
  <c r="K200" i="19"/>
  <c r="T50" i="19"/>
  <c r="N150" i="19"/>
  <c r="K100" i="19"/>
  <c r="N50" i="19"/>
  <c r="K250" i="19"/>
  <c r="Q100" i="19"/>
  <c r="K50" i="19"/>
  <c r="AA79" i="1"/>
  <c r="AA80" i="1" s="1"/>
  <c r="AA81" i="1" s="1"/>
  <c r="AB81" i="1" s="1"/>
  <c r="AA88" i="1"/>
  <c r="AF131" i="1"/>
  <c r="AF129" i="1"/>
  <c r="AF128" i="1"/>
  <c r="AF125" i="1"/>
  <c r="AF126" i="1"/>
  <c r="AF132" i="1"/>
  <c r="AB118" i="1"/>
  <c r="AC118" i="1"/>
  <c r="AB119" i="1"/>
  <c r="AC119" i="1"/>
  <c r="AB116" i="1"/>
  <c r="AC116" i="1"/>
  <c r="AB115" i="1"/>
  <c r="AC115" i="1"/>
  <c r="AB117" i="1"/>
  <c r="AC117" i="1"/>
  <c r="AB112" i="1"/>
  <c r="AC112" i="1"/>
  <c r="AB113" i="1"/>
  <c r="AC113" i="1"/>
  <c r="AB114" i="1"/>
  <c r="AC114" i="1"/>
  <c r="AB109" i="1"/>
  <c r="AC109" i="1"/>
  <c r="AB110" i="1"/>
  <c r="AC110" i="1"/>
  <c r="AB111" i="1"/>
  <c r="AC111" i="1"/>
  <c r="AB106" i="1"/>
  <c r="AC106" i="1"/>
  <c r="AB107" i="1"/>
  <c r="AC107" i="1"/>
  <c r="AB108" i="1"/>
  <c r="AC108" i="1"/>
  <c r="AB123" i="1"/>
  <c r="AC123" i="1"/>
  <c r="AB122" i="1"/>
  <c r="AC122" i="1"/>
  <c r="AB121" i="1"/>
  <c r="AC121" i="1"/>
  <c r="AB102" i="1"/>
  <c r="AC102" i="1"/>
  <c r="AB101" i="1"/>
  <c r="AC101" i="1"/>
  <c r="AB100" i="1"/>
  <c r="AC100" i="1"/>
  <c r="AB93" i="1"/>
  <c r="AC93" i="1"/>
  <c r="AB92" i="1"/>
  <c r="AC92" i="1"/>
  <c r="AB90" i="1"/>
  <c r="AC90" i="1"/>
  <c r="AB91" i="1"/>
  <c r="AC91" i="1"/>
  <c r="AB89" i="1"/>
  <c r="AC89" i="1"/>
  <c r="AB75" i="1"/>
  <c r="AC75" i="1"/>
  <c r="AB73" i="1"/>
  <c r="AC73" i="1"/>
  <c r="AB74" i="1"/>
  <c r="AC74" i="1"/>
  <c r="AB70" i="1"/>
  <c r="AC70" i="1"/>
  <c r="AB51" i="1"/>
  <c r="AC51" i="1"/>
  <c r="AB50" i="1"/>
  <c r="AC50" i="1"/>
  <c r="AB49" i="1"/>
  <c r="AC49" i="1"/>
  <c r="AB45" i="1"/>
  <c r="AC45" i="1"/>
  <c r="AB44" i="1"/>
  <c r="AC44" i="1"/>
  <c r="AB42" i="1"/>
  <c r="AC42" i="1"/>
  <c r="AB41" i="1"/>
  <c r="AC41" i="1"/>
  <c r="AB43" i="1"/>
  <c r="AC43" i="1"/>
  <c r="AB40" i="1"/>
  <c r="AC40" i="1"/>
  <c r="AB37" i="1"/>
  <c r="AC37" i="1"/>
  <c r="AB36" i="1"/>
  <c r="AC36" i="1"/>
  <c r="AB35" i="1"/>
  <c r="AC35" i="1"/>
  <c r="AB34" i="1"/>
  <c r="AC34" i="1"/>
  <c r="AB33" i="1"/>
  <c r="AC33" i="1"/>
  <c r="AB32" i="1"/>
  <c r="AC32" i="1"/>
  <c r="AB31" i="1"/>
  <c r="AC31" i="1"/>
  <c r="AB30" i="1"/>
  <c r="AC30" i="1"/>
  <c r="AB29" i="1"/>
  <c r="AC29" i="1"/>
  <c r="AB28" i="1"/>
  <c r="AC28" i="1"/>
  <c r="AB27" i="1"/>
  <c r="AC27" i="1"/>
  <c r="AB26" i="1"/>
  <c r="AC26" i="1"/>
  <c r="AB25" i="1"/>
  <c r="AC25" i="1"/>
  <c r="AB24" i="1"/>
  <c r="AC24" i="1"/>
  <c r="AB23" i="1"/>
  <c r="AC23" i="1"/>
  <c r="AB22" i="1"/>
  <c r="AC22" i="1"/>
  <c r="T8" i="1"/>
  <c r="W8" i="1"/>
  <c r="T9" i="1"/>
  <c r="T7" i="1"/>
  <c r="T10" i="1"/>
  <c r="T13" i="1"/>
  <c r="X63" i="19" l="1"/>
  <c r="U113" i="19"/>
  <c r="X113" i="19"/>
  <c r="U163" i="19"/>
  <c r="R213" i="19"/>
  <c r="X163" i="19"/>
  <c r="U213" i="19"/>
  <c r="X213" i="19"/>
  <c r="X13" i="19"/>
  <c r="U63" i="19"/>
  <c r="R63" i="19"/>
  <c r="O113" i="19"/>
  <c r="R163" i="19"/>
  <c r="R113" i="19"/>
  <c r="U13" i="19"/>
  <c r="O213" i="19"/>
  <c r="R13" i="19"/>
  <c r="O63" i="19"/>
  <c r="O163" i="19"/>
  <c r="L163" i="19"/>
  <c r="L113" i="19"/>
  <c r="L63" i="19"/>
  <c r="O13" i="19"/>
  <c r="L213" i="19"/>
  <c r="W66" i="19"/>
  <c r="T116" i="19"/>
  <c r="W116" i="19"/>
  <c r="T166" i="19"/>
  <c r="T16" i="19"/>
  <c r="Q16" i="19"/>
  <c r="W216" i="19"/>
  <c r="W16" i="19"/>
  <c r="T66" i="19"/>
  <c r="Q66" i="19"/>
  <c r="N116" i="19"/>
  <c r="Q166" i="19"/>
  <c r="Q216" i="19"/>
  <c r="Q116" i="19"/>
  <c r="N166" i="19"/>
  <c r="W166" i="19"/>
  <c r="T216" i="19"/>
  <c r="N16" i="19"/>
  <c r="K216" i="19"/>
  <c r="N216" i="19"/>
  <c r="K166" i="19"/>
  <c r="K116" i="19"/>
  <c r="N66" i="19"/>
  <c r="K66" i="19"/>
  <c r="W219" i="19"/>
  <c r="W19" i="19"/>
  <c r="T69" i="19"/>
  <c r="W69" i="19"/>
  <c r="T119" i="19"/>
  <c r="Q219" i="19"/>
  <c r="N219" i="19"/>
  <c r="W169" i="19"/>
  <c r="T219" i="19"/>
  <c r="T19" i="19"/>
  <c r="Q19" i="19"/>
  <c r="N69" i="19"/>
  <c r="Q69" i="19"/>
  <c r="N119" i="19"/>
  <c r="K69" i="19"/>
  <c r="W119" i="19"/>
  <c r="Q119" i="19"/>
  <c r="N169" i="19"/>
  <c r="N19" i="19"/>
  <c r="K219" i="19"/>
  <c r="T169" i="19"/>
  <c r="K169" i="19"/>
  <c r="Q169" i="19"/>
  <c r="K119" i="19"/>
  <c r="W228" i="19"/>
  <c r="W28" i="19"/>
  <c r="T78" i="19"/>
  <c r="W78" i="19"/>
  <c r="T128" i="19"/>
  <c r="Q128" i="19"/>
  <c r="Q178" i="19"/>
  <c r="N228" i="19"/>
  <c r="W128" i="19"/>
  <c r="T178" i="19"/>
  <c r="Q228" i="19"/>
  <c r="Q28" i="19"/>
  <c r="N78" i="19"/>
  <c r="W178" i="19"/>
  <c r="T228" i="19"/>
  <c r="T28" i="19"/>
  <c r="Q78" i="19"/>
  <c r="N128" i="19"/>
  <c r="K78" i="19"/>
  <c r="N28" i="19"/>
  <c r="K228" i="19"/>
  <c r="N178" i="19"/>
  <c r="K178" i="19"/>
  <c r="K128" i="19"/>
  <c r="X229" i="19"/>
  <c r="X29" i="19"/>
  <c r="U79" i="19"/>
  <c r="X79" i="19"/>
  <c r="U129" i="19"/>
  <c r="R179" i="19"/>
  <c r="X129" i="19"/>
  <c r="U179" i="19"/>
  <c r="X179" i="19"/>
  <c r="U229" i="19"/>
  <c r="U29" i="19"/>
  <c r="R29" i="19"/>
  <c r="R79" i="19"/>
  <c r="O179" i="19"/>
  <c r="R129" i="19"/>
  <c r="O229" i="19"/>
  <c r="O29" i="19"/>
  <c r="L229" i="19"/>
  <c r="O129" i="19"/>
  <c r="L179" i="19"/>
  <c r="O79" i="19"/>
  <c r="L129" i="19"/>
  <c r="R229" i="19"/>
  <c r="L79" i="19"/>
  <c r="W135" i="19"/>
  <c r="T185" i="19"/>
  <c r="W185" i="19"/>
  <c r="T235" i="19"/>
  <c r="T35" i="19"/>
  <c r="Q85" i="19"/>
  <c r="N135" i="19"/>
  <c r="W85" i="19"/>
  <c r="T135" i="19"/>
  <c r="W235" i="19"/>
  <c r="W35" i="19"/>
  <c r="T85" i="19"/>
  <c r="N185" i="19"/>
  <c r="N235" i="19"/>
  <c r="Q135" i="19"/>
  <c r="Q185" i="19"/>
  <c r="K185" i="19"/>
  <c r="Q235" i="19"/>
  <c r="K135" i="19"/>
  <c r="Q35" i="19"/>
  <c r="N85" i="19"/>
  <c r="K85" i="19"/>
  <c r="N35" i="19"/>
  <c r="K235" i="19"/>
  <c r="W139" i="19"/>
  <c r="T189" i="19"/>
  <c r="W189" i="19"/>
  <c r="T239" i="19"/>
  <c r="T39" i="19"/>
  <c r="Q239" i="19"/>
  <c r="Q89" i="19"/>
  <c r="N139" i="19"/>
  <c r="N189" i="19"/>
  <c r="W89" i="19"/>
  <c r="T139" i="19"/>
  <c r="N239" i="19"/>
  <c r="W239" i="19"/>
  <c r="W39" i="19"/>
  <c r="T89" i="19"/>
  <c r="Q139" i="19"/>
  <c r="K189" i="19"/>
  <c r="Q189" i="19"/>
  <c r="K139" i="19"/>
  <c r="K89" i="19"/>
  <c r="K39" i="19"/>
  <c r="N89" i="19"/>
  <c r="Q39" i="19"/>
  <c r="N39" i="19"/>
  <c r="K239" i="19"/>
  <c r="X242" i="19"/>
  <c r="X42" i="19"/>
  <c r="U92" i="19"/>
  <c r="X92" i="19"/>
  <c r="U142" i="19"/>
  <c r="R192" i="19"/>
  <c r="X142" i="19"/>
  <c r="U192" i="19"/>
  <c r="X192" i="19"/>
  <c r="U242" i="19"/>
  <c r="U42" i="19"/>
  <c r="R142" i="19"/>
  <c r="R42" i="19"/>
  <c r="R242" i="19"/>
  <c r="R92" i="19"/>
  <c r="O192" i="19"/>
  <c r="O242" i="19"/>
  <c r="O42" i="19"/>
  <c r="L242" i="19"/>
  <c r="O92" i="19"/>
  <c r="L192" i="19"/>
  <c r="L42" i="19"/>
  <c r="L142" i="19"/>
  <c r="O142" i="19"/>
  <c r="L92" i="19"/>
  <c r="W143" i="19"/>
  <c r="T193" i="19"/>
  <c r="W193" i="19"/>
  <c r="T243" i="19"/>
  <c r="T43" i="19"/>
  <c r="Q193" i="19"/>
  <c r="Q243" i="19"/>
  <c r="Q93" i="19"/>
  <c r="N143" i="19"/>
  <c r="W93" i="19"/>
  <c r="T143" i="19"/>
  <c r="N193" i="19"/>
  <c r="W243" i="19"/>
  <c r="W43" i="19"/>
  <c r="T93" i="19"/>
  <c r="N243" i="19"/>
  <c r="N93" i="19"/>
  <c r="K193" i="19"/>
  <c r="K43" i="19"/>
  <c r="K143" i="19"/>
  <c r="K93" i="19"/>
  <c r="Q43" i="19"/>
  <c r="Q143" i="19"/>
  <c r="N43" i="19"/>
  <c r="K243" i="19"/>
  <c r="W194" i="19"/>
  <c r="T244" i="19"/>
  <c r="T44" i="19"/>
  <c r="W244" i="19"/>
  <c r="W44" i="19"/>
  <c r="T94" i="19"/>
  <c r="Q244" i="19"/>
  <c r="W94" i="19"/>
  <c r="T144" i="19"/>
  <c r="N194" i="19"/>
  <c r="N244" i="19"/>
  <c r="Q144" i="19"/>
  <c r="Q44" i="19"/>
  <c r="N94" i="19"/>
  <c r="W144" i="19"/>
  <c r="T194" i="19"/>
  <c r="Q194" i="19"/>
  <c r="K44" i="19"/>
  <c r="K144" i="19"/>
  <c r="Q94" i="19"/>
  <c r="K94" i="19"/>
  <c r="N144" i="19"/>
  <c r="N44" i="19"/>
  <c r="K244" i="19"/>
  <c r="K194" i="19"/>
  <c r="X67" i="19"/>
  <c r="U117" i="19"/>
  <c r="X117" i="19"/>
  <c r="U167" i="19"/>
  <c r="R217" i="19"/>
  <c r="X167" i="19"/>
  <c r="U217" i="19"/>
  <c r="X217" i="19"/>
  <c r="X17" i="19"/>
  <c r="U67" i="19"/>
  <c r="R67" i="19"/>
  <c r="O117" i="19"/>
  <c r="R167" i="19"/>
  <c r="R117" i="19"/>
  <c r="O217" i="19"/>
  <c r="U17" i="19"/>
  <c r="R17" i="19"/>
  <c r="O67" i="19"/>
  <c r="L167" i="19"/>
  <c r="L117" i="19"/>
  <c r="L67" i="19"/>
  <c r="O167" i="19"/>
  <c r="O17" i="19"/>
  <c r="L217" i="19"/>
  <c r="X178" i="19"/>
  <c r="U228" i="19"/>
  <c r="U28" i="19"/>
  <c r="X228" i="19"/>
  <c r="X28" i="19"/>
  <c r="U78" i="19"/>
  <c r="R128" i="19"/>
  <c r="X78" i="19"/>
  <c r="U128" i="19"/>
  <c r="X128" i="19"/>
  <c r="U178" i="19"/>
  <c r="R178" i="19"/>
  <c r="O228" i="19"/>
  <c r="R228" i="19"/>
  <c r="R28" i="19"/>
  <c r="R78" i="19"/>
  <c r="O178" i="19"/>
  <c r="L78" i="19"/>
  <c r="O128" i="19"/>
  <c r="O28" i="19"/>
  <c r="L228" i="19"/>
  <c r="L178" i="19"/>
  <c r="O78" i="19"/>
  <c r="L128" i="19"/>
  <c r="X85" i="19"/>
  <c r="U135" i="19"/>
  <c r="X135" i="19"/>
  <c r="U185" i="19"/>
  <c r="R235" i="19"/>
  <c r="X185" i="19"/>
  <c r="U235" i="19"/>
  <c r="U35" i="19"/>
  <c r="X235" i="19"/>
  <c r="X35" i="19"/>
  <c r="U85" i="19"/>
  <c r="R85" i="19"/>
  <c r="O135" i="19"/>
  <c r="O235" i="19"/>
  <c r="R135" i="19"/>
  <c r="R185" i="19"/>
  <c r="R35" i="19"/>
  <c r="O85" i="19"/>
  <c r="O185" i="19"/>
  <c r="L185" i="19"/>
  <c r="L135" i="19"/>
  <c r="L85" i="19"/>
  <c r="O35" i="19"/>
  <c r="L235" i="19"/>
  <c r="W92" i="19"/>
  <c r="T142" i="19"/>
  <c r="W142" i="19"/>
  <c r="T192" i="19"/>
  <c r="W192" i="19"/>
  <c r="T242" i="19"/>
  <c r="T42" i="19"/>
  <c r="Q192" i="19"/>
  <c r="Q142" i="19"/>
  <c r="Q42" i="19"/>
  <c r="Q242" i="19"/>
  <c r="Q92" i="19"/>
  <c r="N142" i="19"/>
  <c r="W242" i="19"/>
  <c r="W42" i="19"/>
  <c r="T92" i="19"/>
  <c r="N192" i="19"/>
  <c r="N42" i="19"/>
  <c r="K242" i="19"/>
  <c r="K42" i="19"/>
  <c r="N242" i="19"/>
  <c r="N92" i="19"/>
  <c r="K192" i="19"/>
  <c r="K142" i="19"/>
  <c r="K92" i="19"/>
  <c r="W245" i="19"/>
  <c r="W45" i="19"/>
  <c r="T95" i="19"/>
  <c r="W95" i="19"/>
  <c r="T145" i="19"/>
  <c r="W195" i="19"/>
  <c r="T245" i="19"/>
  <c r="T45" i="19"/>
  <c r="N245" i="19"/>
  <c r="Q145" i="19"/>
  <c r="Q45" i="19"/>
  <c r="N95" i="19"/>
  <c r="Q195" i="19"/>
  <c r="W145" i="19"/>
  <c r="T195" i="19"/>
  <c r="Q95" i="19"/>
  <c r="N145" i="19"/>
  <c r="Q245" i="19"/>
  <c r="K95" i="19"/>
  <c r="N45" i="19"/>
  <c r="K245" i="19"/>
  <c r="K195" i="19"/>
  <c r="N195" i="19"/>
  <c r="K145" i="19"/>
  <c r="K45" i="19"/>
  <c r="W215" i="19"/>
  <c r="W15" i="19"/>
  <c r="T65" i="19"/>
  <c r="W65" i="19"/>
  <c r="T115" i="19"/>
  <c r="N215" i="19"/>
  <c r="W115" i="19"/>
  <c r="T165" i="19"/>
  <c r="T15" i="19"/>
  <c r="Q15" i="19"/>
  <c r="N65" i="19"/>
  <c r="Q65" i="19"/>
  <c r="N115" i="19"/>
  <c r="Q165" i="19"/>
  <c r="K65" i="19"/>
  <c r="N15" i="19"/>
  <c r="K215" i="19"/>
  <c r="W165" i="19"/>
  <c r="Q215" i="19"/>
  <c r="K165" i="19"/>
  <c r="T215" i="19"/>
  <c r="Q115" i="19"/>
  <c r="N165" i="19"/>
  <c r="K115" i="19"/>
  <c r="X216" i="19"/>
  <c r="X16" i="19"/>
  <c r="U66" i="19"/>
  <c r="X66" i="19"/>
  <c r="U116" i="19"/>
  <c r="R166" i="19"/>
  <c r="X116" i="19"/>
  <c r="U166" i="19"/>
  <c r="X166" i="19"/>
  <c r="U216" i="19"/>
  <c r="U16" i="19"/>
  <c r="R16" i="19"/>
  <c r="R66" i="19"/>
  <c r="R216" i="19"/>
  <c r="R116" i="19"/>
  <c r="O166" i="19"/>
  <c r="O216" i="19"/>
  <c r="O16" i="19"/>
  <c r="L216" i="19"/>
  <c r="L166" i="19"/>
  <c r="L116" i="19"/>
  <c r="O66" i="19"/>
  <c r="O116" i="19"/>
  <c r="L66" i="19"/>
  <c r="X169" i="19"/>
  <c r="U219" i="19"/>
  <c r="U19" i="19"/>
  <c r="X219" i="19"/>
  <c r="X19" i="19"/>
  <c r="U69" i="19"/>
  <c r="X69" i="19"/>
  <c r="U119" i="19"/>
  <c r="X119" i="19"/>
  <c r="U169" i="19"/>
  <c r="O219" i="19"/>
  <c r="R19" i="19"/>
  <c r="R69" i="19"/>
  <c r="R169" i="19"/>
  <c r="R119" i="19"/>
  <c r="O169" i="19"/>
  <c r="L69" i="19"/>
  <c r="O69" i="19"/>
  <c r="R219" i="19"/>
  <c r="O119" i="19"/>
  <c r="O19" i="19"/>
  <c r="L219" i="19"/>
  <c r="L169" i="19"/>
  <c r="L119" i="19"/>
  <c r="W172" i="19"/>
  <c r="T222" i="19"/>
  <c r="T22" i="19"/>
  <c r="W222" i="19"/>
  <c r="W22" i="19"/>
  <c r="T72" i="19"/>
  <c r="W72" i="19"/>
  <c r="T122" i="19"/>
  <c r="Q122" i="19"/>
  <c r="N172" i="19"/>
  <c r="Q172" i="19"/>
  <c r="Q222" i="19"/>
  <c r="N222" i="19"/>
  <c r="Q22" i="19"/>
  <c r="W122" i="19"/>
  <c r="T172" i="19"/>
  <c r="K122" i="19"/>
  <c r="K72" i="19"/>
  <c r="N72" i="19"/>
  <c r="N22" i="19"/>
  <c r="K222" i="19"/>
  <c r="Q72" i="19"/>
  <c r="N122" i="19"/>
  <c r="K172" i="19"/>
  <c r="W84" i="19"/>
  <c r="T134" i="19"/>
  <c r="W134" i="19"/>
  <c r="T184" i="19"/>
  <c r="W184" i="19"/>
  <c r="T234" i="19"/>
  <c r="T34" i="19"/>
  <c r="Q184" i="19"/>
  <c r="Q134" i="19"/>
  <c r="Q234" i="19"/>
  <c r="Q34" i="19"/>
  <c r="Q84" i="19"/>
  <c r="N134" i="19"/>
  <c r="W234" i="19"/>
  <c r="W34" i="19"/>
  <c r="T84" i="19"/>
  <c r="N184" i="19"/>
  <c r="N234" i="19"/>
  <c r="N34" i="19"/>
  <c r="K234" i="19"/>
  <c r="K184" i="19"/>
  <c r="K134" i="19"/>
  <c r="N84" i="19"/>
  <c r="K84" i="19"/>
  <c r="X89" i="19"/>
  <c r="U139" i="19"/>
  <c r="X139" i="19"/>
  <c r="U189" i="19"/>
  <c r="R239" i="19"/>
  <c r="X189" i="19"/>
  <c r="U239" i="19"/>
  <c r="U39" i="19"/>
  <c r="X239" i="19"/>
  <c r="X39" i="19"/>
  <c r="U89" i="19"/>
  <c r="R89" i="19"/>
  <c r="O139" i="19"/>
  <c r="O239" i="19"/>
  <c r="R139" i="19"/>
  <c r="R189" i="19"/>
  <c r="R39" i="19"/>
  <c r="O89" i="19"/>
  <c r="L189" i="19"/>
  <c r="O189" i="19"/>
  <c r="L139" i="19"/>
  <c r="L89" i="19"/>
  <c r="O39" i="19"/>
  <c r="L239" i="19"/>
  <c r="L39" i="19"/>
  <c r="X191" i="19"/>
  <c r="U241" i="19"/>
  <c r="U41" i="19"/>
  <c r="X241" i="19"/>
  <c r="X41" i="19"/>
  <c r="U91" i="19"/>
  <c r="R141" i="19"/>
  <c r="X91" i="19"/>
  <c r="U141" i="19"/>
  <c r="X141" i="19"/>
  <c r="U191" i="19"/>
  <c r="O241" i="19"/>
  <c r="R191" i="19"/>
  <c r="R41" i="19"/>
  <c r="R241" i="19"/>
  <c r="R91" i="19"/>
  <c r="O141" i="19"/>
  <c r="O191" i="19"/>
  <c r="L91" i="19"/>
  <c r="O41" i="19"/>
  <c r="L241" i="19"/>
  <c r="O91" i="19"/>
  <c r="L191" i="19"/>
  <c r="L41" i="19"/>
  <c r="L141" i="19"/>
  <c r="W70" i="19"/>
  <c r="T120" i="19"/>
  <c r="W120" i="19"/>
  <c r="T170" i="19"/>
  <c r="Q20" i="19"/>
  <c r="W170" i="19"/>
  <c r="T220" i="19"/>
  <c r="T20" i="19"/>
  <c r="Q70" i="19"/>
  <c r="N120" i="19"/>
  <c r="Q170" i="19"/>
  <c r="Q120" i="19"/>
  <c r="N170" i="19"/>
  <c r="W220" i="19"/>
  <c r="W20" i="19"/>
  <c r="T70" i="19"/>
  <c r="Q220" i="19"/>
  <c r="N70" i="19"/>
  <c r="N20" i="19"/>
  <c r="K220" i="19"/>
  <c r="K170" i="19"/>
  <c r="K120" i="19"/>
  <c r="N220" i="19"/>
  <c r="K70" i="19"/>
  <c r="X122" i="19"/>
  <c r="U172" i="19"/>
  <c r="X172" i="19"/>
  <c r="U222" i="19"/>
  <c r="U22" i="19"/>
  <c r="X222" i="19"/>
  <c r="X22" i="19"/>
  <c r="U72" i="19"/>
  <c r="X72" i="19"/>
  <c r="U122" i="19"/>
  <c r="R122" i="19"/>
  <c r="O172" i="19"/>
  <c r="R172" i="19"/>
  <c r="R222" i="19"/>
  <c r="O222" i="19"/>
  <c r="R22" i="19"/>
  <c r="R72" i="19"/>
  <c r="O122" i="19"/>
  <c r="L122" i="19"/>
  <c r="L72" i="19"/>
  <c r="O72" i="19"/>
  <c r="O22" i="19"/>
  <c r="L222" i="19"/>
  <c r="L172" i="19"/>
  <c r="W79" i="19"/>
  <c r="T129" i="19"/>
  <c r="W129" i="19"/>
  <c r="T179" i="19"/>
  <c r="W229" i="19"/>
  <c r="W29" i="19"/>
  <c r="T79" i="19"/>
  <c r="Q229" i="19"/>
  <c r="Q29" i="19"/>
  <c r="Q79" i="19"/>
  <c r="N129" i="19"/>
  <c r="W179" i="19"/>
  <c r="T229" i="19"/>
  <c r="T29" i="19"/>
  <c r="N179" i="19"/>
  <c r="N29" i="19"/>
  <c r="K229" i="19"/>
  <c r="Q179" i="19"/>
  <c r="N229" i="19"/>
  <c r="K179" i="19"/>
  <c r="N79" i="19"/>
  <c r="K129" i="19"/>
  <c r="Q129" i="19"/>
  <c r="K79" i="19"/>
  <c r="W241" i="19"/>
  <c r="W41" i="19"/>
  <c r="T91" i="19"/>
  <c r="W91" i="19"/>
  <c r="T141" i="19"/>
  <c r="N241" i="19"/>
  <c r="W191" i="19"/>
  <c r="T241" i="19"/>
  <c r="T41" i="19"/>
  <c r="Q141" i="19"/>
  <c r="Q191" i="19"/>
  <c r="Q41" i="19"/>
  <c r="N91" i="19"/>
  <c r="Q241" i="19"/>
  <c r="Q91" i="19"/>
  <c r="N141" i="19"/>
  <c r="W141" i="19"/>
  <c r="N191" i="19"/>
  <c r="K91" i="19"/>
  <c r="T191" i="19"/>
  <c r="N41" i="19"/>
  <c r="K241" i="19"/>
  <c r="K41" i="19"/>
  <c r="K191" i="19"/>
  <c r="K141" i="19"/>
  <c r="X144" i="19"/>
  <c r="U194" i="19"/>
  <c r="X194" i="19"/>
  <c r="U244" i="19"/>
  <c r="U44" i="19"/>
  <c r="X244" i="19"/>
  <c r="X44" i="19"/>
  <c r="U94" i="19"/>
  <c r="X94" i="19"/>
  <c r="U144" i="19"/>
  <c r="O194" i="19"/>
  <c r="O244" i="19"/>
  <c r="R144" i="19"/>
  <c r="R44" i="19"/>
  <c r="R194" i="19"/>
  <c r="R94" i="19"/>
  <c r="O144" i="19"/>
  <c r="O94" i="19"/>
  <c r="L144" i="19"/>
  <c r="L44" i="19"/>
  <c r="L94" i="19"/>
  <c r="O44" i="19"/>
  <c r="L244" i="19"/>
  <c r="R244" i="19"/>
  <c r="L194" i="19"/>
  <c r="W164" i="19"/>
  <c r="T214" i="19"/>
  <c r="T14" i="19"/>
  <c r="W214" i="19"/>
  <c r="W14" i="19"/>
  <c r="T64" i="19"/>
  <c r="Q164" i="19"/>
  <c r="Q214" i="19"/>
  <c r="Q114" i="19"/>
  <c r="N164" i="19"/>
  <c r="W114" i="19"/>
  <c r="T164" i="19"/>
  <c r="N214" i="19"/>
  <c r="Q14" i="19"/>
  <c r="W64" i="19"/>
  <c r="T114" i="19"/>
  <c r="N114" i="19"/>
  <c r="Q64" i="19"/>
  <c r="N64" i="19"/>
  <c r="K114" i="19"/>
  <c r="K64" i="19"/>
  <c r="N14" i="19"/>
  <c r="K214" i="19"/>
  <c r="K164" i="19"/>
  <c r="X165" i="19"/>
  <c r="U215" i="19"/>
  <c r="X215" i="19"/>
  <c r="X15" i="19"/>
  <c r="U65" i="19"/>
  <c r="X65" i="19"/>
  <c r="U115" i="19"/>
  <c r="X115" i="19"/>
  <c r="U165" i="19"/>
  <c r="O215" i="19"/>
  <c r="U15" i="19"/>
  <c r="R15" i="19"/>
  <c r="R65" i="19"/>
  <c r="R165" i="19"/>
  <c r="R215" i="19"/>
  <c r="R115" i="19"/>
  <c r="O165" i="19"/>
  <c r="L65" i="19"/>
  <c r="O15" i="19"/>
  <c r="L215" i="19"/>
  <c r="L165" i="19"/>
  <c r="L115" i="19"/>
  <c r="O115" i="19"/>
  <c r="O65" i="19"/>
  <c r="W113" i="19"/>
  <c r="T163" i="19"/>
  <c r="W163" i="19"/>
  <c r="T213" i="19"/>
  <c r="Q63" i="19"/>
  <c r="Q213" i="19"/>
  <c r="Q163" i="19"/>
  <c r="W213" i="19"/>
  <c r="W13" i="19"/>
  <c r="T63" i="19"/>
  <c r="Q113" i="19"/>
  <c r="N163" i="19"/>
  <c r="T13" i="19"/>
  <c r="N213" i="19"/>
  <c r="N113" i="19"/>
  <c r="K163" i="19"/>
  <c r="W63" i="19"/>
  <c r="N63" i="19"/>
  <c r="K113" i="19"/>
  <c r="T113" i="19"/>
  <c r="K63" i="19"/>
  <c r="Q13" i="19"/>
  <c r="N13" i="19"/>
  <c r="K213" i="19"/>
  <c r="X114" i="19"/>
  <c r="U164" i="19"/>
  <c r="X164" i="19"/>
  <c r="U214" i="19"/>
  <c r="U14" i="19"/>
  <c r="X214" i="19"/>
  <c r="X14" i="19"/>
  <c r="U64" i="19"/>
  <c r="X64" i="19"/>
  <c r="U114" i="19"/>
  <c r="R214" i="19"/>
  <c r="R114" i="19"/>
  <c r="O164" i="19"/>
  <c r="O214" i="19"/>
  <c r="R14" i="19"/>
  <c r="R64" i="19"/>
  <c r="O114" i="19"/>
  <c r="O64" i="19"/>
  <c r="L114" i="19"/>
  <c r="R164" i="19"/>
  <c r="L64" i="19"/>
  <c r="O14" i="19"/>
  <c r="L214" i="19"/>
  <c r="L164" i="19"/>
  <c r="W117" i="19"/>
  <c r="T167" i="19"/>
  <c r="W167" i="19"/>
  <c r="T217" i="19"/>
  <c r="W217" i="19"/>
  <c r="W17" i="19"/>
  <c r="T67" i="19"/>
  <c r="Q67" i="19"/>
  <c r="Q217" i="19"/>
  <c r="Q167" i="19"/>
  <c r="Q117" i="19"/>
  <c r="N167" i="19"/>
  <c r="W67" i="19"/>
  <c r="T117" i="19"/>
  <c r="N217" i="19"/>
  <c r="T17" i="19"/>
  <c r="K167" i="19"/>
  <c r="K117" i="19"/>
  <c r="N67" i="19"/>
  <c r="N117" i="19"/>
  <c r="K67" i="19"/>
  <c r="Q17" i="19"/>
  <c r="N17" i="19"/>
  <c r="K217" i="19"/>
  <c r="X220" i="19"/>
  <c r="X20" i="19"/>
  <c r="U70" i="19"/>
  <c r="X70" i="19"/>
  <c r="U120" i="19"/>
  <c r="R170" i="19"/>
  <c r="X120" i="19"/>
  <c r="U170" i="19"/>
  <c r="X170" i="19"/>
  <c r="U220" i="19"/>
  <c r="U20" i="19"/>
  <c r="R20" i="19"/>
  <c r="R70" i="19"/>
  <c r="R120" i="19"/>
  <c r="O170" i="19"/>
  <c r="R220" i="19"/>
  <c r="O220" i="19"/>
  <c r="O20" i="19"/>
  <c r="L220" i="19"/>
  <c r="O120" i="19"/>
  <c r="L170" i="19"/>
  <c r="L120" i="19"/>
  <c r="L70" i="19"/>
  <c r="O70" i="19"/>
  <c r="X234" i="19"/>
  <c r="X34" i="19"/>
  <c r="U84" i="19"/>
  <c r="X84" i="19"/>
  <c r="U134" i="19"/>
  <c r="R184" i="19"/>
  <c r="X134" i="19"/>
  <c r="U184" i="19"/>
  <c r="X184" i="19"/>
  <c r="U234" i="19"/>
  <c r="U34" i="19"/>
  <c r="R234" i="19"/>
  <c r="R34" i="19"/>
  <c r="R84" i="19"/>
  <c r="O184" i="19"/>
  <c r="O234" i="19"/>
  <c r="O34" i="19"/>
  <c r="L234" i="19"/>
  <c r="L184" i="19"/>
  <c r="R134" i="19"/>
  <c r="L134" i="19"/>
  <c r="O134" i="19"/>
  <c r="O84" i="19"/>
  <c r="L84" i="19"/>
  <c r="X93" i="19"/>
  <c r="U143" i="19"/>
  <c r="X143" i="19"/>
  <c r="U193" i="19"/>
  <c r="R243" i="19"/>
  <c r="X193" i="19"/>
  <c r="U243" i="19"/>
  <c r="U43" i="19"/>
  <c r="X243" i="19"/>
  <c r="X43" i="19"/>
  <c r="U93" i="19"/>
  <c r="R93" i="19"/>
  <c r="O143" i="19"/>
  <c r="O243" i="19"/>
  <c r="R143" i="19"/>
  <c r="R43" i="19"/>
  <c r="O93" i="19"/>
  <c r="O193" i="19"/>
  <c r="L193" i="19"/>
  <c r="R193" i="19"/>
  <c r="L143" i="19"/>
  <c r="L43" i="19"/>
  <c r="L93" i="19"/>
  <c r="O43" i="19"/>
  <c r="L243" i="19"/>
  <c r="W96" i="19"/>
  <c r="W246" i="19"/>
  <c r="W46" i="19"/>
  <c r="W196" i="19"/>
  <c r="T246" i="19"/>
  <c r="W146" i="19"/>
  <c r="T196" i="19"/>
  <c r="T146" i="19"/>
  <c r="Q196" i="19"/>
  <c r="N246" i="19"/>
  <c r="T96" i="19"/>
  <c r="Q146" i="19"/>
  <c r="N196" i="19"/>
  <c r="T46" i="19"/>
  <c r="Q96" i="19"/>
  <c r="N146" i="19"/>
  <c r="K146" i="19"/>
  <c r="N96" i="19"/>
  <c r="K196" i="19"/>
  <c r="Q46" i="19"/>
  <c r="Q246" i="19"/>
  <c r="K96" i="19"/>
  <c r="K46" i="19"/>
  <c r="N46" i="19"/>
  <c r="K246" i="19"/>
  <c r="X246" i="19"/>
  <c r="X46" i="19"/>
  <c r="X196" i="19"/>
  <c r="U246" i="19"/>
  <c r="X146" i="19"/>
  <c r="U196" i="19"/>
  <c r="X96" i="19"/>
  <c r="U96" i="19"/>
  <c r="R146" i="19"/>
  <c r="O196" i="19"/>
  <c r="U46" i="19"/>
  <c r="R96" i="19"/>
  <c r="O146" i="19"/>
  <c r="U146" i="19"/>
  <c r="R196" i="19"/>
  <c r="O246" i="19"/>
  <c r="O96" i="19"/>
  <c r="L196" i="19"/>
  <c r="O46" i="19"/>
  <c r="L246" i="19"/>
  <c r="R246" i="19"/>
  <c r="L96" i="19"/>
  <c r="L46" i="19"/>
  <c r="R46" i="19"/>
  <c r="L146" i="19"/>
  <c r="L13" i="19"/>
  <c r="K14" i="19"/>
  <c r="L15" i="19"/>
  <c r="K16" i="19"/>
  <c r="L17" i="19"/>
  <c r="K19" i="19"/>
  <c r="K20" i="19"/>
  <c r="L22" i="19"/>
  <c r="K28" i="19"/>
  <c r="K29" i="19"/>
  <c r="L29" i="19"/>
  <c r="K35" i="19"/>
  <c r="K13" i="19"/>
  <c r="L14" i="19"/>
  <c r="K15" i="19"/>
  <c r="L16" i="19"/>
  <c r="K17" i="19"/>
  <c r="L19" i="19"/>
  <c r="L20" i="19"/>
  <c r="K22" i="19"/>
  <c r="L28" i="19"/>
  <c r="K34" i="19"/>
  <c r="L34" i="19"/>
  <c r="L35" i="19"/>
  <c r="AC80" i="1"/>
  <c r="AB80" i="1"/>
  <c r="AC81" i="1"/>
  <c r="AF26" i="1"/>
  <c r="AF90" i="1"/>
  <c r="AF110" i="1"/>
  <c r="AF23" i="1"/>
  <c r="AF35" i="1"/>
  <c r="AF44" i="1"/>
  <c r="AF74" i="1"/>
  <c r="AF92" i="1"/>
  <c r="AF101" i="1"/>
  <c r="AF107" i="1"/>
  <c r="AF117" i="1"/>
  <c r="AF30" i="1"/>
  <c r="AF27" i="1"/>
  <c r="AF89" i="1"/>
  <c r="AF93" i="1"/>
  <c r="AF102" i="1"/>
  <c r="AF114" i="1"/>
  <c r="AF108" i="1"/>
  <c r="AF32" i="1"/>
  <c r="AF36" i="1"/>
  <c r="AF45" i="1"/>
  <c r="AF50" i="1"/>
  <c r="AF122" i="1"/>
  <c r="AF119" i="1"/>
  <c r="AF24" i="1"/>
  <c r="AF29" i="1"/>
  <c r="AF33" i="1"/>
  <c r="AF41" i="1"/>
  <c r="AF51" i="1"/>
  <c r="AF75" i="1"/>
  <c r="AF123" i="1"/>
  <c r="AF111" i="1"/>
  <c r="AF113" i="1"/>
  <c r="AF116" i="1"/>
  <c r="AF42" i="1"/>
  <c r="AA46" i="1"/>
  <c r="AA47" i="1" s="1"/>
  <c r="AA55" i="1"/>
  <c r="AA56" i="1" s="1"/>
  <c r="AA58" i="1"/>
  <c r="AA59" i="1" s="1"/>
  <c r="AA61" i="1"/>
  <c r="AA64" i="1"/>
  <c r="AA76" i="1"/>
  <c r="AA77" i="1" s="1"/>
  <c r="AA85" i="1"/>
  <c r="AA86" i="1" s="1"/>
  <c r="AA103" i="1"/>
  <c r="AA104" i="1" s="1"/>
  <c r="AA105" i="1" l="1"/>
  <c r="AC104" i="1"/>
  <c r="AB104" i="1"/>
  <c r="AA60" i="1"/>
  <c r="AB59" i="1"/>
  <c r="AC59" i="1"/>
  <c r="AA48" i="1"/>
  <c r="AC47" i="1"/>
  <c r="AB47" i="1"/>
  <c r="AA87" i="1"/>
  <c r="AB86" i="1"/>
  <c r="AC86" i="1"/>
  <c r="AA78" i="1"/>
  <c r="AB77" i="1"/>
  <c r="AC77" i="1"/>
  <c r="AA57" i="1"/>
  <c r="AB56" i="1"/>
  <c r="AC56" i="1"/>
  <c r="AC85" i="1"/>
  <c r="AB85" i="1"/>
  <c r="AC55" i="1"/>
  <c r="AB55" i="1"/>
  <c r="AC58" i="1"/>
  <c r="AB58" i="1"/>
  <c r="AC79" i="1"/>
  <c r="AB79" i="1"/>
  <c r="AC64" i="1"/>
  <c r="AB64" i="1"/>
  <c r="AC88" i="1"/>
  <c r="AB88" i="1"/>
  <c r="AC46" i="1"/>
  <c r="AB46" i="1"/>
  <c r="AC103" i="1"/>
  <c r="AB103" i="1"/>
  <c r="AC76" i="1"/>
  <c r="AB76" i="1"/>
  <c r="AC61" i="1"/>
  <c r="AB61" i="1"/>
  <c r="AA94" i="1"/>
  <c r="AA52" i="1"/>
  <c r="AA53" i="1" s="1"/>
  <c r="AA16" i="1"/>
  <c r="AA17" i="1" s="1"/>
  <c r="W7" i="1"/>
  <c r="K7" i="1"/>
  <c r="W130" i="19" l="1"/>
  <c r="T180" i="19"/>
  <c r="W180" i="19"/>
  <c r="T230" i="19"/>
  <c r="T30" i="19"/>
  <c r="Q80" i="19"/>
  <c r="N130" i="19"/>
  <c r="N180" i="19"/>
  <c r="W80" i="19"/>
  <c r="T130" i="19"/>
  <c r="Q130" i="19"/>
  <c r="N230" i="19"/>
  <c r="Q230" i="19"/>
  <c r="Q180" i="19"/>
  <c r="K180" i="19"/>
  <c r="W230" i="19"/>
  <c r="N80" i="19"/>
  <c r="K130" i="19"/>
  <c r="W30" i="19"/>
  <c r="K80" i="19"/>
  <c r="T80" i="19"/>
  <c r="Q30" i="19"/>
  <c r="N30" i="19"/>
  <c r="K230" i="19"/>
  <c r="W125" i="19"/>
  <c r="T175" i="19"/>
  <c r="W175" i="19"/>
  <c r="T225" i="19"/>
  <c r="T25" i="19"/>
  <c r="W75" i="19"/>
  <c r="T125" i="19"/>
  <c r="Q75" i="19"/>
  <c r="N125" i="19"/>
  <c r="W225" i="19"/>
  <c r="W25" i="19"/>
  <c r="T75" i="19"/>
  <c r="N175" i="19"/>
  <c r="Q125" i="19"/>
  <c r="Q225" i="19"/>
  <c r="Q175" i="19"/>
  <c r="N225" i="19"/>
  <c r="N75" i="19"/>
  <c r="K175" i="19"/>
  <c r="Q25" i="19"/>
  <c r="K125" i="19"/>
  <c r="K75" i="19"/>
  <c r="N25" i="19"/>
  <c r="K225" i="19"/>
  <c r="W233" i="19"/>
  <c r="W33" i="19"/>
  <c r="T83" i="19"/>
  <c r="W83" i="19"/>
  <c r="T133" i="19"/>
  <c r="W183" i="19"/>
  <c r="T233" i="19"/>
  <c r="T33" i="19"/>
  <c r="Q133" i="19"/>
  <c r="N233" i="19"/>
  <c r="Q183" i="19"/>
  <c r="Q233" i="19"/>
  <c r="Q33" i="19"/>
  <c r="N83" i="19"/>
  <c r="Q83" i="19"/>
  <c r="N133" i="19"/>
  <c r="N183" i="19"/>
  <c r="K83" i="19"/>
  <c r="N33" i="19"/>
  <c r="K233" i="19"/>
  <c r="W133" i="19"/>
  <c r="K183" i="19"/>
  <c r="T183" i="19"/>
  <c r="K133" i="19"/>
  <c r="W190" i="19"/>
  <c r="T240" i="19"/>
  <c r="T40" i="19"/>
  <c r="W240" i="19"/>
  <c r="W40" i="19"/>
  <c r="T90" i="19"/>
  <c r="W140" i="19"/>
  <c r="T190" i="19"/>
  <c r="N190" i="19"/>
  <c r="W90" i="19"/>
  <c r="T140" i="19"/>
  <c r="N240" i="19"/>
  <c r="Q140" i="19"/>
  <c r="Q190" i="19"/>
  <c r="Q40" i="19"/>
  <c r="N90" i="19"/>
  <c r="K140" i="19"/>
  <c r="K90" i="19"/>
  <c r="Q90" i="19"/>
  <c r="K40" i="19"/>
  <c r="N40" i="19"/>
  <c r="K240" i="19"/>
  <c r="Q240" i="19"/>
  <c r="N140" i="19"/>
  <c r="K190" i="19"/>
  <c r="W74" i="19"/>
  <c r="T124" i="19"/>
  <c r="W124" i="19"/>
  <c r="T174" i="19"/>
  <c r="W174" i="19"/>
  <c r="T224" i="19"/>
  <c r="T24" i="19"/>
  <c r="Q24" i="19"/>
  <c r="Q74" i="19"/>
  <c r="N124" i="19"/>
  <c r="W224" i="19"/>
  <c r="W24" i="19"/>
  <c r="T74" i="19"/>
  <c r="N174" i="19"/>
  <c r="Q174" i="19"/>
  <c r="Q124" i="19"/>
  <c r="Q224" i="19"/>
  <c r="N24" i="19"/>
  <c r="K224" i="19"/>
  <c r="N74" i="19"/>
  <c r="K174" i="19"/>
  <c r="K124" i="19"/>
  <c r="N224" i="19"/>
  <c r="K74" i="19"/>
  <c r="W121" i="19"/>
  <c r="T171" i="19"/>
  <c r="W171" i="19"/>
  <c r="T221" i="19"/>
  <c r="T21" i="19"/>
  <c r="Q71" i="19"/>
  <c r="W71" i="19"/>
  <c r="T121" i="19"/>
  <c r="Q121" i="19"/>
  <c r="N171" i="19"/>
  <c r="Q221" i="19"/>
  <c r="Q171" i="19"/>
  <c r="W221" i="19"/>
  <c r="W21" i="19"/>
  <c r="T71" i="19"/>
  <c r="N221" i="19"/>
  <c r="N121" i="19"/>
  <c r="K171" i="19"/>
  <c r="Q21" i="19"/>
  <c r="K121" i="19"/>
  <c r="K71" i="19"/>
  <c r="N71" i="19"/>
  <c r="N21" i="19"/>
  <c r="K221" i="19"/>
  <c r="T226" i="19"/>
  <c r="Q76" i="19"/>
  <c r="W126" i="19"/>
  <c r="W26" i="19"/>
  <c r="Q126" i="19"/>
  <c r="Q176" i="19"/>
  <c r="N26" i="19"/>
  <c r="N76" i="19"/>
  <c r="W176" i="19"/>
  <c r="T26" i="19"/>
  <c r="N126" i="19"/>
  <c r="W226" i="19"/>
  <c r="T76" i="19"/>
  <c r="N176" i="19"/>
  <c r="T126" i="19"/>
  <c r="N226" i="19"/>
  <c r="K226" i="19"/>
  <c r="W76" i="19"/>
  <c r="T176" i="19"/>
  <c r="Q26" i="19"/>
  <c r="K176" i="19"/>
  <c r="K126" i="19"/>
  <c r="K76" i="19"/>
  <c r="Q226" i="19"/>
  <c r="K33" i="19"/>
  <c r="K21" i="19"/>
  <c r="K25" i="19"/>
  <c r="K30" i="19"/>
  <c r="K24" i="19"/>
  <c r="K27" i="19"/>
  <c r="K26" i="19"/>
  <c r="AF86" i="1"/>
  <c r="AF77" i="1"/>
  <c r="AC87" i="1"/>
  <c r="AB87" i="1"/>
  <c r="AF47" i="1"/>
  <c r="AF59" i="1"/>
  <c r="AB105" i="1"/>
  <c r="AC105" i="1"/>
  <c r="AA18" i="1"/>
  <c r="AB17" i="1"/>
  <c r="AC17" i="1"/>
  <c r="AF56" i="1"/>
  <c r="AB78" i="1"/>
  <c r="AC78" i="1"/>
  <c r="AB60" i="1"/>
  <c r="AC60" i="1"/>
  <c r="AA54" i="1"/>
  <c r="AB53" i="1"/>
  <c r="AC53" i="1"/>
  <c r="AC57" i="1"/>
  <c r="AB57" i="1"/>
  <c r="AB48" i="1"/>
  <c r="AC48" i="1"/>
  <c r="AF104" i="1"/>
  <c r="AC16" i="1"/>
  <c r="AB16" i="1"/>
  <c r="AC52" i="1"/>
  <c r="AB52" i="1"/>
  <c r="AC94" i="1"/>
  <c r="AB94" i="1"/>
  <c r="L7" i="1"/>
  <c r="AA8" i="1" s="1"/>
  <c r="AA9" i="1" s="1"/>
  <c r="AA19" i="1"/>
  <c r="AA20" i="1" s="1"/>
  <c r="B221" i="13" a="1"/>
  <c r="X75" i="19" l="1"/>
  <c r="U125" i="19"/>
  <c r="X125" i="19"/>
  <c r="U175" i="19"/>
  <c r="R225" i="19"/>
  <c r="X175" i="19"/>
  <c r="U225" i="19"/>
  <c r="U25" i="19"/>
  <c r="X225" i="19"/>
  <c r="X25" i="19"/>
  <c r="U75" i="19"/>
  <c r="R75" i="19"/>
  <c r="O125" i="19"/>
  <c r="R125" i="19"/>
  <c r="R175" i="19"/>
  <c r="O225" i="19"/>
  <c r="R25" i="19"/>
  <c r="O75" i="19"/>
  <c r="O175" i="19"/>
  <c r="L175" i="19"/>
  <c r="L125" i="19"/>
  <c r="L75" i="19"/>
  <c r="O25" i="19"/>
  <c r="L225" i="19"/>
  <c r="X224" i="19"/>
  <c r="X24" i="19"/>
  <c r="U74" i="19"/>
  <c r="X74" i="19"/>
  <c r="U124" i="19"/>
  <c r="R174" i="19"/>
  <c r="X124" i="19"/>
  <c r="U174" i="19"/>
  <c r="X174" i="19"/>
  <c r="U224" i="19"/>
  <c r="U24" i="19"/>
  <c r="R24" i="19"/>
  <c r="R74" i="19"/>
  <c r="O174" i="19"/>
  <c r="R124" i="19"/>
  <c r="R224" i="19"/>
  <c r="O224" i="19"/>
  <c r="O24" i="19"/>
  <c r="L224" i="19"/>
  <c r="O74" i="19"/>
  <c r="L174" i="19"/>
  <c r="L124" i="19"/>
  <c r="O124" i="19"/>
  <c r="L74" i="19"/>
  <c r="X80" i="19"/>
  <c r="U130" i="19"/>
  <c r="X130" i="19"/>
  <c r="U180" i="19"/>
  <c r="R230" i="19"/>
  <c r="X180" i="19"/>
  <c r="U230" i="19"/>
  <c r="U30" i="19"/>
  <c r="X230" i="19"/>
  <c r="X30" i="19"/>
  <c r="U80" i="19"/>
  <c r="R80" i="19"/>
  <c r="O130" i="19"/>
  <c r="R130" i="19"/>
  <c r="O230" i="19"/>
  <c r="R180" i="19"/>
  <c r="R30" i="19"/>
  <c r="O80" i="19"/>
  <c r="L180" i="19"/>
  <c r="L130" i="19"/>
  <c r="O180" i="19"/>
  <c r="L80" i="19"/>
  <c r="O30" i="19"/>
  <c r="L230" i="19"/>
  <c r="X183" i="19"/>
  <c r="U233" i="19"/>
  <c r="U33" i="19"/>
  <c r="X233" i="19"/>
  <c r="X33" i="19"/>
  <c r="U83" i="19"/>
  <c r="R133" i="19"/>
  <c r="X83" i="19"/>
  <c r="U133" i="19"/>
  <c r="X133" i="19"/>
  <c r="U183" i="19"/>
  <c r="O233" i="19"/>
  <c r="R183" i="19"/>
  <c r="R233" i="19"/>
  <c r="R33" i="19"/>
  <c r="R83" i="19"/>
  <c r="O183" i="19"/>
  <c r="L83" i="19"/>
  <c r="O33" i="19"/>
  <c r="L233" i="19"/>
  <c r="L183" i="19"/>
  <c r="O133" i="19"/>
  <c r="L133" i="19"/>
  <c r="O83" i="19"/>
  <c r="W186" i="19"/>
  <c r="T236" i="19"/>
  <c r="T36" i="19"/>
  <c r="W236" i="19"/>
  <c r="W36" i="19"/>
  <c r="T86" i="19"/>
  <c r="W86" i="19"/>
  <c r="T136" i="19"/>
  <c r="N186" i="19"/>
  <c r="N236" i="19"/>
  <c r="Q136" i="19"/>
  <c r="Q186" i="19"/>
  <c r="Q36" i="19"/>
  <c r="W136" i="19"/>
  <c r="T186" i="19"/>
  <c r="Q236" i="19"/>
  <c r="Q86" i="19"/>
  <c r="K136" i="19"/>
  <c r="N86" i="19"/>
  <c r="K86" i="19"/>
  <c r="N136" i="19"/>
  <c r="N36" i="19"/>
  <c r="K236" i="19"/>
  <c r="K186" i="19"/>
  <c r="W160" i="19"/>
  <c r="T210" i="19"/>
  <c r="W210" i="19"/>
  <c r="W10" i="19"/>
  <c r="T60" i="19"/>
  <c r="W60" i="19"/>
  <c r="T110" i="19"/>
  <c r="Q210" i="19"/>
  <c r="Q110" i="19"/>
  <c r="N160" i="19"/>
  <c r="T10" i="19"/>
  <c r="N210" i="19"/>
  <c r="W110" i="19"/>
  <c r="T160" i="19"/>
  <c r="Q10" i="19"/>
  <c r="K110" i="19"/>
  <c r="Q60" i="19"/>
  <c r="Q160" i="19"/>
  <c r="K60" i="19"/>
  <c r="N110" i="19"/>
  <c r="N10" i="19"/>
  <c r="K210" i="19"/>
  <c r="N60" i="19"/>
  <c r="K160" i="19"/>
  <c r="X140" i="19"/>
  <c r="U190" i="19"/>
  <c r="X190" i="19"/>
  <c r="U240" i="19"/>
  <c r="U40" i="19"/>
  <c r="X240" i="19"/>
  <c r="X40" i="19"/>
  <c r="U90" i="19"/>
  <c r="X90" i="19"/>
  <c r="U140" i="19"/>
  <c r="O190" i="19"/>
  <c r="O240" i="19"/>
  <c r="R140" i="19"/>
  <c r="R190" i="19"/>
  <c r="R40" i="19"/>
  <c r="R240" i="19"/>
  <c r="R90" i="19"/>
  <c r="O140" i="19"/>
  <c r="L140" i="19"/>
  <c r="L90" i="19"/>
  <c r="O40" i="19"/>
  <c r="L240" i="19"/>
  <c r="O90" i="19"/>
  <c r="L40" i="19"/>
  <c r="L190" i="19"/>
  <c r="X71" i="19"/>
  <c r="U121" i="19"/>
  <c r="X121" i="19"/>
  <c r="U171" i="19"/>
  <c r="R221" i="19"/>
  <c r="X171" i="19"/>
  <c r="U221" i="19"/>
  <c r="U21" i="19"/>
  <c r="X221" i="19"/>
  <c r="X21" i="19"/>
  <c r="U71" i="19"/>
  <c r="R71" i="19"/>
  <c r="O121" i="19"/>
  <c r="R121" i="19"/>
  <c r="R171" i="19"/>
  <c r="O221" i="19"/>
  <c r="R21" i="19"/>
  <c r="O71" i="19"/>
  <c r="L171" i="19"/>
  <c r="O171" i="19"/>
  <c r="L121" i="19"/>
  <c r="L71" i="19"/>
  <c r="O21" i="19"/>
  <c r="L221" i="19"/>
  <c r="W223" i="19"/>
  <c r="W23" i="19"/>
  <c r="T73" i="19"/>
  <c r="W73" i="19"/>
  <c r="T123" i="19"/>
  <c r="Q173" i="19"/>
  <c r="W173" i="19"/>
  <c r="T223" i="19"/>
  <c r="T23" i="19"/>
  <c r="Q223" i="19"/>
  <c r="N223" i="19"/>
  <c r="Q23" i="19"/>
  <c r="N73" i="19"/>
  <c r="W123" i="19"/>
  <c r="T173" i="19"/>
  <c r="Q73" i="19"/>
  <c r="N123" i="19"/>
  <c r="N173" i="19"/>
  <c r="K73" i="19"/>
  <c r="Q123" i="19"/>
  <c r="N23" i="19"/>
  <c r="K223" i="19"/>
  <c r="K173" i="19"/>
  <c r="K123" i="19"/>
  <c r="W211" i="19"/>
  <c r="W11" i="19"/>
  <c r="T61" i="19"/>
  <c r="W61" i="19"/>
  <c r="T111" i="19"/>
  <c r="W161" i="19"/>
  <c r="T211" i="19"/>
  <c r="T11" i="19"/>
  <c r="N211" i="19"/>
  <c r="Q11" i="19"/>
  <c r="N61" i="19"/>
  <c r="W111" i="19"/>
  <c r="T161" i="19"/>
  <c r="Q161" i="19"/>
  <c r="Q61" i="19"/>
  <c r="N111" i="19"/>
  <c r="Q211" i="19"/>
  <c r="N161" i="19"/>
  <c r="K61" i="19"/>
  <c r="N11" i="19"/>
  <c r="K211" i="19"/>
  <c r="K161" i="19"/>
  <c r="Q111" i="19"/>
  <c r="K111" i="19"/>
  <c r="W237" i="19"/>
  <c r="W37" i="19"/>
  <c r="T87" i="19"/>
  <c r="W87" i="19"/>
  <c r="T137" i="19"/>
  <c r="N237" i="19"/>
  <c r="Q137" i="19"/>
  <c r="Q187" i="19"/>
  <c r="Q37" i="19"/>
  <c r="N87" i="19"/>
  <c r="W137" i="19"/>
  <c r="T187" i="19"/>
  <c r="Q237" i="19"/>
  <c r="Q87" i="19"/>
  <c r="N137" i="19"/>
  <c r="W187" i="19"/>
  <c r="T237" i="19"/>
  <c r="T37" i="19"/>
  <c r="K87" i="19"/>
  <c r="N37" i="19"/>
  <c r="K237" i="19"/>
  <c r="K187" i="19"/>
  <c r="N187" i="19"/>
  <c r="K137" i="19"/>
  <c r="U177" i="19"/>
  <c r="R27" i="19"/>
  <c r="L177" i="19"/>
  <c r="U227" i="19"/>
  <c r="R77" i="19"/>
  <c r="L127" i="19"/>
  <c r="O77" i="19"/>
  <c r="X27" i="19"/>
  <c r="R127" i="19"/>
  <c r="L77" i="19"/>
  <c r="X127" i="19"/>
  <c r="U27" i="19"/>
  <c r="X77" i="19"/>
  <c r="R177" i="19"/>
  <c r="O27" i="19"/>
  <c r="R227" i="19"/>
  <c r="X177" i="19"/>
  <c r="X227" i="19"/>
  <c r="U77" i="19"/>
  <c r="O177" i="19"/>
  <c r="O127" i="19"/>
  <c r="U127" i="19"/>
  <c r="O227" i="19"/>
  <c r="L227" i="19"/>
  <c r="L21" i="19"/>
  <c r="L25" i="19"/>
  <c r="K23" i="19"/>
  <c r="K11" i="19"/>
  <c r="L27" i="19"/>
  <c r="K36" i="19"/>
  <c r="L24" i="19"/>
  <c r="L30" i="19"/>
  <c r="K10" i="19"/>
  <c r="L33" i="19"/>
  <c r="K37" i="19"/>
  <c r="AF57" i="1"/>
  <c r="AB54" i="1"/>
  <c r="AC54" i="1"/>
  <c r="AF78" i="1"/>
  <c r="AF17" i="1"/>
  <c r="AF87" i="1"/>
  <c r="AF48" i="1"/>
  <c r="AB18" i="1"/>
  <c r="AC18" i="1"/>
  <c r="AA21" i="1"/>
  <c r="AC20" i="1"/>
  <c r="AB20" i="1"/>
  <c r="AF60" i="1"/>
  <c r="AF53" i="1"/>
  <c r="AF105" i="1"/>
  <c r="AC19" i="1"/>
  <c r="AB19" i="1"/>
  <c r="AA7" i="1"/>
  <c r="B221" i="13"/>
  <c r="N67" i="1" l="1"/>
  <c r="O67" i="1" s="1"/>
  <c r="N136" i="1"/>
  <c r="O136" i="1" s="1"/>
  <c r="N142" i="1"/>
  <c r="O142" i="1" s="1"/>
  <c r="N145" i="1"/>
  <c r="O145" i="1" s="1"/>
  <c r="N148" i="1"/>
  <c r="O148" i="1" s="1"/>
  <c r="N139" i="1"/>
  <c r="O139" i="1" s="1"/>
  <c r="X173" i="19"/>
  <c r="U223" i="19"/>
  <c r="U23" i="19"/>
  <c r="X223" i="19"/>
  <c r="X23" i="19"/>
  <c r="U73" i="19"/>
  <c r="R123" i="19"/>
  <c r="X73" i="19"/>
  <c r="U123" i="19"/>
  <c r="X123" i="19"/>
  <c r="U173" i="19"/>
  <c r="R223" i="19"/>
  <c r="O223" i="19"/>
  <c r="R23" i="19"/>
  <c r="R73" i="19"/>
  <c r="O173" i="19"/>
  <c r="L73" i="19"/>
  <c r="O23" i="19"/>
  <c r="L223" i="19"/>
  <c r="O73" i="19"/>
  <c r="L173" i="19"/>
  <c r="R173" i="19"/>
  <c r="O123" i="19"/>
  <c r="L123" i="19"/>
  <c r="X161" i="19"/>
  <c r="U211" i="19"/>
  <c r="X211" i="19"/>
  <c r="X11" i="19"/>
  <c r="U61" i="19"/>
  <c r="X61" i="19"/>
  <c r="U111" i="19"/>
  <c r="X111" i="19"/>
  <c r="U161" i="19"/>
  <c r="U11" i="19"/>
  <c r="O211" i="19"/>
  <c r="R11" i="19"/>
  <c r="R161" i="19"/>
  <c r="R61" i="19"/>
  <c r="R211" i="19"/>
  <c r="R111" i="19"/>
  <c r="O161" i="19"/>
  <c r="L61" i="19"/>
  <c r="O11" i="19"/>
  <c r="L211" i="19"/>
  <c r="O111" i="19"/>
  <c r="L161" i="19"/>
  <c r="O61" i="19"/>
  <c r="L111" i="19"/>
  <c r="X110" i="19"/>
  <c r="U160" i="19"/>
  <c r="X160" i="19"/>
  <c r="U210" i="19"/>
  <c r="U10" i="19"/>
  <c r="X210" i="19"/>
  <c r="X10" i="19"/>
  <c r="U60" i="19"/>
  <c r="X60" i="19"/>
  <c r="U110" i="19"/>
  <c r="R110" i="19"/>
  <c r="O160" i="19"/>
  <c r="O210" i="19"/>
  <c r="R10" i="19"/>
  <c r="R160" i="19"/>
  <c r="R60" i="19"/>
  <c r="O110" i="19"/>
  <c r="L110" i="19"/>
  <c r="L60" i="19"/>
  <c r="O10" i="19"/>
  <c r="L210" i="19"/>
  <c r="R210" i="19"/>
  <c r="O60" i="19"/>
  <c r="L160" i="19"/>
  <c r="W62" i="19"/>
  <c r="T112" i="19"/>
  <c r="W112" i="19"/>
  <c r="T162" i="19"/>
  <c r="W162" i="19"/>
  <c r="T212" i="19"/>
  <c r="Q12" i="19"/>
  <c r="Q162" i="19"/>
  <c r="Q62" i="19"/>
  <c r="N112" i="19"/>
  <c r="W212" i="19"/>
  <c r="W12" i="19"/>
  <c r="T62" i="19"/>
  <c r="Q212" i="19"/>
  <c r="Q112" i="19"/>
  <c r="N162" i="19"/>
  <c r="T12" i="19"/>
  <c r="N12" i="19"/>
  <c r="K212" i="19"/>
  <c r="N212" i="19"/>
  <c r="K162" i="19"/>
  <c r="N62" i="19"/>
  <c r="K112" i="19"/>
  <c r="K62" i="19"/>
  <c r="L10" i="19"/>
  <c r="L23" i="19"/>
  <c r="K12" i="19"/>
  <c r="L11" i="19"/>
  <c r="N82" i="1"/>
  <c r="O82" i="1" s="1"/>
  <c r="AB21" i="1"/>
  <c r="AC21" i="1"/>
  <c r="AF18" i="1"/>
  <c r="AF54" i="1"/>
  <c r="AF20" i="1"/>
  <c r="N130" i="1"/>
  <c r="O130" i="1" s="1"/>
  <c r="N127" i="1"/>
  <c r="O127" i="1" s="1"/>
  <c r="N124" i="1"/>
  <c r="O124" i="1" s="1"/>
  <c r="N133" i="1"/>
  <c r="O133" i="1" s="1"/>
  <c r="N91" i="1"/>
  <c r="O91" i="1" s="1"/>
  <c r="N76" i="1"/>
  <c r="O76" i="1" s="1"/>
  <c r="N61" i="1"/>
  <c r="O61" i="1" s="1"/>
  <c r="N49" i="1"/>
  <c r="O49" i="1" s="1"/>
  <c r="N28" i="1"/>
  <c r="O28" i="1" s="1"/>
  <c r="N16" i="1"/>
  <c r="O16" i="1" s="1"/>
  <c r="N10" i="1"/>
  <c r="O10" i="1" s="1"/>
  <c r="N103" i="1"/>
  <c r="O103" i="1" s="1"/>
  <c r="N100" i="1"/>
  <c r="O100" i="1" s="1"/>
  <c r="N88" i="1"/>
  <c r="O88" i="1" s="1"/>
  <c r="N73" i="1"/>
  <c r="O73" i="1" s="1"/>
  <c r="N58" i="1"/>
  <c r="O58" i="1" s="1"/>
  <c r="N46" i="1"/>
  <c r="O46" i="1" s="1"/>
  <c r="N37" i="1"/>
  <c r="O37" i="1" s="1"/>
  <c r="N25" i="1"/>
  <c r="O25" i="1" s="1"/>
  <c r="N118" i="1"/>
  <c r="O118" i="1" s="1"/>
  <c r="N115" i="1"/>
  <c r="O115" i="1" s="1"/>
  <c r="N112" i="1"/>
  <c r="O112" i="1" s="1"/>
  <c r="N109" i="1"/>
  <c r="O109" i="1" s="1"/>
  <c r="N106" i="1"/>
  <c r="O106" i="1" s="1"/>
  <c r="N85" i="1"/>
  <c r="O85" i="1" s="1"/>
  <c r="N70" i="1"/>
  <c r="O70" i="1" s="1"/>
  <c r="N55" i="1"/>
  <c r="O55" i="1" s="1"/>
  <c r="N43" i="1"/>
  <c r="O43" i="1" s="1"/>
  <c r="N34" i="1"/>
  <c r="O34" i="1" s="1"/>
  <c r="N22" i="1"/>
  <c r="O22" i="1" s="1"/>
  <c r="N52" i="1"/>
  <c r="O52" i="1" s="1"/>
  <c r="N94" i="1"/>
  <c r="O94" i="1" s="1"/>
  <c r="N31" i="1"/>
  <c r="O31" i="1" s="1"/>
  <c r="N64" i="1"/>
  <c r="O64" i="1" s="1"/>
  <c r="N121" i="1"/>
  <c r="O121" i="1" s="1"/>
  <c r="N13" i="1"/>
  <c r="O13" i="1" s="1"/>
  <c r="N40" i="1"/>
  <c r="O40" i="1" s="1"/>
  <c r="N79" i="1"/>
  <c r="O79" i="1" s="1"/>
  <c r="N19" i="1"/>
  <c r="O19" i="1" s="1"/>
  <c r="AB9" i="1"/>
  <c r="AC9" i="1"/>
  <c r="AC8" i="1"/>
  <c r="AB8" i="1"/>
  <c r="H210" i="13"/>
  <c r="AF44" i="18" l="1"/>
  <c r="L64" i="18"/>
  <c r="AZ24" i="18"/>
  <c r="V64" i="18"/>
  <c r="AZ44" i="18"/>
  <c r="AP44" i="18"/>
  <c r="L84" i="18"/>
  <c r="AP64" i="18"/>
  <c r="AF64" i="18"/>
  <c r="P139" i="1"/>
  <c r="AE139" i="1" s="1"/>
  <c r="AD139" i="1" s="1"/>
  <c r="Q139" i="1"/>
  <c r="AF24" i="18"/>
  <c r="AZ64" i="18"/>
  <c r="AF84" i="18"/>
  <c r="V84" i="18"/>
  <c r="AP84" i="18"/>
  <c r="V104" i="18"/>
  <c r="L104" i="18"/>
  <c r="AP104" i="18"/>
  <c r="L44" i="18"/>
  <c r="AZ84" i="18"/>
  <c r="AF104" i="18"/>
  <c r="V24" i="18"/>
  <c r="L24" i="18"/>
  <c r="AP24" i="18"/>
  <c r="V44" i="18"/>
  <c r="AZ104" i="18"/>
  <c r="P148" i="1"/>
  <c r="AL64" i="18"/>
  <c r="AB64" i="18"/>
  <c r="BF44" i="18"/>
  <c r="AB84" i="18"/>
  <c r="R84" i="18"/>
  <c r="AV64" i="18"/>
  <c r="AV24" i="18"/>
  <c r="R104" i="18"/>
  <c r="BF64" i="18"/>
  <c r="AL84" i="18"/>
  <c r="R24" i="18"/>
  <c r="AV84" i="18"/>
  <c r="AB104" i="18"/>
  <c r="BF84" i="18"/>
  <c r="AL104" i="18"/>
  <c r="AB24" i="18"/>
  <c r="Q148" i="1"/>
  <c r="AB44" i="18"/>
  <c r="BF104" i="18"/>
  <c r="AV104" i="18"/>
  <c r="AL24" i="18"/>
  <c r="R44" i="18"/>
  <c r="AV44" i="18"/>
  <c r="AL44" i="18"/>
  <c r="R64" i="18"/>
  <c r="BF24" i="18"/>
  <c r="AJ84" i="18"/>
  <c r="Z84" i="18"/>
  <c r="P84" i="18"/>
  <c r="Z104" i="18"/>
  <c r="P104" i="18"/>
  <c r="BD64" i="18"/>
  <c r="BD44" i="18"/>
  <c r="Z24" i="18"/>
  <c r="P24" i="18"/>
  <c r="AT84" i="18"/>
  <c r="P44" i="18"/>
  <c r="BD84" i="18"/>
  <c r="AJ104" i="18"/>
  <c r="BD104" i="18"/>
  <c r="AT104" i="18"/>
  <c r="AJ24" i="18"/>
  <c r="AT44" i="18"/>
  <c r="AJ44" i="18"/>
  <c r="BD24" i="18"/>
  <c r="AT24" i="18"/>
  <c r="Z44" i="18"/>
  <c r="Q145" i="1"/>
  <c r="AT64" i="18"/>
  <c r="AJ64" i="18"/>
  <c r="Z64" i="18"/>
  <c r="P145" i="1"/>
  <c r="P64" i="18"/>
  <c r="P142" i="1"/>
  <c r="N64" i="18"/>
  <c r="BB24" i="18"/>
  <c r="AR24" i="18"/>
  <c r="BB44" i="18"/>
  <c r="AR44" i="18"/>
  <c r="AH44" i="18"/>
  <c r="AR64" i="18"/>
  <c r="AH64" i="18"/>
  <c r="X64" i="18"/>
  <c r="BB84" i="18"/>
  <c r="BB64" i="18"/>
  <c r="AH84" i="18"/>
  <c r="X84" i="18"/>
  <c r="N84" i="18"/>
  <c r="AR84" i="18"/>
  <c r="X104" i="18"/>
  <c r="N104" i="18"/>
  <c r="Q142" i="1"/>
  <c r="N44" i="18"/>
  <c r="AH104" i="18"/>
  <c r="X24" i="18"/>
  <c r="N24" i="18"/>
  <c r="X44" i="18"/>
  <c r="BB104" i="18"/>
  <c r="AR104" i="18"/>
  <c r="AH24" i="18"/>
  <c r="P136" i="1"/>
  <c r="AE136" i="1" s="1"/>
  <c r="AD136" i="1" s="1"/>
  <c r="AX104" i="18"/>
  <c r="AN104" i="18"/>
  <c r="AD24" i="18"/>
  <c r="J44" i="18"/>
  <c r="AX24" i="18"/>
  <c r="AN24" i="18"/>
  <c r="T44" i="18"/>
  <c r="AN44" i="18"/>
  <c r="AD44" i="18"/>
  <c r="J64" i="18"/>
  <c r="J24" i="18"/>
  <c r="T104" i="18"/>
  <c r="Q136" i="1"/>
  <c r="AD64" i="18"/>
  <c r="T64" i="18"/>
  <c r="AX44" i="18"/>
  <c r="T84" i="18"/>
  <c r="J84" i="18"/>
  <c r="AN64" i="18"/>
  <c r="AN84" i="18"/>
  <c r="J104" i="18"/>
  <c r="AX64" i="18"/>
  <c r="AD84" i="18"/>
  <c r="AX84" i="18"/>
  <c r="AD104" i="18"/>
  <c r="T24" i="18"/>
  <c r="Q67" i="1"/>
  <c r="P67" i="1"/>
  <c r="AE67" i="1" s="1"/>
  <c r="AD67" i="1" s="1"/>
  <c r="AF67" i="1" s="1"/>
  <c r="X212" i="19"/>
  <c r="X12" i="19"/>
  <c r="U62" i="19"/>
  <c r="X62" i="19"/>
  <c r="U112" i="19"/>
  <c r="R162" i="19"/>
  <c r="X112" i="19"/>
  <c r="U162" i="19"/>
  <c r="X162" i="19"/>
  <c r="U212" i="19"/>
  <c r="R12" i="19"/>
  <c r="R62" i="19"/>
  <c r="R212" i="19"/>
  <c r="R112" i="19"/>
  <c r="O162" i="19"/>
  <c r="U12" i="19"/>
  <c r="O212" i="19"/>
  <c r="O12" i="19"/>
  <c r="L212" i="19"/>
  <c r="O112" i="19"/>
  <c r="L162" i="19"/>
  <c r="O62" i="19"/>
  <c r="L112" i="19"/>
  <c r="L62" i="19"/>
  <c r="AZ28" i="18"/>
  <c r="AF68" i="18"/>
  <c r="AZ68" i="18"/>
  <c r="AP8" i="18"/>
  <c r="AZ8" i="18"/>
  <c r="AF48" i="18"/>
  <c r="AZ88" i="18"/>
  <c r="V28" i="18"/>
  <c r="AP48" i="18"/>
  <c r="V8" i="18"/>
  <c r="AF28" i="18"/>
  <c r="L68" i="18"/>
  <c r="AP28" i="18"/>
  <c r="V88" i="18"/>
  <c r="V68" i="18"/>
  <c r="V48" i="18"/>
  <c r="AZ48" i="18"/>
  <c r="AF88" i="18"/>
  <c r="L88" i="18"/>
  <c r="L48" i="18"/>
  <c r="AF8" i="18"/>
  <c r="AP88" i="18"/>
  <c r="L28" i="18"/>
  <c r="AP68" i="18"/>
  <c r="BD46" i="18"/>
  <c r="AJ86" i="18"/>
  <c r="BD86" i="18"/>
  <c r="AT26" i="18"/>
  <c r="BD26" i="18"/>
  <c r="AJ66" i="18"/>
  <c r="AT86" i="18"/>
  <c r="Z46" i="18"/>
  <c r="AT66" i="18"/>
  <c r="AT6" i="18"/>
  <c r="AJ6" i="18"/>
  <c r="Z26" i="18"/>
  <c r="AT46" i="18"/>
  <c r="AJ26" i="18"/>
  <c r="P26" i="18"/>
  <c r="BD66" i="18"/>
  <c r="P66" i="18"/>
  <c r="Z86" i="18"/>
  <c r="Z66" i="18"/>
  <c r="AJ46" i="18"/>
  <c r="Z6" i="18"/>
  <c r="P86" i="18"/>
  <c r="BD6" i="18"/>
  <c r="P46" i="18"/>
  <c r="AP94" i="18"/>
  <c r="AF34" i="18"/>
  <c r="AZ34" i="18"/>
  <c r="AP74" i="18"/>
  <c r="AF14" i="18"/>
  <c r="AP14" i="18"/>
  <c r="L94" i="18"/>
  <c r="AZ14" i="18"/>
  <c r="AP54" i="18"/>
  <c r="L74" i="18"/>
  <c r="AF74" i="18"/>
  <c r="V94" i="18"/>
  <c r="V54" i="18"/>
  <c r="V34" i="18"/>
  <c r="V14" i="18"/>
  <c r="L34" i="18"/>
  <c r="AP34" i="18"/>
  <c r="AF94" i="18"/>
  <c r="AF54" i="18"/>
  <c r="AZ94" i="18"/>
  <c r="AZ74" i="18"/>
  <c r="L54" i="18"/>
  <c r="AZ54" i="18"/>
  <c r="V74" i="18"/>
  <c r="BF100" i="18"/>
  <c r="AV40" i="18"/>
  <c r="AV80" i="18"/>
  <c r="BF80" i="18"/>
  <c r="AV20" i="18"/>
  <c r="AV60" i="18"/>
  <c r="AL40" i="18"/>
  <c r="AL20" i="18"/>
  <c r="BF60" i="18"/>
  <c r="AV100" i="18"/>
  <c r="AB100" i="18"/>
  <c r="AB80" i="18"/>
  <c r="BF40" i="18"/>
  <c r="BF20" i="18"/>
  <c r="AL80" i="18"/>
  <c r="R20" i="18"/>
  <c r="AB60" i="18"/>
  <c r="AB40" i="18"/>
  <c r="AB20" i="18"/>
  <c r="R100" i="18"/>
  <c r="R60" i="18"/>
  <c r="AL60" i="18"/>
  <c r="R80" i="18"/>
  <c r="AL100" i="18"/>
  <c r="R40" i="18"/>
  <c r="AV86" i="18"/>
  <c r="AL26" i="18"/>
  <c r="BF26" i="18"/>
  <c r="AV66" i="18"/>
  <c r="AL6" i="18"/>
  <c r="AV26" i="18"/>
  <c r="AL86" i="18"/>
  <c r="AL66" i="18"/>
  <c r="AL46" i="18"/>
  <c r="R86" i="18"/>
  <c r="AV6" i="18"/>
  <c r="BF66" i="18"/>
  <c r="AV46" i="18"/>
  <c r="R26" i="18"/>
  <c r="R66" i="18"/>
  <c r="BF86" i="18"/>
  <c r="AB86" i="18"/>
  <c r="AB66" i="18"/>
  <c r="AB46" i="18"/>
  <c r="AB26" i="18"/>
  <c r="AB6" i="18"/>
  <c r="BF46" i="18"/>
  <c r="BF6" i="18"/>
  <c r="R46" i="18"/>
  <c r="AV96" i="18"/>
  <c r="AL36" i="18"/>
  <c r="BF36" i="18"/>
  <c r="AV76" i="18"/>
  <c r="AL16" i="18"/>
  <c r="BF56" i="18"/>
  <c r="R96" i="18"/>
  <c r="BF96" i="18"/>
  <c r="AV16" i="18"/>
  <c r="AB96" i="18"/>
  <c r="R76" i="18"/>
  <c r="AV36" i="18"/>
  <c r="R36" i="18"/>
  <c r="BF76" i="18"/>
  <c r="AL56" i="18"/>
  <c r="AB76" i="18"/>
  <c r="AL96" i="18"/>
  <c r="AB56" i="18"/>
  <c r="AB36" i="18"/>
  <c r="AB16" i="18"/>
  <c r="BF16" i="18"/>
  <c r="AL76" i="18"/>
  <c r="R56" i="18"/>
  <c r="AV56" i="18"/>
  <c r="AZ38" i="18"/>
  <c r="AF78" i="18"/>
  <c r="AZ78" i="18"/>
  <c r="AP18" i="18"/>
  <c r="AZ18" i="18"/>
  <c r="AF58" i="18"/>
  <c r="AP38" i="18"/>
  <c r="V38" i="18"/>
  <c r="AP78" i="18"/>
  <c r="V18" i="18"/>
  <c r="AF98" i="18"/>
  <c r="AF18" i="18"/>
  <c r="V78" i="18"/>
  <c r="V58" i="18"/>
  <c r="AZ98" i="18"/>
  <c r="V98" i="18"/>
  <c r="L98" i="18"/>
  <c r="AZ58" i="18"/>
  <c r="L78" i="18"/>
  <c r="L58" i="18"/>
  <c r="AF38" i="18"/>
  <c r="AP98" i="18"/>
  <c r="AP58" i="18"/>
  <c r="L38" i="18"/>
  <c r="BD90" i="18"/>
  <c r="AT30" i="18"/>
  <c r="AT70" i="18"/>
  <c r="BD70" i="18"/>
  <c r="AT10" i="18"/>
  <c r="Z90" i="18"/>
  <c r="AT90" i="18"/>
  <c r="AJ30" i="18"/>
  <c r="AJ10" i="18"/>
  <c r="Z70" i="18"/>
  <c r="AJ90" i="18"/>
  <c r="AJ50" i="18"/>
  <c r="BD50" i="18"/>
  <c r="BD30" i="18"/>
  <c r="BD10" i="18"/>
  <c r="P70" i="18"/>
  <c r="AJ70" i="18"/>
  <c r="P50" i="18"/>
  <c r="AT50" i="18"/>
  <c r="Z50" i="18"/>
  <c r="Z30" i="18"/>
  <c r="Z10" i="18"/>
  <c r="P90" i="18"/>
  <c r="P30" i="18"/>
  <c r="AT52" i="18"/>
  <c r="AT92" i="18"/>
  <c r="BD92" i="18"/>
  <c r="AT32" i="18"/>
  <c r="BD32" i="18"/>
  <c r="AT12" i="18"/>
  <c r="BD72" i="18"/>
  <c r="BD12" i="18"/>
  <c r="AJ72" i="18"/>
  <c r="Z92" i="18"/>
  <c r="Z72" i="18"/>
  <c r="Z52" i="18"/>
  <c r="Z32" i="18"/>
  <c r="AT72" i="18"/>
  <c r="AJ32" i="18"/>
  <c r="Z12" i="18"/>
  <c r="P92" i="18"/>
  <c r="P32" i="18"/>
  <c r="AJ92" i="18"/>
  <c r="P72" i="18"/>
  <c r="AJ52" i="18"/>
  <c r="AJ12" i="18"/>
  <c r="BD52" i="18"/>
  <c r="P52" i="18"/>
  <c r="BB94" i="18"/>
  <c r="AR34" i="18"/>
  <c r="AR74" i="18"/>
  <c r="BB74" i="18"/>
  <c r="AR14" i="18"/>
  <c r="AR54" i="18"/>
  <c r="AH94" i="18"/>
  <c r="AH74" i="18"/>
  <c r="AH54" i="18"/>
  <c r="X74" i="18"/>
  <c r="AR94" i="18"/>
  <c r="AH34" i="18"/>
  <c r="N94" i="18"/>
  <c r="N74" i="18"/>
  <c r="AH14" i="18"/>
  <c r="N54" i="18"/>
  <c r="BB54" i="18"/>
  <c r="N34" i="18"/>
  <c r="BB34" i="18"/>
  <c r="X34" i="18"/>
  <c r="BB14" i="18"/>
  <c r="X94" i="18"/>
  <c r="X54" i="18"/>
  <c r="X14" i="18"/>
  <c r="BD68" i="18"/>
  <c r="AT8" i="18"/>
  <c r="AT48" i="18"/>
  <c r="BD48" i="18"/>
  <c r="AJ88" i="18"/>
  <c r="AT68" i="18"/>
  <c r="Z68" i="18"/>
  <c r="BD8" i="18"/>
  <c r="Z48" i="18"/>
  <c r="Z88" i="18"/>
  <c r="BD88" i="18"/>
  <c r="Z28" i="18"/>
  <c r="Z8" i="18"/>
  <c r="P88" i="18"/>
  <c r="P48" i="18"/>
  <c r="AJ48" i="18"/>
  <c r="BD28" i="18"/>
  <c r="AT88" i="18"/>
  <c r="AJ8" i="18"/>
  <c r="P28" i="18"/>
  <c r="AJ68" i="18"/>
  <c r="AJ28" i="18"/>
  <c r="P68" i="18"/>
  <c r="AT28" i="18"/>
  <c r="BF78" i="18"/>
  <c r="AV18" i="18"/>
  <c r="AV58" i="18"/>
  <c r="BF58" i="18"/>
  <c r="AL98" i="18"/>
  <c r="BF38" i="18"/>
  <c r="AB98" i="18"/>
  <c r="AB78" i="18"/>
  <c r="BF18" i="18"/>
  <c r="AL78" i="18"/>
  <c r="AL58" i="18"/>
  <c r="AL38" i="18"/>
  <c r="AB58" i="18"/>
  <c r="BF98" i="18"/>
  <c r="R78" i="18"/>
  <c r="R58" i="18"/>
  <c r="AV98" i="18"/>
  <c r="R38" i="18"/>
  <c r="AV78" i="18"/>
  <c r="AV38" i="18"/>
  <c r="AB38" i="18"/>
  <c r="R98" i="18"/>
  <c r="AL18" i="18"/>
  <c r="AB18" i="18"/>
  <c r="R18" i="18"/>
  <c r="AV62" i="18"/>
  <c r="AV102" i="18"/>
  <c r="BF102" i="18"/>
  <c r="AV42" i="18"/>
  <c r="AV82" i="18"/>
  <c r="AV22" i="18"/>
  <c r="AL82" i="18"/>
  <c r="AB22" i="18"/>
  <c r="R102" i="18"/>
  <c r="R82" i="18"/>
  <c r="AL62" i="18"/>
  <c r="AL22" i="18"/>
  <c r="AB102" i="18"/>
  <c r="R42" i="18"/>
  <c r="BF82" i="18"/>
  <c r="AL102" i="18"/>
  <c r="R22" i="18"/>
  <c r="BF62" i="18"/>
  <c r="BF42" i="18"/>
  <c r="AL42" i="18"/>
  <c r="AB82" i="18"/>
  <c r="AB42" i="18"/>
  <c r="R62" i="18"/>
  <c r="BF22" i="18"/>
  <c r="AB62" i="18"/>
  <c r="AR68" i="18"/>
  <c r="BB8" i="18"/>
  <c r="AR48" i="18"/>
  <c r="BB28" i="18"/>
  <c r="AH8" i="18"/>
  <c r="BB68" i="18"/>
  <c r="AR28" i="18"/>
  <c r="AR8" i="18"/>
  <c r="X88" i="18"/>
  <c r="X68" i="18"/>
  <c r="X48" i="18"/>
  <c r="BB88" i="18"/>
  <c r="BB48" i="18"/>
  <c r="AH88" i="18"/>
  <c r="X28" i="18"/>
  <c r="X8" i="18"/>
  <c r="N88" i="18"/>
  <c r="N48" i="18"/>
  <c r="AH48" i="18"/>
  <c r="AR88" i="18"/>
  <c r="N28" i="18"/>
  <c r="N68" i="18"/>
  <c r="AH28" i="18"/>
  <c r="AH68" i="18"/>
  <c r="AN50" i="18"/>
  <c r="AN90" i="18"/>
  <c r="AX90" i="18"/>
  <c r="AN30" i="18"/>
  <c r="AX70" i="18"/>
  <c r="AX50" i="18"/>
  <c r="AD90" i="18"/>
  <c r="AD70" i="18"/>
  <c r="T90" i="18"/>
  <c r="AN10" i="18"/>
  <c r="T10" i="18"/>
  <c r="J90" i="18"/>
  <c r="AD50" i="18"/>
  <c r="AX30" i="18"/>
  <c r="AD10" i="18"/>
  <c r="J30" i="18"/>
  <c r="AX10" i="18"/>
  <c r="J70" i="18"/>
  <c r="AN70" i="18"/>
  <c r="AD30" i="18"/>
  <c r="T50" i="18"/>
  <c r="T70" i="18"/>
  <c r="T30" i="18"/>
  <c r="J50" i="18"/>
  <c r="AX98" i="18"/>
  <c r="AN38" i="18"/>
  <c r="AN78" i="18"/>
  <c r="AX78" i="18"/>
  <c r="AN18" i="18"/>
  <c r="AN98" i="18"/>
  <c r="AX38" i="18"/>
  <c r="T78" i="18"/>
  <c r="AD58" i="18"/>
  <c r="AD98" i="18"/>
  <c r="AD18" i="18"/>
  <c r="T58" i="18"/>
  <c r="T38" i="18"/>
  <c r="T18" i="18"/>
  <c r="T98" i="18"/>
  <c r="J98" i="18"/>
  <c r="AX58" i="18"/>
  <c r="AX18" i="18"/>
  <c r="AD78" i="18"/>
  <c r="J78" i="18"/>
  <c r="J58" i="18"/>
  <c r="AD38" i="18"/>
  <c r="AN58" i="18"/>
  <c r="J38" i="18"/>
  <c r="AR56" i="18"/>
  <c r="AR96" i="18"/>
  <c r="BB96" i="18"/>
  <c r="AR36" i="18"/>
  <c r="AH96" i="18"/>
  <c r="AH56" i="18"/>
  <c r="AH36" i="18"/>
  <c r="AH16" i="18"/>
  <c r="BB36" i="18"/>
  <c r="AR16" i="18"/>
  <c r="N36" i="18"/>
  <c r="BB76" i="18"/>
  <c r="X76" i="18"/>
  <c r="X56" i="18"/>
  <c r="X36" i="18"/>
  <c r="BB56" i="18"/>
  <c r="X96" i="18"/>
  <c r="X16" i="18"/>
  <c r="N96" i="18"/>
  <c r="BB16" i="18"/>
  <c r="AR76" i="18"/>
  <c r="AH76" i="18"/>
  <c r="N76" i="18"/>
  <c r="N56" i="18"/>
  <c r="AR90" i="18"/>
  <c r="AH30" i="18"/>
  <c r="BB30" i="18"/>
  <c r="AR70" i="18"/>
  <c r="AH10" i="18"/>
  <c r="AR50" i="18"/>
  <c r="N90" i="18"/>
  <c r="BB50" i="18"/>
  <c r="AH90" i="18"/>
  <c r="AH70" i="18"/>
  <c r="AH50" i="18"/>
  <c r="AR30" i="18"/>
  <c r="N70" i="18"/>
  <c r="BB70" i="18"/>
  <c r="N30" i="18"/>
  <c r="BB10" i="18"/>
  <c r="X90" i="18"/>
  <c r="X70" i="18"/>
  <c r="N50" i="18"/>
  <c r="AR10" i="18"/>
  <c r="X50" i="18"/>
  <c r="X30" i="18"/>
  <c r="X10" i="18"/>
  <c r="BB90" i="18"/>
  <c r="AZ6" i="18"/>
  <c r="AF46" i="18"/>
  <c r="AZ46" i="18"/>
  <c r="AP86" i="18"/>
  <c r="AF26" i="18"/>
  <c r="V6" i="18"/>
  <c r="AZ86" i="18"/>
  <c r="AF86" i="18"/>
  <c r="AF66" i="18"/>
  <c r="AZ26" i="18"/>
  <c r="L86" i="18"/>
  <c r="AP66" i="18"/>
  <c r="AF6" i="18"/>
  <c r="L46" i="18"/>
  <c r="AP46" i="18"/>
  <c r="AP26" i="18"/>
  <c r="AP6" i="18"/>
  <c r="L26" i="18"/>
  <c r="AZ66" i="18"/>
  <c r="V86" i="18"/>
  <c r="L66" i="18"/>
  <c r="V66" i="18"/>
  <c r="V46" i="18"/>
  <c r="V26" i="18"/>
  <c r="AP82" i="18"/>
  <c r="AF22" i="18"/>
  <c r="AZ22" i="18"/>
  <c r="AP62" i="18"/>
  <c r="V102" i="18"/>
  <c r="AZ62" i="18"/>
  <c r="AP42" i="18"/>
  <c r="AZ102" i="18"/>
  <c r="AF82" i="18"/>
  <c r="AF42" i="18"/>
  <c r="L22" i="18"/>
  <c r="AP102" i="18"/>
  <c r="V82" i="18"/>
  <c r="V62" i="18"/>
  <c r="V42" i="18"/>
  <c r="V22" i="18"/>
  <c r="L102" i="18"/>
  <c r="L62" i="18"/>
  <c r="L82" i="18"/>
  <c r="AP22" i="18"/>
  <c r="AF62" i="18"/>
  <c r="AF102" i="18"/>
  <c r="L42" i="18"/>
  <c r="AZ82" i="18"/>
  <c r="AZ42" i="18"/>
  <c r="BB12" i="18"/>
  <c r="AH52" i="18"/>
  <c r="BB52" i="18"/>
  <c r="AR92" i="18"/>
  <c r="AH32" i="18"/>
  <c r="BB92" i="18"/>
  <c r="X12" i="18"/>
  <c r="AR72" i="18"/>
  <c r="AR12" i="18"/>
  <c r="N92" i="18"/>
  <c r="BB32" i="18"/>
  <c r="N52" i="18"/>
  <c r="AH72" i="18"/>
  <c r="X92" i="18"/>
  <c r="X72" i="18"/>
  <c r="X52" i="18"/>
  <c r="X32" i="18"/>
  <c r="AR52" i="18"/>
  <c r="N32" i="18"/>
  <c r="AR32" i="18"/>
  <c r="BB72" i="18"/>
  <c r="AH92" i="18"/>
  <c r="N72" i="18"/>
  <c r="AH12" i="18"/>
  <c r="AN72" i="18"/>
  <c r="AX12" i="18"/>
  <c r="AN52" i="18"/>
  <c r="T92" i="18"/>
  <c r="AN92" i="18"/>
  <c r="AD72" i="18"/>
  <c r="AD52" i="18"/>
  <c r="AD32" i="18"/>
  <c r="AX92" i="18"/>
  <c r="AX32" i="18"/>
  <c r="AX52" i="18"/>
  <c r="AD12" i="18"/>
  <c r="J72" i="18"/>
  <c r="J52" i="18"/>
  <c r="T72" i="18"/>
  <c r="T52" i="18"/>
  <c r="T32" i="18"/>
  <c r="T12" i="18"/>
  <c r="J92" i="18"/>
  <c r="AN32" i="18"/>
  <c r="AN12" i="18"/>
  <c r="J32" i="18"/>
  <c r="AD92" i="18"/>
  <c r="AX72" i="18"/>
  <c r="AX88" i="18"/>
  <c r="AN28" i="18"/>
  <c r="AN68" i="18"/>
  <c r="AX68" i="18"/>
  <c r="AN8" i="18"/>
  <c r="AD28" i="18"/>
  <c r="T88" i="18"/>
  <c r="AX8" i="18"/>
  <c r="T68" i="18"/>
  <c r="AD68" i="18"/>
  <c r="J68" i="18"/>
  <c r="T48" i="18"/>
  <c r="T28" i="18"/>
  <c r="T8" i="18"/>
  <c r="AX48" i="18"/>
  <c r="AD88" i="18"/>
  <c r="AD48" i="18"/>
  <c r="J88" i="18"/>
  <c r="J48" i="18"/>
  <c r="AX28" i="18"/>
  <c r="AD8" i="18"/>
  <c r="AN88" i="18"/>
  <c r="AN48" i="18"/>
  <c r="J28" i="18"/>
  <c r="BB82" i="18"/>
  <c r="AR22" i="18"/>
  <c r="AR62" i="18"/>
  <c r="BB62" i="18"/>
  <c r="AH102" i="18"/>
  <c r="AR102" i="18"/>
  <c r="X82" i="18"/>
  <c r="BB102" i="18"/>
  <c r="BB42" i="18"/>
  <c r="X62" i="18"/>
  <c r="BB22" i="18"/>
  <c r="AR82" i="18"/>
  <c r="X42" i="18"/>
  <c r="X22" i="18"/>
  <c r="N102" i="18"/>
  <c r="N62" i="18"/>
  <c r="N82" i="18"/>
  <c r="AR42" i="18"/>
  <c r="AH62" i="18"/>
  <c r="X102" i="18"/>
  <c r="AH22" i="18"/>
  <c r="N42" i="18"/>
  <c r="AH42" i="18"/>
  <c r="AH82" i="18"/>
  <c r="N22" i="18"/>
  <c r="AZ16" i="18"/>
  <c r="AF56" i="18"/>
  <c r="AZ56" i="18"/>
  <c r="AF96" i="18"/>
  <c r="AP96" i="18"/>
  <c r="AF36" i="18"/>
  <c r="AP56" i="18"/>
  <c r="AF76" i="18"/>
  <c r="V16" i="18"/>
  <c r="AP36" i="18"/>
  <c r="AZ96" i="18"/>
  <c r="L96" i="18"/>
  <c r="L56" i="18"/>
  <c r="AP16" i="18"/>
  <c r="AF16" i="18"/>
  <c r="L36" i="18"/>
  <c r="AZ76" i="18"/>
  <c r="AZ36" i="18"/>
  <c r="V76" i="18"/>
  <c r="V56" i="18"/>
  <c r="V36" i="18"/>
  <c r="V96" i="18"/>
  <c r="AP76" i="18"/>
  <c r="L76" i="18"/>
  <c r="AX20" i="18"/>
  <c r="AD60" i="18"/>
  <c r="AX60" i="18"/>
  <c r="AD100" i="18"/>
  <c r="AN100" i="18"/>
  <c r="AD40" i="18"/>
  <c r="AN80" i="18"/>
  <c r="T20" i="18"/>
  <c r="AX80" i="18"/>
  <c r="AD80" i="18"/>
  <c r="AN60" i="18"/>
  <c r="AD20" i="18"/>
  <c r="J100" i="18"/>
  <c r="T100" i="18"/>
  <c r="J80" i="18"/>
  <c r="J60" i="18"/>
  <c r="AX40" i="18"/>
  <c r="J40" i="18"/>
  <c r="AN40" i="18"/>
  <c r="T80" i="18"/>
  <c r="T60" i="18"/>
  <c r="T40" i="18"/>
  <c r="J20" i="18"/>
  <c r="AX100" i="18"/>
  <c r="AN20" i="18"/>
  <c r="BF52" i="18"/>
  <c r="AL92" i="18"/>
  <c r="BF92" i="18"/>
  <c r="AV32" i="18"/>
  <c r="BF32" i="18"/>
  <c r="AL72" i="18"/>
  <c r="AV72" i="18"/>
  <c r="AB52" i="18"/>
  <c r="BF72" i="18"/>
  <c r="BF12" i="18"/>
  <c r="AB92" i="18"/>
  <c r="AB32" i="18"/>
  <c r="AB72" i="18"/>
  <c r="AV92" i="18"/>
  <c r="AL32" i="18"/>
  <c r="AB12" i="18"/>
  <c r="R92" i="18"/>
  <c r="R32" i="18"/>
  <c r="AV52" i="18"/>
  <c r="AV12" i="18"/>
  <c r="R72" i="18"/>
  <c r="AL52" i="18"/>
  <c r="AL12" i="18"/>
  <c r="R52" i="18"/>
  <c r="BF8" i="18"/>
  <c r="AL48" i="18"/>
  <c r="BF48" i="18"/>
  <c r="AV88" i="18"/>
  <c r="AL28" i="18"/>
  <c r="AV8" i="18"/>
  <c r="AB8" i="18"/>
  <c r="AV48" i="18"/>
  <c r="R88" i="18"/>
  <c r="BF88" i="18"/>
  <c r="AB68" i="18"/>
  <c r="AB48" i="18"/>
  <c r="AB28" i="18"/>
  <c r="R48" i="18"/>
  <c r="AL88" i="18"/>
  <c r="BF68" i="18"/>
  <c r="BF28" i="18"/>
  <c r="AL8" i="18"/>
  <c r="R28" i="18"/>
  <c r="AL68" i="18"/>
  <c r="R68" i="18"/>
  <c r="AV68" i="18"/>
  <c r="AV28" i="18"/>
  <c r="AB88" i="18"/>
  <c r="BD22" i="18"/>
  <c r="AJ62" i="18"/>
  <c r="BD62" i="18"/>
  <c r="AJ102" i="18"/>
  <c r="AT102" i="18"/>
  <c r="AJ42" i="18"/>
  <c r="AT42" i="18"/>
  <c r="Z102" i="18"/>
  <c r="Z22" i="18"/>
  <c r="BD42" i="18"/>
  <c r="AT82" i="18"/>
  <c r="P102" i="18"/>
  <c r="Z82" i="18"/>
  <c r="Z62" i="18"/>
  <c r="Z42" i="18"/>
  <c r="P62" i="18"/>
  <c r="P82" i="18"/>
  <c r="AT62" i="18"/>
  <c r="AT22" i="18"/>
  <c r="AJ22" i="18"/>
  <c r="P42" i="18"/>
  <c r="BD102" i="18"/>
  <c r="BD82" i="18"/>
  <c r="AJ82" i="18"/>
  <c r="P22" i="18"/>
  <c r="AP60" i="18"/>
  <c r="AP100" i="18"/>
  <c r="AZ100" i="18"/>
  <c r="AP40" i="18"/>
  <c r="AP20" i="18"/>
  <c r="AZ20" i="18"/>
  <c r="AF60" i="18"/>
  <c r="AF40" i="18"/>
  <c r="AF20" i="18"/>
  <c r="AF100" i="18"/>
  <c r="AZ80" i="18"/>
  <c r="AZ60" i="18"/>
  <c r="AZ40" i="18"/>
  <c r="AF80" i="18"/>
  <c r="L40" i="18"/>
  <c r="AP80" i="18"/>
  <c r="V80" i="18"/>
  <c r="V60" i="18"/>
  <c r="V40" i="18"/>
  <c r="L20" i="18"/>
  <c r="V20" i="18"/>
  <c r="L100" i="18"/>
  <c r="L60" i="18"/>
  <c r="V100" i="18"/>
  <c r="L80" i="18"/>
  <c r="BD34" i="18"/>
  <c r="AJ74" i="18"/>
  <c r="BD74" i="18"/>
  <c r="AT14" i="18"/>
  <c r="BD14" i="18"/>
  <c r="AJ54" i="18"/>
  <c r="Z94" i="18"/>
  <c r="Z34" i="18"/>
  <c r="AJ94" i="18"/>
  <c r="BD54" i="18"/>
  <c r="AJ34" i="18"/>
  <c r="AJ14" i="18"/>
  <c r="Z14" i="18"/>
  <c r="AT74" i="18"/>
  <c r="AT54" i="18"/>
  <c r="AT34" i="18"/>
  <c r="P74" i="18"/>
  <c r="P54" i="18"/>
  <c r="BD94" i="18"/>
  <c r="Z74" i="18"/>
  <c r="Z54" i="18"/>
  <c r="P34" i="18"/>
  <c r="P94" i="18"/>
  <c r="AT94" i="18"/>
  <c r="AZ72" i="18"/>
  <c r="AP12" i="18"/>
  <c r="AP52" i="18"/>
  <c r="AZ52" i="18"/>
  <c r="AF92" i="18"/>
  <c r="AP32" i="18"/>
  <c r="AF12" i="18"/>
  <c r="V72" i="18"/>
  <c r="AZ32" i="18"/>
  <c r="AP72" i="18"/>
  <c r="V52" i="18"/>
  <c r="AZ12" i="18"/>
  <c r="L52" i="18"/>
  <c r="AP92" i="18"/>
  <c r="AF72" i="18"/>
  <c r="AF32" i="18"/>
  <c r="V92" i="18"/>
  <c r="V32" i="18"/>
  <c r="V12" i="18"/>
  <c r="L92" i="18"/>
  <c r="L32" i="18"/>
  <c r="AZ92" i="18"/>
  <c r="L72" i="18"/>
  <c r="AF52" i="18"/>
  <c r="BB60" i="18"/>
  <c r="AH100" i="18"/>
  <c r="BB100" i="18"/>
  <c r="AR40" i="18"/>
  <c r="BB40" i="18"/>
  <c r="AH80" i="18"/>
  <c r="BB80" i="18"/>
  <c r="X60" i="18"/>
  <c r="AR60" i="18"/>
  <c r="X40" i="18"/>
  <c r="N40" i="18"/>
  <c r="BB20" i="18"/>
  <c r="AR100" i="18"/>
  <c r="AH40" i="18"/>
  <c r="AR80" i="18"/>
  <c r="X80" i="18"/>
  <c r="N20" i="18"/>
  <c r="X20" i="18"/>
  <c r="N100" i="18"/>
  <c r="AR20" i="18"/>
  <c r="AH60" i="18"/>
  <c r="AH20" i="18"/>
  <c r="X100" i="18"/>
  <c r="N80" i="18"/>
  <c r="N60" i="18"/>
  <c r="BD56" i="18"/>
  <c r="AJ96" i="18"/>
  <c r="BD96" i="18"/>
  <c r="AT36" i="18"/>
  <c r="BD36" i="18"/>
  <c r="AJ76" i="18"/>
  <c r="Z56" i="18"/>
  <c r="AT76" i="18"/>
  <c r="Z36" i="18"/>
  <c r="AT56" i="18"/>
  <c r="AT16" i="18"/>
  <c r="P36" i="18"/>
  <c r="BD76" i="18"/>
  <c r="AJ56" i="18"/>
  <c r="AJ16" i="18"/>
  <c r="Z76" i="18"/>
  <c r="Z96" i="18"/>
  <c r="Z16" i="18"/>
  <c r="P96" i="18"/>
  <c r="BD16" i="18"/>
  <c r="P76" i="18"/>
  <c r="AT96" i="18"/>
  <c r="AJ36" i="18"/>
  <c r="P56" i="18"/>
  <c r="AN94" i="18"/>
  <c r="T14" i="18"/>
  <c r="T74" i="18"/>
  <c r="AD54" i="18"/>
  <c r="AD74" i="18"/>
  <c r="AX74" i="18"/>
  <c r="T34" i="18"/>
  <c r="AD94" i="18"/>
  <c r="AN74" i="18"/>
  <c r="AD34" i="18"/>
  <c r="AN54" i="18"/>
  <c r="AX14" i="18"/>
  <c r="J94" i="18"/>
  <c r="AD14" i="18"/>
  <c r="J74" i="18"/>
  <c r="AN14" i="18"/>
  <c r="AX94" i="18"/>
  <c r="J54" i="18"/>
  <c r="J34" i="18"/>
  <c r="AN34" i="18"/>
  <c r="AX54" i="18"/>
  <c r="T54" i="18"/>
  <c r="AX34" i="18"/>
  <c r="T94" i="18"/>
  <c r="AX76" i="18"/>
  <c r="AN16" i="18"/>
  <c r="AN56" i="18"/>
  <c r="AX56" i="18"/>
  <c r="AD96" i="18"/>
  <c r="AX16" i="18"/>
  <c r="T76" i="18"/>
  <c r="AN96" i="18"/>
  <c r="AD16" i="18"/>
  <c r="AN36" i="18"/>
  <c r="T56" i="18"/>
  <c r="AN76" i="18"/>
  <c r="J76" i="18"/>
  <c r="J56" i="18"/>
  <c r="AX96" i="18"/>
  <c r="AD56" i="18"/>
  <c r="J36" i="18"/>
  <c r="AX36" i="18"/>
  <c r="T36" i="18"/>
  <c r="T16" i="18"/>
  <c r="J96" i="18"/>
  <c r="T96" i="18"/>
  <c r="AD36" i="18"/>
  <c r="AD76" i="18"/>
  <c r="AR46" i="18"/>
  <c r="AR86" i="18"/>
  <c r="BB86" i="18"/>
  <c r="AR26" i="18"/>
  <c r="BB46" i="18"/>
  <c r="BB26" i="18"/>
  <c r="AH46" i="18"/>
  <c r="AH26" i="18"/>
  <c r="AR66" i="18"/>
  <c r="X86" i="18"/>
  <c r="AH66" i="18"/>
  <c r="AR6" i="18"/>
  <c r="N26" i="18"/>
  <c r="BB66" i="18"/>
  <c r="N66" i="18"/>
  <c r="AH86" i="18"/>
  <c r="X66" i="18"/>
  <c r="X46" i="18"/>
  <c r="X26" i="18"/>
  <c r="X6" i="18"/>
  <c r="N86" i="18"/>
  <c r="AH6" i="18"/>
  <c r="BB6" i="18"/>
  <c r="N46" i="18"/>
  <c r="AZ50" i="18"/>
  <c r="AF90" i="18"/>
  <c r="AZ90" i="18"/>
  <c r="AP30" i="18"/>
  <c r="AZ30" i="18"/>
  <c r="AF70" i="18"/>
  <c r="AZ10" i="18"/>
  <c r="V50" i="18"/>
  <c r="AP90" i="18"/>
  <c r="AF50" i="18"/>
  <c r="AF30" i="18"/>
  <c r="V30" i="18"/>
  <c r="AZ70" i="18"/>
  <c r="AF10" i="18"/>
  <c r="L30" i="18"/>
  <c r="L70" i="18"/>
  <c r="AP70" i="18"/>
  <c r="AP50" i="18"/>
  <c r="V90" i="18"/>
  <c r="V70" i="18"/>
  <c r="L50" i="18"/>
  <c r="AP10" i="18"/>
  <c r="V10" i="18"/>
  <c r="L90" i="18"/>
  <c r="AX42" i="18"/>
  <c r="AD82" i="18"/>
  <c r="AX82" i="18"/>
  <c r="AN22" i="18"/>
  <c r="AX22" i="18"/>
  <c r="AD62" i="18"/>
  <c r="AD102" i="18"/>
  <c r="T42" i="18"/>
  <c r="AN102" i="18"/>
  <c r="AN42" i="18"/>
  <c r="T22" i="18"/>
  <c r="AD42" i="18"/>
  <c r="J22" i="18"/>
  <c r="AN82" i="18"/>
  <c r="T82" i="18"/>
  <c r="T62" i="18"/>
  <c r="AN62" i="18"/>
  <c r="J102" i="18"/>
  <c r="J62" i="18"/>
  <c r="T102" i="18"/>
  <c r="J82" i="18"/>
  <c r="AX102" i="18"/>
  <c r="AD22" i="18"/>
  <c r="J42" i="18"/>
  <c r="AX62" i="18"/>
  <c r="BF30" i="18"/>
  <c r="AL70" i="18"/>
  <c r="BF70" i="18"/>
  <c r="AV10" i="18"/>
  <c r="BF10" i="18"/>
  <c r="AL50" i="18"/>
  <c r="BF50" i="18"/>
  <c r="AL90" i="18"/>
  <c r="AB30" i="18"/>
  <c r="AV30" i="18"/>
  <c r="AL10" i="18"/>
  <c r="BF90" i="18"/>
  <c r="AB10" i="18"/>
  <c r="R70" i="18"/>
  <c r="AV90" i="18"/>
  <c r="AV70" i="18"/>
  <c r="R50" i="18"/>
  <c r="AV50" i="18"/>
  <c r="AL30" i="18"/>
  <c r="AB90" i="18"/>
  <c r="AB70" i="18"/>
  <c r="AB50" i="18"/>
  <c r="R90" i="18"/>
  <c r="R30" i="18"/>
  <c r="AT100" i="18"/>
  <c r="AJ40" i="18"/>
  <c r="BD40" i="18"/>
  <c r="AT80" i="18"/>
  <c r="AJ20" i="18"/>
  <c r="BD20" i="18"/>
  <c r="AJ80" i="18"/>
  <c r="AJ60" i="18"/>
  <c r="P100" i="18"/>
  <c r="AJ100" i="18"/>
  <c r="BD60" i="18"/>
  <c r="P80" i="18"/>
  <c r="P40" i="18"/>
  <c r="Z80" i="18"/>
  <c r="P20" i="18"/>
  <c r="AT60" i="18"/>
  <c r="AT40" i="18"/>
  <c r="Z60" i="18"/>
  <c r="Z40" i="18"/>
  <c r="Z20" i="18"/>
  <c r="AT20" i="18"/>
  <c r="Z100" i="18"/>
  <c r="P60" i="18"/>
  <c r="BD100" i="18"/>
  <c r="BD80" i="18"/>
  <c r="AT78" i="18"/>
  <c r="AJ18" i="18"/>
  <c r="BD18" i="18"/>
  <c r="AT58" i="18"/>
  <c r="Z98" i="18"/>
  <c r="BD98" i="18"/>
  <c r="AT18" i="18"/>
  <c r="BD78" i="18"/>
  <c r="Z38" i="18"/>
  <c r="Z18" i="18"/>
  <c r="P98" i="18"/>
  <c r="P18" i="18"/>
  <c r="BD58" i="18"/>
  <c r="P78" i="18"/>
  <c r="P58" i="18"/>
  <c r="BD38" i="18"/>
  <c r="AJ78" i="18"/>
  <c r="AJ38" i="18"/>
  <c r="AT98" i="18"/>
  <c r="P38" i="18"/>
  <c r="AJ98" i="18"/>
  <c r="Z78" i="18"/>
  <c r="AT38" i="18"/>
  <c r="AJ58" i="18"/>
  <c r="Z58" i="18"/>
  <c r="AV74" i="18"/>
  <c r="AL14" i="18"/>
  <c r="BF14" i="18"/>
  <c r="AV54" i="18"/>
  <c r="AB94" i="18"/>
  <c r="BF74" i="18"/>
  <c r="BF54" i="18"/>
  <c r="AL74" i="18"/>
  <c r="AL54" i="18"/>
  <c r="AL34" i="18"/>
  <c r="AV94" i="18"/>
  <c r="AV34" i="18"/>
  <c r="R74" i="18"/>
  <c r="R54" i="18"/>
  <c r="BF94" i="18"/>
  <c r="AV14" i="18"/>
  <c r="AL94" i="18"/>
  <c r="AB74" i="18"/>
  <c r="AB54" i="18"/>
  <c r="R34" i="18"/>
  <c r="BF34" i="18"/>
  <c r="AB34" i="18"/>
  <c r="AB14" i="18"/>
  <c r="R94" i="18"/>
  <c r="L12" i="19"/>
  <c r="L18" i="18"/>
  <c r="R16" i="18"/>
  <c r="J18" i="18"/>
  <c r="N16" i="18"/>
  <c r="P16" i="18"/>
  <c r="L16" i="18"/>
  <c r="P82" i="1"/>
  <c r="AE82" i="1" s="1"/>
  <c r="AD82" i="1" s="1"/>
  <c r="Q82" i="1"/>
  <c r="R10" i="18"/>
  <c r="R14" i="18"/>
  <c r="L14" i="18"/>
  <c r="P12" i="18"/>
  <c r="N14" i="18"/>
  <c r="J16" i="18"/>
  <c r="R12" i="18"/>
  <c r="N12" i="18"/>
  <c r="J12" i="18"/>
  <c r="P10" i="18"/>
  <c r="P14" i="18"/>
  <c r="L12" i="18"/>
  <c r="J14" i="18"/>
  <c r="AF21" i="1"/>
  <c r="P124" i="1"/>
  <c r="AE124" i="1" s="1"/>
  <c r="AD124" i="1" s="1"/>
  <c r="Q124" i="1"/>
  <c r="P127" i="1"/>
  <c r="AE127" i="1" s="1"/>
  <c r="AD127" i="1" s="1"/>
  <c r="Q127" i="1"/>
  <c r="P133" i="1"/>
  <c r="AE133" i="1" s="1"/>
  <c r="AD133" i="1" s="1"/>
  <c r="Q133" i="1"/>
  <c r="P130" i="1"/>
  <c r="AE130" i="1" s="1"/>
  <c r="AD130" i="1" s="1"/>
  <c r="Q130" i="1"/>
  <c r="N6" i="18"/>
  <c r="L10" i="18"/>
  <c r="N10" i="18"/>
  <c r="L6" i="18"/>
  <c r="J8" i="18"/>
  <c r="R8" i="18"/>
  <c r="N8" i="18"/>
  <c r="J10" i="18"/>
  <c r="P8" i="18"/>
  <c r="L8" i="18"/>
  <c r="R6" i="18"/>
  <c r="P6" i="18"/>
  <c r="P19" i="1"/>
  <c r="Q19" i="1"/>
  <c r="P52" i="1"/>
  <c r="Q52" i="1"/>
  <c r="P46" i="1"/>
  <c r="AE46" i="1" s="1"/>
  <c r="AD46" i="1" s="1"/>
  <c r="Q46" i="1"/>
  <c r="P16" i="1"/>
  <c r="AE16" i="1" s="1"/>
  <c r="AD16" i="1" s="1"/>
  <c r="Q16" i="1"/>
  <c r="P79" i="1"/>
  <c r="Q79" i="1"/>
  <c r="P106" i="1"/>
  <c r="AE106" i="1" s="1"/>
  <c r="AD106" i="1" s="1"/>
  <c r="Q106" i="1"/>
  <c r="P58" i="1"/>
  <c r="AE58" i="1" s="1"/>
  <c r="AD58" i="1" s="1"/>
  <c r="Q58" i="1"/>
  <c r="P28" i="1"/>
  <c r="AE28" i="1" s="1"/>
  <c r="AD28" i="1" s="1"/>
  <c r="Q28" i="1"/>
  <c r="P40" i="1"/>
  <c r="AE40" i="1" s="1"/>
  <c r="AD40" i="1" s="1"/>
  <c r="Q40" i="1"/>
  <c r="P22" i="1"/>
  <c r="AE22" i="1" s="1"/>
  <c r="AD22" i="1" s="1"/>
  <c r="Q22" i="1"/>
  <c r="P109" i="1"/>
  <c r="AE109" i="1" s="1"/>
  <c r="AD109" i="1" s="1"/>
  <c r="Q109" i="1"/>
  <c r="P73" i="1"/>
  <c r="AE73" i="1" s="1"/>
  <c r="AD73" i="1" s="1"/>
  <c r="Q73" i="1"/>
  <c r="P34" i="1"/>
  <c r="AE34" i="1" s="1"/>
  <c r="AD34" i="1" s="1"/>
  <c r="Q34" i="1"/>
  <c r="P112" i="1"/>
  <c r="AE112" i="1" s="1"/>
  <c r="AD112" i="1" s="1"/>
  <c r="Q112" i="1"/>
  <c r="P88" i="1"/>
  <c r="AE88" i="1" s="1"/>
  <c r="AD88" i="1" s="1"/>
  <c r="Q88" i="1"/>
  <c r="P49" i="1"/>
  <c r="AE49" i="1" s="1"/>
  <c r="AD49" i="1" s="1"/>
  <c r="Q49" i="1"/>
  <c r="P13" i="1"/>
  <c r="Q13" i="1"/>
  <c r="P121" i="1"/>
  <c r="AE121" i="1" s="1"/>
  <c r="AD121" i="1" s="1"/>
  <c r="Q121" i="1"/>
  <c r="P43" i="1"/>
  <c r="AE43" i="1" s="1"/>
  <c r="AD43" i="1" s="1"/>
  <c r="Q43" i="1"/>
  <c r="P115" i="1"/>
  <c r="AE115" i="1" s="1"/>
  <c r="AD115" i="1" s="1"/>
  <c r="Q115" i="1"/>
  <c r="P100" i="1"/>
  <c r="AE100" i="1" s="1"/>
  <c r="AD100" i="1" s="1"/>
  <c r="Q100" i="1"/>
  <c r="P61" i="1"/>
  <c r="AE61" i="1" s="1"/>
  <c r="AD61" i="1" s="1"/>
  <c r="Q61" i="1"/>
  <c r="P64" i="1"/>
  <c r="AE64" i="1" s="1"/>
  <c r="AD64" i="1" s="1"/>
  <c r="Q64" i="1"/>
  <c r="P55" i="1"/>
  <c r="AE55" i="1" s="1"/>
  <c r="AD55" i="1" s="1"/>
  <c r="Q55" i="1"/>
  <c r="P118" i="1"/>
  <c r="AE118" i="1" s="1"/>
  <c r="AD118" i="1" s="1"/>
  <c r="Q118" i="1"/>
  <c r="P76" i="1"/>
  <c r="AE76" i="1" s="1"/>
  <c r="AD76" i="1" s="1"/>
  <c r="Q76" i="1"/>
  <c r="P70" i="1"/>
  <c r="AE70" i="1" s="1"/>
  <c r="AD70" i="1" s="1"/>
  <c r="Q70" i="1"/>
  <c r="P25" i="1"/>
  <c r="AE25" i="1" s="1"/>
  <c r="AD25" i="1" s="1"/>
  <c r="Q25" i="1"/>
  <c r="P103" i="1"/>
  <c r="AE103" i="1" s="1"/>
  <c r="AD103" i="1" s="1"/>
  <c r="Q103" i="1"/>
  <c r="P91" i="1"/>
  <c r="AE91" i="1" s="1"/>
  <c r="AD91" i="1" s="1"/>
  <c r="Q91" i="1"/>
  <c r="P31" i="1"/>
  <c r="AE31" i="1" s="1"/>
  <c r="AD31" i="1" s="1"/>
  <c r="Q31" i="1"/>
  <c r="P94" i="1"/>
  <c r="Q94" i="1"/>
  <c r="P85" i="1"/>
  <c r="AE85" i="1" s="1"/>
  <c r="AD85" i="1" s="1"/>
  <c r="Q85" i="1"/>
  <c r="P37" i="1"/>
  <c r="AE37" i="1" s="1"/>
  <c r="AD37" i="1" s="1"/>
  <c r="Q37" i="1"/>
  <c r="P10" i="1"/>
  <c r="Q10" i="1"/>
  <c r="J101" i="19" l="1"/>
  <c r="S251" i="19"/>
  <c r="S101" i="19"/>
  <c r="V151" i="19"/>
  <c r="V101" i="19"/>
  <c r="AF136" i="1"/>
  <c r="M251" i="19"/>
  <c r="M151" i="19"/>
  <c r="P251" i="19"/>
  <c r="M101" i="19"/>
  <c r="S201" i="19"/>
  <c r="S151" i="19"/>
  <c r="M51" i="19"/>
  <c r="J51" i="19"/>
  <c r="S51" i="19"/>
  <c r="V251" i="19"/>
  <c r="P151" i="19"/>
  <c r="M201" i="19"/>
  <c r="P201" i="19"/>
  <c r="J251" i="19"/>
  <c r="P101" i="19"/>
  <c r="V51" i="19"/>
  <c r="J151" i="19"/>
  <c r="V201" i="19"/>
  <c r="P51" i="19"/>
  <c r="J201" i="19"/>
  <c r="S152" i="19"/>
  <c r="P202" i="19"/>
  <c r="M252" i="19"/>
  <c r="V102" i="19"/>
  <c r="M152" i="19"/>
  <c r="S252" i="19"/>
  <c r="S102" i="19"/>
  <c r="P252" i="19"/>
  <c r="J52" i="19"/>
  <c r="M202" i="19"/>
  <c r="J102" i="19"/>
  <c r="AF139" i="1"/>
  <c r="P152" i="19"/>
  <c r="P102" i="19"/>
  <c r="J252" i="19"/>
  <c r="M52" i="19"/>
  <c r="S52" i="19"/>
  <c r="V152" i="19"/>
  <c r="M102" i="19"/>
  <c r="S202" i="19"/>
  <c r="V202" i="19"/>
  <c r="J152" i="19"/>
  <c r="V252" i="19"/>
  <c r="J202" i="19"/>
  <c r="V52" i="19"/>
  <c r="P52" i="19"/>
  <c r="V185" i="19"/>
  <c r="V135" i="19"/>
  <c r="S135" i="19"/>
  <c r="V35" i="19"/>
  <c r="S35" i="19"/>
  <c r="S185" i="19"/>
  <c r="V85" i="19"/>
  <c r="P185" i="19"/>
  <c r="S85" i="19"/>
  <c r="P135" i="19"/>
  <c r="J85" i="19"/>
  <c r="P235" i="19"/>
  <c r="M135" i="19"/>
  <c r="S235" i="19"/>
  <c r="P35" i="19"/>
  <c r="J185" i="19"/>
  <c r="V235" i="19"/>
  <c r="P85" i="19"/>
  <c r="M35" i="19"/>
  <c r="M185" i="19"/>
  <c r="J135" i="19"/>
  <c r="J235" i="19"/>
  <c r="M85" i="19"/>
  <c r="M235" i="19"/>
  <c r="V211" i="19"/>
  <c r="V11" i="19"/>
  <c r="V161" i="19"/>
  <c r="S11" i="19"/>
  <c r="S161" i="19"/>
  <c r="V61" i="19"/>
  <c r="P161" i="19"/>
  <c r="S61" i="19"/>
  <c r="S211" i="19"/>
  <c r="V111" i="19"/>
  <c r="P211" i="19"/>
  <c r="P11" i="19"/>
  <c r="J161" i="19"/>
  <c r="M11" i="19"/>
  <c r="M161" i="19"/>
  <c r="S111" i="19"/>
  <c r="P61" i="19"/>
  <c r="J111" i="19"/>
  <c r="M61" i="19"/>
  <c r="P111" i="19"/>
  <c r="M211" i="19"/>
  <c r="J211" i="19"/>
  <c r="J61" i="19"/>
  <c r="M111" i="19"/>
  <c r="S192" i="19"/>
  <c r="V92" i="19"/>
  <c r="P192" i="19"/>
  <c r="S92" i="19"/>
  <c r="S242" i="19"/>
  <c r="P92" i="19"/>
  <c r="V192" i="19"/>
  <c r="V142" i="19"/>
  <c r="P242" i="19"/>
  <c r="S142" i="19"/>
  <c r="V42" i="19"/>
  <c r="P142" i="19"/>
  <c r="M192" i="19"/>
  <c r="J142" i="19"/>
  <c r="M92" i="19"/>
  <c r="J242" i="19"/>
  <c r="M242" i="19"/>
  <c r="V242" i="19"/>
  <c r="J92" i="19"/>
  <c r="S42" i="19"/>
  <c r="M142" i="19"/>
  <c r="P42" i="19"/>
  <c r="J192" i="19"/>
  <c r="J42" i="19"/>
  <c r="M42" i="19"/>
  <c r="V177" i="19"/>
  <c r="V227" i="19"/>
  <c r="V127" i="19"/>
  <c r="S127" i="19"/>
  <c r="V27" i="19"/>
  <c r="S27" i="19"/>
  <c r="S177" i="19"/>
  <c r="V77" i="19"/>
  <c r="P177" i="19"/>
  <c r="S77" i="19"/>
  <c r="P77" i="19"/>
  <c r="J77" i="19"/>
  <c r="S227" i="19"/>
  <c r="P227" i="19"/>
  <c r="M127" i="19"/>
  <c r="P27" i="19"/>
  <c r="J177" i="19"/>
  <c r="M27" i="19"/>
  <c r="P127" i="19"/>
  <c r="M177" i="19"/>
  <c r="J127" i="19"/>
  <c r="M77" i="19"/>
  <c r="M227" i="19"/>
  <c r="J227" i="19"/>
  <c r="V183" i="19"/>
  <c r="V233" i="19"/>
  <c r="V33" i="19"/>
  <c r="S33" i="19"/>
  <c r="S183" i="19"/>
  <c r="V83" i="19"/>
  <c r="P183" i="19"/>
  <c r="S83" i="19"/>
  <c r="S233" i="19"/>
  <c r="V133" i="19"/>
  <c r="P233" i="19"/>
  <c r="S133" i="19"/>
  <c r="P33" i="19"/>
  <c r="J183" i="19"/>
  <c r="M33" i="19"/>
  <c r="P83" i="19"/>
  <c r="M183" i="19"/>
  <c r="P133" i="19"/>
  <c r="J133" i="19"/>
  <c r="M83" i="19"/>
  <c r="M233" i="19"/>
  <c r="J233" i="19"/>
  <c r="J83" i="19"/>
  <c r="M133" i="19"/>
  <c r="V240" i="19"/>
  <c r="S90" i="19"/>
  <c r="S240" i="19"/>
  <c r="P90" i="19"/>
  <c r="V190" i="19"/>
  <c r="V140" i="19"/>
  <c r="P240" i="19"/>
  <c r="S140" i="19"/>
  <c r="V40" i="19"/>
  <c r="P140" i="19"/>
  <c r="S40" i="19"/>
  <c r="S190" i="19"/>
  <c r="M90" i="19"/>
  <c r="J40" i="19"/>
  <c r="P190" i="19"/>
  <c r="M240" i="19"/>
  <c r="J90" i="19"/>
  <c r="M140" i="19"/>
  <c r="V90" i="19"/>
  <c r="P40" i="19"/>
  <c r="J190" i="19"/>
  <c r="M40" i="19"/>
  <c r="M190" i="19"/>
  <c r="J140" i="19"/>
  <c r="J240" i="19"/>
  <c r="S210" i="19"/>
  <c r="V110" i="19"/>
  <c r="P210" i="19"/>
  <c r="V210" i="19"/>
  <c r="S110" i="19"/>
  <c r="V10" i="19"/>
  <c r="P110" i="19"/>
  <c r="V160" i="19"/>
  <c r="S10" i="19"/>
  <c r="S160" i="19"/>
  <c r="V60" i="19"/>
  <c r="P160" i="19"/>
  <c r="M210" i="19"/>
  <c r="J210" i="19"/>
  <c r="J60" i="19"/>
  <c r="S60" i="19"/>
  <c r="M110" i="19"/>
  <c r="P10" i="19"/>
  <c r="J160" i="19"/>
  <c r="M10" i="19"/>
  <c r="M160" i="19"/>
  <c r="M60" i="19"/>
  <c r="J110" i="19"/>
  <c r="P60" i="19"/>
  <c r="S176" i="19"/>
  <c r="S26" i="19"/>
  <c r="J226" i="19"/>
  <c r="P226" i="19"/>
  <c r="P76" i="19"/>
  <c r="V76" i="19"/>
  <c r="S226" i="19"/>
  <c r="P26" i="19"/>
  <c r="M126" i="19"/>
  <c r="V226" i="19"/>
  <c r="M76" i="19"/>
  <c r="J126" i="19"/>
  <c r="V26" i="19"/>
  <c r="J76" i="19"/>
  <c r="J176" i="19"/>
  <c r="S126" i="19"/>
  <c r="S76" i="19"/>
  <c r="M26" i="19"/>
  <c r="V126" i="19"/>
  <c r="P176" i="19"/>
  <c r="P126" i="19"/>
  <c r="V176" i="19"/>
  <c r="M226" i="19"/>
  <c r="M176" i="19"/>
  <c r="V243" i="19"/>
  <c r="V193" i="19"/>
  <c r="S243" i="19"/>
  <c r="V143" i="19"/>
  <c r="P243" i="19"/>
  <c r="S143" i="19"/>
  <c r="V43" i="19"/>
  <c r="P143" i="19"/>
  <c r="S43" i="19"/>
  <c r="S193" i="19"/>
  <c r="V93" i="19"/>
  <c r="P193" i="19"/>
  <c r="M243" i="19"/>
  <c r="J243" i="19"/>
  <c r="J93" i="19"/>
  <c r="P93" i="19"/>
  <c r="M143" i="19"/>
  <c r="P43" i="19"/>
  <c r="J193" i="19"/>
  <c r="M43" i="19"/>
  <c r="M193" i="19"/>
  <c r="J43" i="19"/>
  <c r="M93" i="19"/>
  <c r="J143" i="19"/>
  <c r="S93" i="19"/>
  <c r="V113" i="19"/>
  <c r="S113" i="19"/>
  <c r="V13" i="19"/>
  <c r="V213" i="19"/>
  <c r="V163" i="19"/>
  <c r="S13" i="19"/>
  <c r="S163" i="19"/>
  <c r="V63" i="19"/>
  <c r="P163" i="19"/>
  <c r="S63" i="19"/>
  <c r="P213" i="19"/>
  <c r="J63" i="19"/>
  <c r="M113" i="19"/>
  <c r="P13" i="19"/>
  <c r="J163" i="19"/>
  <c r="M13" i="19"/>
  <c r="M163" i="19"/>
  <c r="P63" i="19"/>
  <c r="J113" i="19"/>
  <c r="S213" i="19"/>
  <c r="M63" i="19"/>
  <c r="P113" i="19"/>
  <c r="M213" i="19"/>
  <c r="J213" i="19"/>
  <c r="S141" i="19"/>
  <c r="V41" i="19"/>
  <c r="P141" i="19"/>
  <c r="V241" i="19"/>
  <c r="S41" i="19"/>
  <c r="S191" i="19"/>
  <c r="V91" i="19"/>
  <c r="P191" i="19"/>
  <c r="S91" i="19"/>
  <c r="S241" i="19"/>
  <c r="M141" i="19"/>
  <c r="V191" i="19"/>
  <c r="P41" i="19"/>
  <c r="M41" i="19"/>
  <c r="M191" i="19"/>
  <c r="P241" i="19"/>
  <c r="J141" i="19"/>
  <c r="P91" i="19"/>
  <c r="M91" i="19"/>
  <c r="V141" i="19"/>
  <c r="J41" i="19"/>
  <c r="J91" i="19"/>
  <c r="J191" i="19"/>
  <c r="J241" i="19"/>
  <c r="M241" i="19"/>
  <c r="V171" i="19"/>
  <c r="V121" i="19"/>
  <c r="S121" i="19"/>
  <c r="V21" i="19"/>
  <c r="S21" i="19"/>
  <c r="S171" i="19"/>
  <c r="V71" i="19"/>
  <c r="P171" i="19"/>
  <c r="V221" i="19"/>
  <c r="S71" i="19"/>
  <c r="J71" i="19"/>
  <c r="M121" i="19"/>
  <c r="P121" i="19"/>
  <c r="P21" i="19"/>
  <c r="J171" i="19"/>
  <c r="M21" i="19"/>
  <c r="M171" i="19"/>
  <c r="P71" i="19"/>
  <c r="S221" i="19"/>
  <c r="J121" i="19"/>
  <c r="P221" i="19"/>
  <c r="M221" i="19"/>
  <c r="J221" i="19"/>
  <c r="M71" i="19"/>
  <c r="S218" i="19"/>
  <c r="V118" i="19"/>
  <c r="P218" i="19"/>
  <c r="S118" i="19"/>
  <c r="V18" i="19"/>
  <c r="P118" i="19"/>
  <c r="V168" i="19"/>
  <c r="S18" i="19"/>
  <c r="V218" i="19"/>
  <c r="S168" i="19"/>
  <c r="V68" i="19"/>
  <c r="P168" i="19"/>
  <c r="S68" i="19"/>
  <c r="M218" i="19"/>
  <c r="J218" i="19"/>
  <c r="J68" i="19"/>
  <c r="M118" i="19"/>
  <c r="J168" i="19"/>
  <c r="P18" i="19"/>
  <c r="M18" i="19"/>
  <c r="M168" i="19"/>
  <c r="P68" i="19"/>
  <c r="M68" i="19"/>
  <c r="J118" i="19"/>
  <c r="S130" i="19"/>
  <c r="V230" i="19"/>
  <c r="V30" i="19"/>
  <c r="P130" i="19"/>
  <c r="S30" i="19"/>
  <c r="S180" i="19"/>
  <c r="V180" i="19"/>
  <c r="V80" i="19"/>
  <c r="P180" i="19"/>
  <c r="S80" i="19"/>
  <c r="S230" i="19"/>
  <c r="M130" i="19"/>
  <c r="P80" i="19"/>
  <c r="P30" i="19"/>
  <c r="P230" i="19"/>
  <c r="M30" i="19"/>
  <c r="V130" i="19"/>
  <c r="M180" i="19"/>
  <c r="J130" i="19"/>
  <c r="M80" i="19"/>
  <c r="J80" i="19"/>
  <c r="J180" i="19"/>
  <c r="M230" i="19"/>
  <c r="J230" i="19"/>
  <c r="V175" i="19"/>
  <c r="S175" i="19"/>
  <c r="V75" i="19"/>
  <c r="P175" i="19"/>
  <c r="S75" i="19"/>
  <c r="S225" i="19"/>
  <c r="V225" i="19"/>
  <c r="V125" i="19"/>
  <c r="P225" i="19"/>
  <c r="S125" i="19"/>
  <c r="V25" i="19"/>
  <c r="P125" i="19"/>
  <c r="M175" i="19"/>
  <c r="M75" i="19"/>
  <c r="M225" i="19"/>
  <c r="J225" i="19"/>
  <c r="P75" i="19"/>
  <c r="J75" i="19"/>
  <c r="S25" i="19"/>
  <c r="M125" i="19"/>
  <c r="M25" i="19"/>
  <c r="P25" i="19"/>
  <c r="J125" i="19"/>
  <c r="J175" i="19"/>
  <c r="V214" i="19"/>
  <c r="V164" i="19"/>
  <c r="S14" i="19"/>
  <c r="S164" i="19"/>
  <c r="V64" i="19"/>
  <c r="S64" i="19"/>
  <c r="S214" i="19"/>
  <c r="P64" i="19"/>
  <c r="V114" i="19"/>
  <c r="P214" i="19"/>
  <c r="S114" i="19"/>
  <c r="M14" i="19"/>
  <c r="M164" i="19"/>
  <c r="J114" i="19"/>
  <c r="M64" i="19"/>
  <c r="P114" i="19"/>
  <c r="M214" i="19"/>
  <c r="J214" i="19"/>
  <c r="J64" i="19"/>
  <c r="J164" i="19"/>
  <c r="P14" i="19"/>
  <c r="M114" i="19"/>
  <c r="P164" i="19"/>
  <c r="V14" i="19"/>
  <c r="V245" i="19"/>
  <c r="V95" i="19"/>
  <c r="S95" i="19"/>
  <c r="S245" i="19"/>
  <c r="V145" i="19"/>
  <c r="P245" i="19"/>
  <c r="S145" i="19"/>
  <c r="V195" i="19"/>
  <c r="V45" i="19"/>
  <c r="P145" i="19"/>
  <c r="S45" i="19"/>
  <c r="J145" i="19"/>
  <c r="M95" i="19"/>
  <c r="S195" i="19"/>
  <c r="M245" i="19"/>
  <c r="J245" i="19"/>
  <c r="P95" i="19"/>
  <c r="J95" i="19"/>
  <c r="J45" i="19"/>
  <c r="M145" i="19"/>
  <c r="P45" i="19"/>
  <c r="J195" i="19"/>
  <c r="P195" i="19"/>
  <c r="M195" i="19"/>
  <c r="M45" i="19"/>
  <c r="V239" i="19"/>
  <c r="S39" i="19"/>
  <c r="S189" i="19"/>
  <c r="V89" i="19"/>
  <c r="S89" i="19"/>
  <c r="S239" i="19"/>
  <c r="P89" i="19"/>
  <c r="V189" i="19"/>
  <c r="V139" i="19"/>
  <c r="P239" i="19"/>
  <c r="S139" i="19"/>
  <c r="M39" i="19"/>
  <c r="M189" i="19"/>
  <c r="J139" i="19"/>
  <c r="M89" i="19"/>
  <c r="V39" i="19"/>
  <c r="P189" i="19"/>
  <c r="M239" i="19"/>
  <c r="J239" i="19"/>
  <c r="P139" i="19"/>
  <c r="J89" i="19"/>
  <c r="M139" i="19"/>
  <c r="J189" i="19"/>
  <c r="J39" i="19"/>
  <c r="P39" i="19"/>
  <c r="V217" i="19"/>
  <c r="S167" i="19"/>
  <c r="V67" i="19"/>
  <c r="P167" i="19"/>
  <c r="S67" i="19"/>
  <c r="S217" i="19"/>
  <c r="V117" i="19"/>
  <c r="P217" i="19"/>
  <c r="S117" i="19"/>
  <c r="V17" i="19"/>
  <c r="M167" i="19"/>
  <c r="V167" i="19"/>
  <c r="P67" i="19"/>
  <c r="M67" i="19"/>
  <c r="M217" i="19"/>
  <c r="J217" i="19"/>
  <c r="J67" i="19"/>
  <c r="P117" i="19"/>
  <c r="M117" i="19"/>
  <c r="J117" i="19"/>
  <c r="J167" i="19"/>
  <c r="M17" i="19"/>
  <c r="P17" i="19"/>
  <c r="S17" i="19"/>
  <c r="V219" i="19"/>
  <c r="V19" i="19"/>
  <c r="V169" i="19"/>
  <c r="S19" i="19"/>
  <c r="S169" i="19"/>
  <c r="V69" i="19"/>
  <c r="P169" i="19"/>
  <c r="S69" i="19"/>
  <c r="S219" i="19"/>
  <c r="V119" i="19"/>
  <c r="P219" i="19"/>
  <c r="P119" i="19"/>
  <c r="P19" i="19"/>
  <c r="J169" i="19"/>
  <c r="M19" i="19"/>
  <c r="S119" i="19"/>
  <c r="M169" i="19"/>
  <c r="J119" i="19"/>
  <c r="P69" i="19"/>
  <c r="M69" i="19"/>
  <c r="M219" i="19"/>
  <c r="J219" i="19"/>
  <c r="J69" i="19"/>
  <c r="M119" i="19"/>
  <c r="V237" i="19"/>
  <c r="S87" i="19"/>
  <c r="S237" i="19"/>
  <c r="P87" i="19"/>
  <c r="V187" i="19"/>
  <c r="V137" i="19"/>
  <c r="P237" i="19"/>
  <c r="S137" i="19"/>
  <c r="V37" i="19"/>
  <c r="P137" i="19"/>
  <c r="S37" i="19"/>
  <c r="S187" i="19"/>
  <c r="M87" i="19"/>
  <c r="P187" i="19"/>
  <c r="M237" i="19"/>
  <c r="J87" i="19"/>
  <c r="V87" i="19"/>
  <c r="M137" i="19"/>
  <c r="P37" i="19"/>
  <c r="J187" i="19"/>
  <c r="M37" i="19"/>
  <c r="M187" i="19"/>
  <c r="J137" i="19"/>
  <c r="J237" i="19"/>
  <c r="V232" i="19"/>
  <c r="V182" i="19"/>
  <c r="S232" i="19"/>
  <c r="V132" i="19"/>
  <c r="P232" i="19"/>
  <c r="S132" i="19"/>
  <c r="V32" i="19"/>
  <c r="P132" i="19"/>
  <c r="S32" i="19"/>
  <c r="S182" i="19"/>
  <c r="V82" i="19"/>
  <c r="P182" i="19"/>
  <c r="M232" i="19"/>
  <c r="J232" i="19"/>
  <c r="J82" i="19"/>
  <c r="M132" i="19"/>
  <c r="P32" i="19"/>
  <c r="J182" i="19"/>
  <c r="P82" i="19"/>
  <c r="M32" i="19"/>
  <c r="M182" i="19"/>
  <c r="S82" i="19"/>
  <c r="J132" i="19"/>
  <c r="M82" i="19"/>
  <c r="V220" i="19"/>
  <c r="V70" i="19"/>
  <c r="S70" i="19"/>
  <c r="S220" i="19"/>
  <c r="V120" i="19"/>
  <c r="P220" i="19"/>
  <c r="S120" i="19"/>
  <c r="V20" i="19"/>
  <c r="V170" i="19"/>
  <c r="S20" i="19"/>
  <c r="J120" i="19"/>
  <c r="M70" i="19"/>
  <c r="P170" i="19"/>
  <c r="P70" i="19"/>
  <c r="M220" i="19"/>
  <c r="J220" i="19"/>
  <c r="J70" i="19"/>
  <c r="S170" i="19"/>
  <c r="M120" i="19"/>
  <c r="P120" i="19"/>
  <c r="P20" i="19"/>
  <c r="J170" i="19"/>
  <c r="M20" i="19"/>
  <c r="M170" i="19"/>
  <c r="V234" i="19"/>
  <c r="V84" i="19"/>
  <c r="S84" i="19"/>
  <c r="V184" i="19"/>
  <c r="S234" i="19"/>
  <c r="V134" i="19"/>
  <c r="P234" i="19"/>
  <c r="S134" i="19"/>
  <c r="V34" i="19"/>
  <c r="S34" i="19"/>
  <c r="J134" i="19"/>
  <c r="S184" i="19"/>
  <c r="P184" i="19"/>
  <c r="M84" i="19"/>
  <c r="M234" i="19"/>
  <c r="J234" i="19"/>
  <c r="P134" i="19"/>
  <c r="J84" i="19"/>
  <c r="M134" i="19"/>
  <c r="P84" i="19"/>
  <c r="P34" i="19"/>
  <c r="J184" i="19"/>
  <c r="M184" i="19"/>
  <c r="M34" i="19"/>
  <c r="S116" i="19"/>
  <c r="V16" i="19"/>
  <c r="P116" i="19"/>
  <c r="V166" i="19"/>
  <c r="S16" i="19"/>
  <c r="V216" i="19"/>
  <c r="S166" i="19"/>
  <c r="V66" i="19"/>
  <c r="P166" i="19"/>
  <c r="S66" i="19"/>
  <c r="S216" i="19"/>
  <c r="V116" i="19"/>
  <c r="M116" i="19"/>
  <c r="P216" i="19"/>
  <c r="P16" i="19"/>
  <c r="M16" i="19"/>
  <c r="M166" i="19"/>
  <c r="J116" i="19"/>
  <c r="P66" i="19"/>
  <c r="M66" i="19"/>
  <c r="M216" i="19"/>
  <c r="J166" i="19"/>
  <c r="J216" i="19"/>
  <c r="J66" i="19"/>
  <c r="V228" i="19"/>
  <c r="S28" i="19"/>
  <c r="S178" i="19"/>
  <c r="V178" i="19"/>
  <c r="V78" i="19"/>
  <c r="S78" i="19"/>
  <c r="S228" i="19"/>
  <c r="P78" i="19"/>
  <c r="V128" i="19"/>
  <c r="P228" i="19"/>
  <c r="S128" i="19"/>
  <c r="M28" i="19"/>
  <c r="P128" i="19"/>
  <c r="M178" i="19"/>
  <c r="V28" i="19"/>
  <c r="J128" i="19"/>
  <c r="M78" i="19"/>
  <c r="M228" i="19"/>
  <c r="J228" i="19"/>
  <c r="J78" i="19"/>
  <c r="J178" i="19"/>
  <c r="M128" i="19"/>
  <c r="P178" i="19"/>
  <c r="P28" i="19"/>
  <c r="S124" i="19"/>
  <c r="V24" i="19"/>
  <c r="P124" i="19"/>
  <c r="S24" i="19"/>
  <c r="V174" i="19"/>
  <c r="S174" i="19"/>
  <c r="V74" i="19"/>
  <c r="P174" i="19"/>
  <c r="S74" i="19"/>
  <c r="S224" i="19"/>
  <c r="V224" i="19"/>
  <c r="V124" i="19"/>
  <c r="M124" i="19"/>
  <c r="P24" i="19"/>
  <c r="M24" i="19"/>
  <c r="M174" i="19"/>
  <c r="J124" i="19"/>
  <c r="M74" i="19"/>
  <c r="P224" i="19"/>
  <c r="M224" i="19"/>
  <c r="J174" i="19"/>
  <c r="J224" i="19"/>
  <c r="P74" i="19"/>
  <c r="J74" i="19"/>
  <c r="V194" i="19"/>
  <c r="V244" i="19"/>
  <c r="V44" i="19"/>
  <c r="S44" i="19"/>
  <c r="S194" i="19"/>
  <c r="V94" i="19"/>
  <c r="P194" i="19"/>
  <c r="S94" i="19"/>
  <c r="S244" i="19"/>
  <c r="V144" i="19"/>
  <c r="P244" i="19"/>
  <c r="P44" i="19"/>
  <c r="J194" i="19"/>
  <c r="S144" i="19"/>
  <c r="M44" i="19"/>
  <c r="M194" i="19"/>
  <c r="P94" i="19"/>
  <c r="P144" i="19"/>
  <c r="J144" i="19"/>
  <c r="M94" i="19"/>
  <c r="J44" i="19"/>
  <c r="M244" i="19"/>
  <c r="J244" i="19"/>
  <c r="J94" i="19"/>
  <c r="M144" i="19"/>
  <c r="V222" i="19"/>
  <c r="S22" i="19"/>
  <c r="V172" i="19"/>
  <c r="S172" i="19"/>
  <c r="V72" i="19"/>
  <c r="S72" i="19"/>
  <c r="S222" i="19"/>
  <c r="P72" i="19"/>
  <c r="V122" i="19"/>
  <c r="P222" i="19"/>
  <c r="S122" i="19"/>
  <c r="M22" i="19"/>
  <c r="M172" i="19"/>
  <c r="J122" i="19"/>
  <c r="M72" i="19"/>
  <c r="P172" i="19"/>
  <c r="M222" i="19"/>
  <c r="J222" i="19"/>
  <c r="V22" i="19"/>
  <c r="J72" i="19"/>
  <c r="M122" i="19"/>
  <c r="P22" i="19"/>
  <c r="P122" i="19"/>
  <c r="J172" i="19"/>
  <c r="V229" i="19"/>
  <c r="S79" i="19"/>
  <c r="S229" i="19"/>
  <c r="P79" i="19"/>
  <c r="V129" i="19"/>
  <c r="P229" i="19"/>
  <c r="S129" i="19"/>
  <c r="V29" i="19"/>
  <c r="P129" i="19"/>
  <c r="S29" i="19"/>
  <c r="S179" i="19"/>
  <c r="M79" i="19"/>
  <c r="V179" i="19"/>
  <c r="M229" i="19"/>
  <c r="J79" i="19"/>
  <c r="V79" i="19"/>
  <c r="M129" i="19"/>
  <c r="P179" i="19"/>
  <c r="P29" i="19"/>
  <c r="J179" i="19"/>
  <c r="M29" i="19"/>
  <c r="M179" i="19"/>
  <c r="J229" i="19"/>
  <c r="J129" i="19"/>
  <c r="S65" i="19"/>
  <c r="S215" i="19"/>
  <c r="V115" i="19"/>
  <c r="P215" i="19"/>
  <c r="S115" i="19"/>
  <c r="V15" i="19"/>
  <c r="P115" i="19"/>
  <c r="V165" i="19"/>
  <c r="S15" i="19"/>
  <c r="V215" i="19"/>
  <c r="S165" i="19"/>
  <c r="V65" i="19"/>
  <c r="P65" i="19"/>
  <c r="M65" i="19"/>
  <c r="M215" i="19"/>
  <c r="J65" i="19"/>
  <c r="M115" i="19"/>
  <c r="P165" i="19"/>
  <c r="P15" i="19"/>
  <c r="J165" i="19"/>
  <c r="M15" i="19"/>
  <c r="J215" i="19"/>
  <c r="M165" i="19"/>
  <c r="J115" i="19"/>
  <c r="S197" i="19"/>
  <c r="S47" i="19"/>
  <c r="P47" i="19"/>
  <c r="P147" i="19"/>
  <c r="M97" i="19"/>
  <c r="J147" i="19"/>
  <c r="V197" i="19"/>
  <c r="V97" i="19"/>
  <c r="P97" i="19"/>
  <c r="M47" i="19"/>
  <c r="M197" i="19"/>
  <c r="J197" i="19"/>
  <c r="J47" i="19"/>
  <c r="S247" i="19"/>
  <c r="V247" i="19"/>
  <c r="M147" i="19"/>
  <c r="J247" i="19"/>
  <c r="J97" i="19"/>
  <c r="S147" i="19"/>
  <c r="V147" i="19"/>
  <c r="V47" i="19"/>
  <c r="P247" i="19"/>
  <c r="S97" i="19"/>
  <c r="P197" i="19"/>
  <c r="M247" i="19"/>
  <c r="S200" i="19"/>
  <c r="V200" i="19"/>
  <c r="S150" i="19"/>
  <c r="P150" i="19"/>
  <c r="J50" i="19"/>
  <c r="J250" i="19"/>
  <c r="J100" i="19"/>
  <c r="V100" i="19"/>
  <c r="S250" i="19"/>
  <c r="P200" i="19"/>
  <c r="M200" i="19"/>
  <c r="S50" i="19"/>
  <c r="P100" i="19"/>
  <c r="V250" i="19"/>
  <c r="P250" i="19"/>
  <c r="M150" i="19"/>
  <c r="M100" i="19"/>
  <c r="V150" i="19"/>
  <c r="V50" i="19"/>
  <c r="P50" i="19"/>
  <c r="S100" i="19"/>
  <c r="J150" i="19"/>
  <c r="M50" i="19"/>
  <c r="J200" i="19"/>
  <c r="M250" i="19"/>
  <c r="V246" i="19"/>
  <c r="P246" i="19"/>
  <c r="M246" i="19"/>
  <c r="M146" i="19"/>
  <c r="M46" i="19"/>
  <c r="P146" i="19"/>
  <c r="V146" i="19"/>
  <c r="V46" i="19"/>
  <c r="P46" i="19"/>
  <c r="J96" i="19"/>
  <c r="J146" i="19"/>
  <c r="J246" i="19"/>
  <c r="J46" i="19"/>
  <c r="S246" i="19"/>
  <c r="M196" i="19"/>
  <c r="S196" i="19"/>
  <c r="V196" i="19"/>
  <c r="S146" i="19"/>
  <c r="S46" i="19"/>
  <c r="S96" i="19"/>
  <c r="M96" i="19"/>
  <c r="V96" i="19"/>
  <c r="P196" i="19"/>
  <c r="P96" i="19"/>
  <c r="J196" i="19"/>
  <c r="V248" i="19"/>
  <c r="V148" i="19"/>
  <c r="P148" i="19"/>
  <c r="M148" i="19"/>
  <c r="J198" i="19"/>
  <c r="M248" i="19"/>
  <c r="J98" i="19"/>
  <c r="V48" i="19"/>
  <c r="S198" i="19"/>
  <c r="M198" i="19"/>
  <c r="P248" i="19"/>
  <c r="M48" i="19"/>
  <c r="J148" i="19"/>
  <c r="V198" i="19"/>
  <c r="V98" i="19"/>
  <c r="S48" i="19"/>
  <c r="P48" i="19"/>
  <c r="J248" i="19"/>
  <c r="J48" i="19"/>
  <c r="S248" i="19"/>
  <c r="S98" i="19"/>
  <c r="P98" i="19"/>
  <c r="M98" i="19"/>
  <c r="S148" i="19"/>
  <c r="P198" i="19"/>
  <c r="V99" i="19"/>
  <c r="S249" i="19"/>
  <c r="P199" i="19"/>
  <c r="M199" i="19"/>
  <c r="J149" i="19"/>
  <c r="P49" i="19"/>
  <c r="J49" i="19"/>
  <c r="V249" i="19"/>
  <c r="V149" i="19"/>
  <c r="M249" i="19"/>
  <c r="S49" i="19"/>
  <c r="M99" i="19"/>
  <c r="J99" i="19"/>
  <c r="V49" i="19"/>
  <c r="S199" i="19"/>
  <c r="S99" i="19"/>
  <c r="P99" i="19"/>
  <c r="J199" i="19"/>
  <c r="M49" i="19"/>
  <c r="V199" i="19"/>
  <c r="S149" i="19"/>
  <c r="P149" i="19"/>
  <c r="M149" i="19"/>
  <c r="P249" i="19"/>
  <c r="J249" i="19"/>
  <c r="J18" i="19"/>
  <c r="J35" i="19"/>
  <c r="J14" i="19"/>
  <c r="J30" i="19"/>
  <c r="J27" i="19"/>
  <c r="J20" i="19"/>
  <c r="J34" i="19"/>
  <c r="J17" i="19"/>
  <c r="J19" i="19"/>
  <c r="J25" i="19"/>
  <c r="J11" i="19"/>
  <c r="J37" i="19"/>
  <c r="J33" i="19"/>
  <c r="J16" i="19"/>
  <c r="J28" i="19"/>
  <c r="J10" i="19"/>
  <c r="J24" i="19"/>
  <c r="J26" i="19"/>
  <c r="J22" i="19"/>
  <c r="J29" i="19"/>
  <c r="J13" i="19"/>
  <c r="J15" i="19"/>
  <c r="J21" i="19"/>
  <c r="J32" i="19"/>
  <c r="AF82" i="1"/>
  <c r="AE79" i="1"/>
  <c r="AE81" i="1"/>
  <c r="AD81" i="1" s="1"/>
  <c r="AF124" i="1"/>
  <c r="AF130" i="1"/>
  <c r="AF127" i="1"/>
  <c r="AF133" i="1"/>
  <c r="AF31" i="1"/>
  <c r="AF55" i="1"/>
  <c r="AF103" i="1"/>
  <c r="AE15" i="1"/>
  <c r="AD15" i="1" s="1"/>
  <c r="AE14" i="1"/>
  <c r="AD14" i="1" s="1"/>
  <c r="AE13" i="1"/>
  <c r="AD13" i="1" s="1"/>
  <c r="AF22" i="1"/>
  <c r="AF28" i="1"/>
  <c r="AF34" i="1"/>
  <c r="AF91" i="1"/>
  <c r="AF64" i="1"/>
  <c r="AF58" i="1"/>
  <c r="AF106" i="1"/>
  <c r="AF25" i="1"/>
  <c r="AF100" i="1"/>
  <c r="AF115" i="1"/>
  <c r="AF49" i="1"/>
  <c r="AF40" i="1"/>
  <c r="AF16" i="1"/>
  <c r="AF85" i="1"/>
  <c r="AF76" i="1"/>
  <c r="AE12" i="1"/>
  <c r="AD12" i="1" s="1"/>
  <c r="AE11" i="1"/>
  <c r="AD11" i="1" s="1"/>
  <c r="AE10" i="1"/>
  <c r="AD10" i="1" s="1"/>
  <c r="AF37" i="1"/>
  <c r="AF118" i="1"/>
  <c r="AF121" i="1"/>
  <c r="AF61" i="1"/>
  <c r="AF73" i="1"/>
  <c r="AF109" i="1"/>
  <c r="AF70" i="1"/>
  <c r="AF43" i="1"/>
  <c r="AF88" i="1"/>
  <c r="AF112" i="1"/>
  <c r="AF46" i="1"/>
  <c r="W10" i="1"/>
  <c r="AA10" i="1" s="1"/>
  <c r="AA11" i="1" s="1"/>
  <c r="W13" i="1"/>
  <c r="AA13" i="1" s="1"/>
  <c r="AA14" i="1" s="1"/>
  <c r="X231" i="19" l="1"/>
  <c r="U81" i="19"/>
  <c r="U231" i="19"/>
  <c r="R81" i="19"/>
  <c r="X131" i="19"/>
  <c r="R231" i="19"/>
  <c r="U131" i="19"/>
  <c r="X31" i="19"/>
  <c r="R131" i="19"/>
  <c r="U31" i="19"/>
  <c r="U181" i="19"/>
  <c r="O81" i="19"/>
  <c r="O231" i="19"/>
  <c r="L81" i="19"/>
  <c r="O131" i="19"/>
  <c r="X181" i="19"/>
  <c r="R31" i="19"/>
  <c r="L181" i="19"/>
  <c r="X81" i="19"/>
  <c r="O31" i="19"/>
  <c r="R181" i="19"/>
  <c r="L131" i="19"/>
  <c r="L231" i="19"/>
  <c r="O181" i="19"/>
  <c r="L31" i="19"/>
  <c r="AA15" i="1"/>
  <c r="AC14" i="1"/>
  <c r="AB14" i="1"/>
  <c r="W208" i="19" s="1"/>
  <c r="AA12" i="1"/>
  <c r="AB11" i="1"/>
  <c r="W207" i="19" s="1"/>
  <c r="AC11" i="1"/>
  <c r="AF81" i="1"/>
  <c r="AD79" i="1"/>
  <c r="AE80" i="1"/>
  <c r="AD80" i="1" s="1"/>
  <c r="AB7" i="1"/>
  <c r="Q57" i="19" l="1"/>
  <c r="K107" i="19"/>
  <c r="W157" i="19"/>
  <c r="Q107" i="19"/>
  <c r="K58" i="19"/>
  <c r="N108" i="19"/>
  <c r="N158" i="19"/>
  <c r="N8" i="19"/>
  <c r="N107" i="19"/>
  <c r="T58" i="19"/>
  <c r="K57" i="19"/>
  <c r="Q158" i="19"/>
  <c r="N57" i="19"/>
  <c r="K207" i="19"/>
  <c r="W7" i="19"/>
  <c r="K208" i="19"/>
  <c r="K158" i="19"/>
  <c r="W58" i="19"/>
  <c r="N157" i="19"/>
  <c r="N207" i="19"/>
  <c r="T107" i="19"/>
  <c r="N208" i="19"/>
  <c r="Q8" i="19"/>
  <c r="T158" i="19"/>
  <c r="N7" i="19"/>
  <c r="Q157" i="19"/>
  <c r="Q207" i="19"/>
  <c r="N58" i="19"/>
  <c r="T108" i="19"/>
  <c r="T8" i="19"/>
  <c r="T57" i="19"/>
  <c r="W57" i="19"/>
  <c r="W107" i="19"/>
  <c r="Q108" i="19"/>
  <c r="Q208" i="19"/>
  <c r="W158" i="19"/>
  <c r="Q7" i="19"/>
  <c r="T157" i="19"/>
  <c r="T207" i="19"/>
  <c r="K108" i="19"/>
  <c r="W108" i="19"/>
  <c r="W8" i="19"/>
  <c r="K157" i="19"/>
  <c r="T7" i="19"/>
  <c r="Q58" i="19"/>
  <c r="T208" i="19"/>
  <c r="W231" i="19"/>
  <c r="W181" i="19"/>
  <c r="W81" i="19"/>
  <c r="T81" i="19"/>
  <c r="T231" i="19"/>
  <c r="W131" i="19"/>
  <c r="Q231" i="19"/>
  <c r="T131" i="19"/>
  <c r="W31" i="19"/>
  <c r="T31" i="19"/>
  <c r="K131" i="19"/>
  <c r="Q131" i="19"/>
  <c r="N81" i="19"/>
  <c r="N231" i="19"/>
  <c r="K231" i="19"/>
  <c r="K81" i="19"/>
  <c r="N131" i="19"/>
  <c r="Q81" i="19"/>
  <c r="Q31" i="19"/>
  <c r="K181" i="19"/>
  <c r="T181" i="19"/>
  <c r="Q181" i="19"/>
  <c r="N31" i="19"/>
  <c r="N181" i="19"/>
  <c r="S181" i="19"/>
  <c r="V181" i="19"/>
  <c r="V81" i="19"/>
  <c r="P181" i="19"/>
  <c r="S81" i="19"/>
  <c r="S231" i="19"/>
  <c r="V131" i="19"/>
  <c r="P231" i="19"/>
  <c r="S131" i="19"/>
  <c r="V231" i="19"/>
  <c r="V31" i="19"/>
  <c r="M181" i="19"/>
  <c r="J131" i="19"/>
  <c r="S31" i="19"/>
  <c r="P131" i="19"/>
  <c r="M81" i="19"/>
  <c r="M231" i="19"/>
  <c r="J231" i="19"/>
  <c r="J81" i="19"/>
  <c r="P81" i="19"/>
  <c r="M131" i="19"/>
  <c r="J181" i="19"/>
  <c r="P31" i="19"/>
  <c r="M31" i="19"/>
  <c r="K31" i="19"/>
  <c r="K7" i="19"/>
  <c r="K8" i="19"/>
  <c r="J31" i="19"/>
  <c r="AF14" i="1"/>
  <c r="AF11" i="1"/>
  <c r="AF79" i="1"/>
  <c r="AC15" i="1"/>
  <c r="AB15" i="1"/>
  <c r="AB12" i="1"/>
  <c r="AC12" i="1"/>
  <c r="AF80" i="1"/>
  <c r="AC7" i="1"/>
  <c r="X107" i="19" l="1"/>
  <c r="U57" i="19"/>
  <c r="X207" i="19"/>
  <c r="X57" i="19"/>
  <c r="U107" i="19"/>
  <c r="L57" i="19"/>
  <c r="R107" i="19"/>
  <c r="O157" i="19"/>
  <c r="X7" i="19"/>
  <c r="O107" i="19"/>
  <c r="R57" i="19"/>
  <c r="O7" i="19"/>
  <c r="X157" i="19"/>
  <c r="R207" i="19"/>
  <c r="L107" i="19"/>
  <c r="O57" i="19"/>
  <c r="U7" i="19"/>
  <c r="R7" i="19"/>
  <c r="U207" i="19"/>
  <c r="U157" i="19"/>
  <c r="L157" i="19"/>
  <c r="L207" i="19"/>
  <c r="R157" i="19"/>
  <c r="O207" i="19"/>
  <c r="X208" i="19"/>
  <c r="R208" i="19"/>
  <c r="R108" i="19"/>
  <c r="X158" i="19"/>
  <c r="U108" i="19"/>
  <c r="O58" i="19"/>
  <c r="R158" i="19"/>
  <c r="U8" i="19"/>
  <c r="O8" i="19"/>
  <c r="O208" i="19"/>
  <c r="O108" i="19"/>
  <c r="U158" i="19"/>
  <c r="O158" i="19"/>
  <c r="L208" i="19"/>
  <c r="U208" i="19"/>
  <c r="L158" i="19"/>
  <c r="X58" i="19"/>
  <c r="X8" i="19"/>
  <c r="L58" i="19"/>
  <c r="U58" i="19"/>
  <c r="R58" i="19"/>
  <c r="R8" i="19"/>
  <c r="L108" i="19"/>
  <c r="X108" i="19"/>
  <c r="L8" i="19"/>
  <c r="L7" i="19"/>
  <c r="AF15" i="1"/>
  <c r="AF12" i="1"/>
  <c r="AB10" i="1"/>
  <c r="S57" i="19" l="1"/>
  <c r="S7" i="19"/>
  <c r="P7" i="19"/>
  <c r="P157" i="19"/>
  <c r="V207" i="19"/>
  <c r="S157" i="19"/>
  <c r="J157" i="19"/>
  <c r="S207" i="19"/>
  <c r="M57" i="19"/>
  <c r="V57" i="19"/>
  <c r="P57" i="19"/>
  <c r="V107" i="19"/>
  <c r="M207" i="19"/>
  <c r="M7" i="19"/>
  <c r="P107" i="19"/>
  <c r="J107" i="19"/>
  <c r="S107" i="19"/>
  <c r="J57" i="19"/>
  <c r="J207" i="19"/>
  <c r="V157" i="19"/>
  <c r="V7" i="19"/>
  <c r="P207" i="19"/>
  <c r="M157" i="19"/>
  <c r="M107" i="19"/>
  <c r="J7" i="19"/>
  <c r="AF10" i="1"/>
  <c r="AC10" i="1"/>
  <c r="AB13" i="1" s="1"/>
  <c r="S108" i="19" l="1"/>
  <c r="S58" i="19"/>
  <c r="P58" i="19"/>
  <c r="V58" i="19"/>
  <c r="V8" i="19"/>
  <c r="V208" i="19"/>
  <c r="J108" i="19"/>
  <c r="J208" i="19"/>
  <c r="P108" i="19"/>
  <c r="S208" i="19"/>
  <c r="M58" i="19"/>
  <c r="V158" i="19"/>
  <c r="M108" i="19"/>
  <c r="J58" i="19"/>
  <c r="P208" i="19"/>
  <c r="M8" i="19"/>
  <c r="J158" i="19"/>
  <c r="M158" i="19"/>
  <c r="S8" i="19"/>
  <c r="V108" i="19"/>
  <c r="S158" i="19"/>
  <c r="P8" i="19"/>
  <c r="M208" i="19"/>
  <c r="P158" i="19"/>
  <c r="J8" i="19"/>
  <c r="AF13" i="1"/>
  <c r="AC13" i="1"/>
  <c r="P159" i="19" l="1"/>
  <c r="S9" i="19"/>
  <c r="J59" i="19"/>
  <c r="V209" i="19"/>
  <c r="M59" i="19"/>
  <c r="S59" i="19"/>
  <c r="M159" i="19"/>
  <c r="M109" i="19"/>
  <c r="S209" i="19"/>
  <c r="P59" i="19"/>
  <c r="P9" i="19"/>
  <c r="M9" i="19"/>
  <c r="V109" i="19"/>
  <c r="V159" i="19"/>
  <c r="J109" i="19"/>
  <c r="P209" i="19"/>
  <c r="P109" i="19"/>
  <c r="J159" i="19"/>
  <c r="S159" i="19"/>
  <c r="S109" i="19"/>
  <c r="M209" i="19"/>
  <c r="V59" i="19"/>
  <c r="V9" i="19"/>
  <c r="J209" i="19"/>
  <c r="J9" i="19"/>
  <c r="N7" i="1"/>
  <c r="O7" i="1" s="1"/>
  <c r="AX66" i="18" l="1"/>
  <c r="AN6" i="18"/>
  <c r="AN46" i="18"/>
  <c r="AX46" i="18"/>
  <c r="AD86" i="18"/>
  <c r="T66" i="18"/>
  <c r="AN26" i="18"/>
  <c r="AX86" i="18"/>
  <c r="AD66" i="18"/>
  <c r="AD46" i="18"/>
  <c r="AD26" i="18"/>
  <c r="T46" i="18"/>
  <c r="AX6" i="18"/>
  <c r="AN86" i="18"/>
  <c r="AN66" i="18"/>
  <c r="AD6" i="18"/>
  <c r="J46" i="18"/>
  <c r="J26" i="18"/>
  <c r="AX26" i="18"/>
  <c r="T86" i="18"/>
  <c r="J66" i="18"/>
  <c r="T6" i="18"/>
  <c r="T26" i="18"/>
  <c r="J86" i="18"/>
  <c r="J6" i="18"/>
  <c r="AE52" i="1"/>
  <c r="AD52" i="1" s="1"/>
  <c r="AE94" i="1"/>
  <c r="AD94" i="1" s="1"/>
  <c r="AE19" i="1"/>
  <c r="AD19" i="1" s="1"/>
  <c r="P7" i="1"/>
  <c r="Q7" i="1"/>
  <c r="V212" i="19" l="1"/>
  <c r="V62" i="19"/>
  <c r="S62" i="19"/>
  <c r="S212" i="19"/>
  <c r="V112" i="19"/>
  <c r="P212" i="19"/>
  <c r="S112" i="19"/>
  <c r="V12" i="19"/>
  <c r="V162" i="19"/>
  <c r="S12" i="19"/>
  <c r="P62" i="19"/>
  <c r="J112" i="19"/>
  <c r="M62" i="19"/>
  <c r="P112" i="19"/>
  <c r="M212" i="19"/>
  <c r="J212" i="19"/>
  <c r="J62" i="19"/>
  <c r="P162" i="19"/>
  <c r="M112" i="19"/>
  <c r="S162" i="19"/>
  <c r="P12" i="19"/>
  <c r="J162" i="19"/>
  <c r="M162" i="19"/>
  <c r="M12" i="19"/>
  <c r="V236" i="19"/>
  <c r="S36" i="19"/>
  <c r="S186" i="19"/>
  <c r="V86" i="19"/>
  <c r="S86" i="19"/>
  <c r="S236" i="19"/>
  <c r="P86" i="19"/>
  <c r="V186" i="19"/>
  <c r="V136" i="19"/>
  <c r="P236" i="19"/>
  <c r="S136" i="19"/>
  <c r="M36" i="19"/>
  <c r="M186" i="19"/>
  <c r="J136" i="19"/>
  <c r="V36" i="19"/>
  <c r="M86" i="19"/>
  <c r="P186" i="19"/>
  <c r="M236" i="19"/>
  <c r="J236" i="19"/>
  <c r="P136" i="19"/>
  <c r="J86" i="19"/>
  <c r="M136" i="19"/>
  <c r="J186" i="19"/>
  <c r="P36" i="19"/>
  <c r="V223" i="19"/>
  <c r="S73" i="19"/>
  <c r="S223" i="19"/>
  <c r="P73" i="19"/>
  <c r="V123" i="19"/>
  <c r="P223" i="19"/>
  <c r="S123" i="19"/>
  <c r="V23" i="19"/>
  <c r="P123" i="19"/>
  <c r="S23" i="19"/>
  <c r="V173" i="19"/>
  <c r="S173" i="19"/>
  <c r="M73" i="19"/>
  <c r="P173" i="19"/>
  <c r="M223" i="19"/>
  <c r="J73" i="19"/>
  <c r="M123" i="19"/>
  <c r="P23" i="19"/>
  <c r="J173" i="19"/>
  <c r="M23" i="19"/>
  <c r="M173" i="19"/>
  <c r="J123" i="19"/>
  <c r="V73" i="19"/>
  <c r="J223" i="19"/>
  <c r="J12" i="19"/>
  <c r="J36" i="19"/>
  <c r="J23" i="19"/>
  <c r="AF94" i="1"/>
  <c r="AF19" i="1"/>
  <c r="AF52" i="1"/>
  <c r="AE7" i="1"/>
  <c r="AD7" i="1" s="1"/>
  <c r="AE9" i="1"/>
  <c r="AD9" i="1" s="1"/>
  <c r="AE8" i="1"/>
  <c r="AD8" i="1" s="1"/>
  <c r="V206" i="19" l="1"/>
  <c r="V156" i="19"/>
  <c r="S6" i="19"/>
  <c r="S156" i="19"/>
  <c r="V56" i="19"/>
  <c r="S56" i="19"/>
  <c r="S206" i="19"/>
  <c r="V106" i="19"/>
  <c r="P206" i="19"/>
  <c r="S106" i="19"/>
  <c r="P106" i="19"/>
  <c r="M6" i="19"/>
  <c r="M156" i="19"/>
  <c r="P56" i="19"/>
  <c r="J106" i="19"/>
  <c r="P156" i="19"/>
  <c r="V6" i="19"/>
  <c r="M56" i="19"/>
  <c r="M206" i="19"/>
  <c r="J206" i="19"/>
  <c r="J56" i="19"/>
  <c r="J156" i="19"/>
  <c r="P6" i="19"/>
  <c r="M106" i="19"/>
  <c r="X206" i="19"/>
  <c r="X56" i="19"/>
  <c r="U56" i="19"/>
  <c r="U206" i="19"/>
  <c r="X106" i="19"/>
  <c r="R206" i="19"/>
  <c r="U106" i="19"/>
  <c r="X6" i="19"/>
  <c r="X156" i="19"/>
  <c r="U6" i="19"/>
  <c r="R56" i="19"/>
  <c r="L106" i="19"/>
  <c r="O56" i="19"/>
  <c r="O206" i="19"/>
  <c r="L206" i="19"/>
  <c r="L56" i="19"/>
  <c r="U156" i="19"/>
  <c r="O106" i="19"/>
  <c r="R106" i="19"/>
  <c r="R156" i="19"/>
  <c r="R6" i="19"/>
  <c r="L156" i="19"/>
  <c r="O156" i="19"/>
  <c r="O6" i="19"/>
  <c r="T156" i="19"/>
  <c r="W56" i="19"/>
  <c r="Q156" i="19"/>
  <c r="W206" i="19"/>
  <c r="T56" i="19"/>
  <c r="T206" i="19"/>
  <c r="W106" i="19"/>
  <c r="Q206" i="19"/>
  <c r="T106" i="19"/>
  <c r="W6" i="19"/>
  <c r="N156" i="19"/>
  <c r="T6" i="19"/>
  <c r="Q56" i="19"/>
  <c r="N56" i="19"/>
  <c r="W156" i="19"/>
  <c r="N206" i="19"/>
  <c r="K206" i="19"/>
  <c r="K56" i="19"/>
  <c r="N106" i="19"/>
  <c r="N6" i="19"/>
  <c r="Q6" i="19"/>
  <c r="Q106" i="19"/>
  <c r="K156" i="19"/>
  <c r="K106" i="19"/>
  <c r="K6" i="19"/>
  <c r="L6" i="19"/>
  <c r="J6" i="19"/>
  <c r="AF9" i="1"/>
  <c r="AF8" i="1"/>
  <c r="AF7" i="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<sst xmlns="http://schemas.openxmlformats.org/spreadsheetml/2006/main" count="2395" uniqueCount="866">
  <si>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</si>
  <si>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</si>
  <si>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</si>
  <si>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</si>
  <si>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</si>
  <si>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</si>
  <si>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</si>
  <si>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</si>
  <si>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</si>
  <si>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</si>
  <si>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</si>
  <si>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</si>
  <si>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</si>
  <si>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</si>
  <si>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</si>
  <si>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</si>
  <si>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</si>
  <si>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</si>
  <si>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</si>
  <si>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</si>
  <si>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</si>
  <si>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</si>
  <si>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</si>
  <si>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</si>
  <si>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</si>
  <si>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</si>
  <si>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</si>
  <si>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</si>
  <si>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</si>
  <si>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</si>
  <si>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</si>
  <si>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</si>
  <si>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</si>
  <si>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</si>
  <si>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</si>
  <si>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</si>
  <si>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</si>
  <si>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</si>
  <si>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</si>
  <si>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</si>
  <si>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</si>
  <si>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</si>
  <si>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</si>
  <si>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</si>
  <si>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</si>
  <si>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</si>
  <si>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</si>
  <si>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</si>
  <si>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</si>
  <si>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</si>
  <si>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</si>
  <si>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</si>
  <si>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</si>
  <si>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</si>
  <si>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</si>
  <si>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</si>
  <si>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</si>
  <si>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</si>
  <si>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</si>
  <si>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</si>
  <si>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</si>
  <si>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</si>
  <si>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</si>
  <si>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</si>
  <si>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</si>
  <si>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</si>
  <si>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</si>
  <si>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</si>
  <si>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</si>
  <si>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</si>
  <si>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</si>
  <si>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</si>
  <si>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</si>
  <si>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</si>
  <si>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</si>
  <si>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</si>
  <si>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</si>
  <si>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</si>
  <si>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</si>
  <si>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</si>
  <si>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</si>
  <si>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</si>
  <si>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</si>
  <si>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</si>
  <si>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</si>
  <si>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</si>
  <si>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</si>
  <si>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</si>
  <si>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</si>
  <si>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</si>
  <si>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</si>
  <si>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</si>
  <si>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</si>
  <si>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</si>
  <si>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</si>
  <si>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</si>
  <si>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</si>
  <si>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</si>
  <si>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</si>
  <si>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</si>
  <si>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</si>
  <si>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</si>
  <si>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</si>
  <si>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</si>
  <si>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</si>
  <si>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</si>
  <si>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</si>
  <si>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</si>
  <si>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</si>
  <si>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</si>
  <si>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</si>
  <si>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</si>
  <si>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</si>
  <si>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</si>
  <si>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</si>
  <si>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</si>
  <si>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</si>
  <si>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</si>
  <si>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</si>
  <si>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</si>
  <si>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</si>
  <si>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</si>
  <si>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</si>
  <si>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</si>
  <si>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</si>
  <si>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</si>
  <si>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</si>
  <si>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</si>
  <si>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</si>
  <si>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</si>
  <si>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</si>
  <si>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</si>
  <si>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</si>
  <si>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</si>
  <si>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</si>
  <si>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</si>
  <si>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</si>
  <si>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</si>
  <si>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</si>
  <si>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</si>
  <si>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</si>
  <si>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</si>
  <si>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</si>
  <si>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</si>
  <si>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</si>
  <si>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</si>
  <si>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</si>
  <si>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</si>
  <si>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</si>
  <si>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</si>
  <si>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</si>
  <si>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</si>
  <si>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</si>
  <si>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</si>
  <si>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</si>
  <si>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</si>
  <si>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</si>
  <si>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</si>
  <si>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</si>
  <si>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</si>
  <si>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</si>
  <si>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</si>
  <si>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</si>
  <si>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</si>
  <si>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</si>
  <si>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</si>
  <si>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</si>
  <si>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</si>
  <si>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</si>
  <si>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</si>
  <si>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</si>
  <si>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</si>
  <si>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</si>
  <si>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</si>
  <si>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</si>
  <si>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</si>
  <si>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</si>
  <si>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</si>
  <si>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</si>
  <si>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</si>
  <si>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</si>
  <si>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</si>
  <si>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</si>
  <si>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</si>
  <si>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</si>
  <si>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</si>
  <si>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</si>
  <si>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</si>
  <si>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</si>
  <si>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</si>
  <si>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</si>
  <si>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</si>
  <si>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</si>
  <si>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</si>
  <si>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</si>
  <si>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</si>
  <si>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</si>
  <si>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</si>
  <si>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</si>
  <si>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</si>
  <si>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</si>
  <si>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</si>
  <si>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</si>
  <si>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</si>
  <si>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</si>
  <si>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</si>
  <si>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</si>
  <si>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</si>
  <si>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</si>
  <si>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</si>
  <si>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</si>
  <si>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</si>
  <si>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</si>
  <si>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</si>
  <si>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</si>
  <si>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</si>
  <si>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</si>
  <si>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</si>
  <si>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</si>
  <si>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</si>
  <si>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</si>
  <si>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</si>
  <si>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</si>
  <si>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</si>
  <si>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</si>
  <si>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</si>
  <si>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</si>
  <si>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</si>
  <si>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</si>
  <si>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</si>
  <si>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</si>
  <si>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</si>
  <si>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</si>
  <si>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</si>
  <si>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</si>
  <si>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</si>
  <si>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</si>
  <si>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</si>
  <si>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</si>
  <si>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</si>
  <si>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</si>
  <si>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</si>
  <si>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</si>
  <si>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</si>
  <si>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</si>
  <si>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</si>
  <si>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</si>
  <si>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</si>
  <si>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</si>
  <si>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</si>
  <si>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</si>
  <si>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</si>
  <si>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</si>
  <si>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</si>
  <si>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</si>
  <si>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</si>
  <si>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</si>
  <si>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</si>
  <si>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</si>
  <si>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</si>
  <si>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</si>
  <si>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</si>
  <si>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</si>
  <si>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</si>
  <si>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</si>
  <si>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</si>
  <si>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</si>
  <si>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</si>
  <si>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</si>
  <si>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</si>
  <si>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</si>
  <si>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</si>
  <si>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</si>
  <si>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</si>
  <si>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</si>
  <si>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</si>
  <si>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</si>
  <si>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</si>
  <si>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</si>
  <si>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</si>
  <si>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</si>
  <si>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</si>
  <si>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</si>
  <si>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</si>
  <si>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</si>
  <si>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</si>
  <si>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</si>
  <si>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</si>
  <si>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</si>
  <si>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</si>
  <si>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</si>
  <si>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</si>
  <si>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</si>
  <si>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</si>
  <si>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</si>
  <si>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</si>
  <si>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</si>
  <si>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</si>
  <si>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</si>
  <si>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</si>
  <si>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</si>
  <si>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</si>
  <si>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</si>
  <si>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</si>
  <si>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</si>
  <si>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</si>
  <si>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</si>
  <si>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</si>
  <si>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</si>
  <si>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</si>
  <si>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</si>
  <si>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</si>
  <si>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</si>
  <si>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</si>
  <si>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</si>
  <si>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</si>
  <si>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</si>
  <si>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</si>
  <si>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</si>
  <si>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</si>
  <si>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</si>
  <si>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</si>
  <si>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</si>
  <si>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</si>
  <si>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</si>
  <si>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</si>
  <si>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2. Realizar ejercicios de capacitación y referenciación para reconocer las tendencias y buenas prácticas en el ejercicio de la auditoria interna.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</si>
  <si>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</si>
  <si>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</si>
  <si>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</si>
  <si>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</si>
  <si>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</si>
  <si>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Detective</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</si>
  <si>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</si>
  <si>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</si>
  <si>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</si>
  <si>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</si>
  <si>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</si>
  <si>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</si>
  <si>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</si>
  <si>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</si>
  <si>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</si>
  <si>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</si>
  <si>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</si>
  <si>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</si>
  <si>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</si>
  <si>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</si>
  <si>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</si>
  <si>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</si>
  <si>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</si>
  <si>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</si>
  <si>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</si>
  <si>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</si>
  <si>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</si>
  <si>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</si>
  <si>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</si>
  <si>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</si>
  <si>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</si>
  <si>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</si>
  <si>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</si>
  <si>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</si>
  <si>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</si>
  <si>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</si>
  <si>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</si>
  <si>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</si>
  <si>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</si>
  <si>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</si>
  <si>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</si>
  <si>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</si>
  <si>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</si>
  <si>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</si>
  <si>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</si>
  <si>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</si>
  <si>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</si>
  <si>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</si>
  <si>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</si>
  <si>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</si>
  <si>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</si>
  <si>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</si>
  <si>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</si>
  <si>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</si>
  <si>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</si>
  <si>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</si>
  <si>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</si>
  <si>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</si>
  <si>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</si>
  <si>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</si>
  <si>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</si>
  <si>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</si>
  <si>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</si>
  <si>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</si>
  <si>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</si>
  <si>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</si>
  <si>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</si>
  <si>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</si>
  <si>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</si>
  <si>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</si>
  <si>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</si>
  <si>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</si>
  <si>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</si>
  <si>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</si>
  <si>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</si>
  <si>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</si>
  <si>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</si>
  <si>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</si>
  <si>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</si>
  <si>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</si>
  <si>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</si>
  <si>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</si>
  <si>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</si>
  <si>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</si>
  <si>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</si>
  <si>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</si>
  <si>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</si>
  <si>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</si>
  <si>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</si>
  <si>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</si>
  <si>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</si>
  <si>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</si>
  <si>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</si>
  <si>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</si>
  <si>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</si>
  <si>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</si>
  <si>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</si>
  <si>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</si>
  <si>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</si>
  <si>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</si>
  <si>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</si>
  <si>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</si>
  <si>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</si>
  <si>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</si>
  <si>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</si>
  <si>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</si>
  <si>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</si>
  <si>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</si>
  <si>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</si>
  <si>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</si>
  <si>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</si>
  <si>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</si>
  <si>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</si>
  <si>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</si>
  <si>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</si>
  <si>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</si>
  <si>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</si>
  <si>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</si>
  <si>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</si>
  <si>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</si>
  <si>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</si>
  <si>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</si>
  <si>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</si>
  <si>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</si>
  <si>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</si>
  <si>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</si>
  <si>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</si>
  <si>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</si>
  <si>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</si>
  <si>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</si>
  <si>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</si>
  <si>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</si>
  <si>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</si>
  <si>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</si>
  <si>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</si>
  <si>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</si>
  <si>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</si>
  <si>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</si>
  <si>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</si>
  <si>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</si>
  <si>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</si>
  <si>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</si>
  <si>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</si>
  <si>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Falta de conocimiento frente a la norma, la política y al manejo de las PQRS.</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</si>
  <si>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</si>
  <si>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</si>
  <si>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</si>
  <si>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</si>
  <si>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</si>
  <si>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</si>
  <si>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</si>
  <si>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</si>
  <si>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</si>
  <si>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</si>
  <si>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</si>
  <si>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</si>
  <si>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</si>
  <si>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</si>
  <si>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</si>
  <si>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</si>
  <si>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</si>
  <si>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</si>
  <si>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</si>
  <si>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</si>
  <si>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</si>
  <si>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</si>
  <si>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</si>
  <si>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</si>
  <si>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</si>
  <si>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</si>
  <si>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</si>
  <si>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</si>
  <si>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</si>
  <si>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</si>
  <si>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</si>
  <si>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</si>
  <si>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</si>
  <si>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</si>
  <si>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</si>
  <si>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</si>
  <si>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</si>
  <si>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3. Documentar dentro del estatuto de auditoría los lineamientos en materia de protección y uso no autorizado de la información obtenida durante el ejercicio de auditoría y 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</si>
  <si>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</si>
  <si>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</si>
  <si>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</si>
  <si>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</si>
  <si>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</si>
  <si>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</si>
  <si>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</si>
  <si>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</si>
  <si>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</si>
  <si>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</si>
  <si>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</si>
  <si>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Afectación reputacional debido al incumplimiento en la generación de respuestas de PQRS por falta de atención oportuna a las mismas.</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</si>
  <si>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</si>
  <si>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Cada vez que exista una capacitación superior a 8 horas</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</si>
  <si>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</si>
  <si>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</si>
  <si>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</si>
  <si>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</si>
  <si>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</si>
  <si>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</si>
  <si>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</si>
  <si>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</si>
  <si>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</si>
  <si>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</si>
  <si>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</si>
  <si>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</si>
  <si>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</si>
  <si>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</si>
  <si>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</si>
  <si>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</si>
  <si>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Posibilidad de aceptar o solicitar dádivas para estructurar documentos técnicos preliminares orientados a un interés particular.</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</si>
  <si>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</si>
  <si>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</si>
  <si>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</si>
  <si>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</si>
  <si>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</si>
  <si>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</si>
  <si>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</si>
  <si>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Informar al jefe inmediato para dar lineamientos.
Garantizar el profesional idóneo para la formulación e implementación del plan de SST.</t>
  </si>
  <si>
    <t>Posibilidad de que por acción u omisión se efectúen operaciones de salida de recursos o inversiones sin autorización, para beneficio propio o de terceros.</t>
  </si>
  <si>
    <r>
      <t xml:space="preserve">Los funcionarios de la Empresa cada vez que asisten a una capacitación superior a 8 horas deben ejecutar el Plan Padrino definido en la </t>
    </r>
    <r>
      <rPr>
        <b/>
        <i/>
        <sz val="10"/>
        <color theme="1"/>
        <rFont val="Arial Narrow"/>
        <family val="2"/>
      </rPr>
      <t>GI-35 Guía para implementar el programa Plan Padrino Entornos Enseñar - Aprender</t>
    </r>
    <r>
      <rPr>
        <sz val="10"/>
        <color theme="1"/>
        <rFont val="Arial Narrow"/>
        <family val="2"/>
      </rPr>
      <t>, como evidencia  de su ejecución se realiza el envió a la Subgerencia de Gestión Corporativa del formato</t>
    </r>
    <r>
      <rPr>
        <i/>
        <sz val="10"/>
        <color theme="1"/>
        <rFont val="Arial Narrow"/>
        <family val="2"/>
      </rPr>
      <t xml:space="preserve"> FT- 141 Evaluación de las actividades de capacitación</t>
    </r>
    <r>
      <rPr>
        <sz val="10"/>
        <color theme="1"/>
        <rFont val="Arial Narrow"/>
        <family val="2"/>
      </rPr>
      <t xml:space="preserve"> o la Encuesta de satisfacción de programas de capacitación de Google Forms que se remite vía correo electrónico.
Así mismo, treinta (30) días hábiles posteriores a la culminación del Plan Padrino, los apadrinados y sus jefes inmediatos que pertenecen a la planta de personal de la Empresa, diligencian el formato </t>
    </r>
    <r>
      <rPr>
        <i/>
        <sz val="10"/>
        <color theme="1"/>
        <rFont val="Arial Narrow"/>
        <family val="2"/>
      </rPr>
      <t>FT-142 Medición de impacto de la capacitación</t>
    </r>
    <r>
      <rPr>
        <sz val="10"/>
        <color theme="1"/>
        <rFont val="Arial Narrow"/>
        <family val="2"/>
      </rPr>
      <t xml:space="preserve"> y lo remiten a la Subgerencia de Gestión Corporativa.</t>
    </r>
  </si>
  <si>
    <t>Posibilidad de que, por acción u omisión, se use el poder para manipular de manera indebida los procesos judiciales para favorecer un interés particular.</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</si>
  <si>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 Las decisiones tomadas quedan registradas en las actas de seguimiento a los procesos judiciales donde se plasma la estrategia del abogado y las demás recomendaciones de sus compañeros.</t>
  </si>
  <si>
    <t>El Dependiente Judicial realiza control y vigilancia a los procesos judiciales a través de la Matriz de Seguimiento, en la cual se dejan las alertas que correspondan como insumo para los apoderados.</t>
  </si>
  <si>
    <t>Los abogados deben cargar las fichas y las actas del Comité de Defensa Judicial, Conciliación y Repetición al SIPROJ WEB.</t>
  </si>
  <si>
    <t>Revisión del estado general de los procesos dentro del Comité de Autoevaluación.</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</si>
  <si>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</si>
  <si>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</si>
  <si>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</si>
  <si>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Posibilidad de que por acción, omisión o abuso de poder, se profieran decisiones a favor o en contra de los sujetos procesales en beneficio propio o de terceros.</t>
  </si>
  <si>
    <t>Posibilidad de afectación reputacional por la materialización de la figura jurídica de la prescripción establecida en la ley, debido a debilidades en el debido control de los términos que permita que se tomen las decisiones de fondo en los plazos establecidos.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</si>
  <si>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</si>
  <si>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</si>
  <si>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</si>
  <si>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</si>
  <si>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</si>
  <si>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Debilidades en el debido control de los términos que permita que se tomen las decisiones de fondo en los plazos establecidos.</t>
  </si>
  <si>
    <t>Presiones indebidas por un tercero o un superior jerárquico.
Recibir o solicitar dádivas o beneficios a nombre propio o de un tercero.</t>
  </si>
  <si>
    <t>Interés particular del servidor público.</t>
  </si>
  <si>
    <t>Elaborar un informe para ser enviado al superior jerárquico o al ente de control competente, dependiendo de la naturaleza del cargo.</t>
  </si>
  <si>
    <t>En cada etapa de la instrucción la Abogada sustanciadora verifica los términos establecidos en la ley en el archivo de seguimiento disponible en Drive y a partir de ello, proyecta las decisiones las cuales son entregadas al Jefe de la Oficina de Control Disciplinario Interno, quien verifica los términos y las decisiones a tomar de acuerdo a la norma. En caso de encontrar prescripciones se toma la decisión de terminar el proceso a través de auto.</t>
  </si>
  <si>
    <t>Posibilidad de que, por acción u omisión, se use el poder para uso indebido de información privilegiada para favorecimiento de un interés particular.</t>
  </si>
  <si>
    <t>Cada vez que se requiera, el Equipo de Estudios Previos realiza la revisión del anexo técnico aportado por el área generadora de la necesidad del proceso de contratación y elabora los documentos técnicos (Estudios previos, Anexo económico y matriz de riesgos),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y aval inicial previos al Comité de Contratación. El Subgerente de Desarrollo de Proyectos realiza la radicación de los documentos de estudios previos a la Dirección de Gestión Contractual, solicitando agendamiento del comité de contratación y adelantar el proceso de selección correspondiente.
Luego, la Dirección de Gestión Contractual presenta el proyecto para recomendación del Comité de Contratación, se atienden las observaciones (cuando aplique) y finalmente la Dirección de Gestión Contractual elabora los términos de referencia correspondientes. Si el proceso se debe adelantar con recursos de Fiducia, se presenta al Comité Fiduciario para aprobación. Una vez aprobado por este Comité se remite al área jurídica de la Fiducia para revisión de los términos de referencia y posterior publicación por parte de la DGC en SECOP II.</t>
  </si>
  <si>
    <t>Socializar el riesgo identificado de corrupción, los controles establecidos en el procedimiento PD-95 Estructuración del proceso de selección de contratistas para los proyectos que adelante la Empresa, la Política operativa de Integridad, Conflicto de Intereses y Gestión Anti soborno y el Código de Integridad.</t>
  </si>
  <si>
    <t>Posibilidad de que, por acción u omisión, haya uso indebido de información privilegiada para favorecimiento de un interés particular.</t>
  </si>
  <si>
    <t>Cada vez que se requiere llevar a cabo una contratación, el abogado de la Subgerencia de Gestión Urbana,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El Subgerente de Gestión Urbana de manera permanente ejerce la supervisión en las diferentes actividades que se adelantan en la Subgerencia por parte de los contratistas, en las que se pueden identificar situaciones que generen riesgo en el manejo de información privilegiada del área. En caso de encontrar inconsistencias se reportan las alarmas a los organismos de Control Interno y externo correspondiente, absteniéndose de emitir el Certificado de Cumplimiento.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y externo correspondiente.</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</si>
  <si>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</si>
  <si>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</si>
  <si>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La Gestora del Sistema de Información de Procesos Judiciales SIPROJ verifica mensualmente que los abogados, una vez se genere cualquier actuación judicial, actualicen el SIPROJ adjuntando la respectiva documentación. En caso de encontrar desviaciones se solicita la actualización inmediata de la información a través de correo electrónico.</t>
  </si>
  <si>
    <t>Al inicio de cada vigencia el Gestor Senior 1 y el delegado para la empresa ante la Alcaldía Mayor de Bogotá,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</si>
  <si>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A demanda</t>
  </si>
  <si>
    <t>El Gestor Senior 1 de atención al ciudadano cada vez que ingresa un colaborador genera la inducción en las temáticas de Atención al Ciudadano, resultado de esta reunión quedan las grabaciones y las listas de asistencia.</t>
  </si>
  <si>
    <t>El Servidor del punto de contacto envía al profesional de Atención al Ciudadano al finalizar el mes el reporte de las quejas y reclamos, para que sea incorporado en el registro en la Matriz de seguimiento a quejas y reclamos y de acuerdo con la magnitud de la queja o reclamo los mismos son elevados al Comité Institucional de Gestión y Desempeño. De otra parte, el profesional Gestor 1 de Atención al Ciudadano realiza el alcance al seguimiento del informe mensual de calidad en las respuestas emitido por la Alcaldía Mayor de Bogotá, mediante comunicado interno informando el incumplimiento en los criterios de la oportunidad, calidez, la calidad, coherencia y manejo del sistema, PQRS, a las áreas solicitando un plan de mejoramiento, en los casos que corresponda.</t>
  </si>
  <si>
    <t>Realizar jornadas de reinducción y capacitación del manejo del sistema Bogotá te escucha.</t>
  </si>
  <si>
    <t>Cada vez que se inicia una indagación previa se verifican las pruebas existentes y la Abogada sustanciadora proyecta el auto de apertura de investigación disciplinaria, posteriormente de acuerdo a los términos y con base en las pruebas que hayan sido allegadas dentro de los expedientes disciplinarios por las áreas o entidades a las que se les solicitó, se elabora pliego de cargos o el auto de terminación y archivo correspondiente y lo entrega al Jefe de la Oficina de Control Disciplinario Interno, quien verifica el sentido del acto administrativo con fundamento en la documentación entregada y determina si está ajustada o no la decisión a derecho.</t>
  </si>
  <si>
    <t>Mensualmente se realizan reuniones donde se revisan los expedientes priorizados en los que el recaudo de pruebas se haya finalizado, llegando a un acuerdo respecto de la decisión que se adoptará con las pruebas recaudadas y en ese sentido la abogada sustanciadora elabora el proyecto, igualmente se hace seguimiento a las solicitudes de pruebas dentro de los expedientes que se encuentren en términos para tomar decisiones respecto de la formulación de cargos o del auto de terminación y archivo definitivo.</t>
  </si>
  <si>
    <t>Respuestas a los ciudadanos que incumplen los criterios de calidad.</t>
  </si>
  <si>
    <t>Posibilidad de afectación reputacional por respuestas a los ciudadanos que incumplen los criterios de calidad debido a falta de conocimiento frente a la norma, la política y al manejo del sistema de PQRS.</t>
  </si>
  <si>
    <t>En los casos que corresponda se emite un memorando a la dependencia en la que se presenta la situación con copia a Oficina de Control Interno reportando el hecho y se solicita reinducción y/o capacitación y plan mejoramiento</t>
  </si>
  <si>
    <t>Dar traslado con el auto de prescripción a la Personería o a la Procuraduría para que se tomen las decisiones pertinentes.</t>
  </si>
  <si>
    <t>Gestión del Conocimiento y la Innovación</t>
  </si>
  <si>
    <t>Desarrollar y fortalecer la Gestión del Conocimiento e Innovación de la Empresa, mediante la adopción e implementación de instrumentos, herramientas, metodologías y acciones innovadoras que permitan materializar ideas, generar y preservar el conocimiento, tomar decisiones basada en evidencias y generar una cultura de innovación que conlleven al mejoramiento del desempeño de la organización.</t>
  </si>
  <si>
    <t>Inicia con la gestión de conocimiento de la empresa, así como la definición de las temáticas, líneas y retos de innovación, comprende la implementación de mecanismos para generación o construcción del conocimiento y la innovación, su sistematización o documentación y finaliza con la disposición y socialización de las lecciones aprendidas y productos de conocimiento.</t>
  </si>
  <si>
    <t>Fuga de conocimiento.</t>
  </si>
  <si>
    <t>Desactualización del conocimiento tácito y explícito.</t>
  </si>
  <si>
    <t>Posibilidad de afectación reputacional por la fuga del conocimiento debido a la desactualización del conocimiento tácito y explícito de los procesos.</t>
  </si>
  <si>
    <t>Documentar los lineamientos para controlar la fuga del conocimiento, así como la definición de las herramientas de monitoreo y seguimiento.</t>
  </si>
  <si>
    <t>Acción de Contingencia ante posible materialización</t>
  </si>
  <si>
    <t>Generar espacios con los involucrados, para realizar el levantamiento de la información, documentarla, publicarla y socializarla.</t>
  </si>
  <si>
    <t>Se establecerá una vez se tengan definidos los  lineamientos para controlar la fuga del conocimiento.</t>
  </si>
  <si>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</si>
  <si>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</si>
  <si>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</si>
  <si>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</si>
  <si>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</si>
  <si>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</si>
  <si>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</si>
  <si>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 de Cumplimiento</t>
  </si>
  <si>
    <t>Describa las actividades desarrolladas para dar cumplimiento a las acciones de tratamiento establecidas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</si>
  <si>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</si>
  <si>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</si>
  <si>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</si>
  <si>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</si>
  <si>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</si>
  <si>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</si>
  <si>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Mapa Riesgos Institucional Empresa de Renovación y Desarrollo Urbano de Bogotá - 2023</t>
  </si>
  <si>
    <t>Para el seguimiento se trabaja con una herramienta diseñada para llevar el control de los pagos</t>
  </si>
  <si>
    <t>X</t>
  </si>
  <si>
    <t>N/A</t>
  </si>
  <si>
    <t>La Subgerencia de Planeación y Administración de Proyectos elaboró una propuesta del Plan de Acción Institucional 2023, con el objetivo de garantizar su alineación con el Plan Estratégico “Súmate” y con los lineamientos de la Gerencia de las acciones denominadas legado que son parte de la prioridad de la administración para contribuir al cumplimiento de los objetivos. Dicho Plan fue enviado por correo electrónico a los responsables de las actividades propuestas, para su revisión, ajustes y aprobación. Una vez realizados los ajustes propuestos por las áreas, el Plan de Acción Institucional 2023 consolidado fue presentado al Comité Institucional de Gestión y Desempeño, el cual fue aprobado en sesión del 27 de enero del 2023 y publicado en la sección Transparencia de la página web de la empresa.
En cuanto al seguimiento al plan de acción, se emitieron los lineamientos respectivos, y una vez recibida la información reportada por los diferentes procesos, se validó de manera conjunta con los profesionales de la Subgerencia de Planeación y Administración de Proyectos, para garantizar su alineación con los objetivos, coherencia y que esté acorde con la programación establecida. Posteriormente, se presentó ante Comité Institucional de Gestión y Desempeño en sesión del 22 de marzo del 2023, el primer seguimiento con corte a febrero 2023. Adicionalmente, se realiza seguimiento mensual al plan de acción y se solicita mediante correo electrónico su reporte. 
Por lo anterior, se puede concluir que ha sido efectivo el control y la acción definidas, pues una vez aplicados, no se ha materializado el riesgo.</t>
  </si>
  <si>
    <t>Correos enviando propuesta Plan de Acción Institucional.
Publicación del plan de acción en la sección Transparencia (http://eru.gov.co/es/transparencia/planeacion-presupuesto-e-informes/plan-de-accion?title=&amp;field_subcategoria_planeacion_value=7) 
Actas del 27 de enero y 22 de marzo del Comité Institucional de Gestión y Desempeño.
Correos solicitando seguimiento con lineamientos.
Presentaciones utilizadas en las sesiones del Comité.</t>
  </si>
  <si>
    <t xml:space="preserve">Con la participación de todos los líderes de los diferentes procesos, se revisó y ajustó el Plan de Acción Institucional 2023 a finales de la vigencia 2022, la cual se puso a disposición a través de las redes sociales y demás medios de comunicación interna y externa, para que los servidores públicos, los contratistas, la ciudadanía y las demás partes interesadas lo conocieran, debatieran, y formularan sus apreciaciones, sugerencias y propuestas sobre el mismo. 
La divulgación se realizó desde el 6 de diciembre de 2022 y el plazo para participar fue hasta el 13 de enero de 2023, y es importante resaltar, que se utilizó el espacio Conoce, propone y prioriza, de la página web, promoviendo así el acceso a estrategias de transparencia, de participación y de colaboración, de tal manera que nuestros grupos de valor además del Mapa, puedan conocer, proponer y priorizar soluciones a los retos de nuestra ciudad.
Como resultado de estos ejercicios de participación, no se recibieron sugerencias u observaciones al Plan, el cual fue publicado y socializado de manera particular al equipo de Líderes Operativos.
Con lo anterior, la Empresa de la mano de los diferentes grupos de interés, logró la construcción participativa del Plan Anticorrupción y de Atención al Ciudadano y Mapa de Riesgos Institucional 2023, que se encuentra publicado en la eruNET y en la sección de Transparencia &gt;&gt; Planeación, presupuesto e informes &gt;&gt; Plan de acción de la página web de la empresa. </t>
  </si>
  <si>
    <t xml:space="preserve">
Evidencias:
- Informe de resultados construcción participativa del plan anticorrupción y atención al ciudadano vigencia 2023, publicado en http://eru.gov.co/transparencia/participa/construccion-participativa-de-planes
- Plan de Acción Institucional 2023, publicado en la eruNET y en la sección de Transparencia &gt;&gt; Planeación, presupuesto e informes &gt;&gt; Plan de acción de la página web de la empresa.</t>
  </si>
  <si>
    <t>No aplica</t>
  </si>
  <si>
    <t>Para el seguimiento al plan de acción, se emitieron los lineamientos respectivos, y una vez recibida la información reportada por los diferentes procesos, se validó de manera conjunta con los profesionales de la Subgerencia de Planeación y Administración de Proyectos, para garantizar su alineación con los objetivos, coherencia y que esté acorde con la programación establecida. Posteriormente, se presentó ante Comité Institucional de Gestión y Desempeño en sesión del 22 de marzo del 2023, el primer seguimiento con corte a febrero 2023. Adicionalmente, se realiza seguimiento mensual al plan de acción y se solicita mediante correo electrónico su reporte. 
Por lo anterior, se puede concluir que ha sido efectivo el control y la acción definidas, pues una vez aplicados, no se ha materializado el riesgo.</t>
  </si>
  <si>
    <t>Correo enviando propuesta Plan de Acción Institucional.
Publicación del plan de acción en la sección Transparencia (http://eru.gov.co/es/transparencia/planeacion-presupuesto-e-informes/plan-de-accion?title=&amp;field_subcategoria_planeacion_value=7) 
Actas del 27 de enero y 22 de marzo del Comité Institucional de Gestión y Desempeño.
Correos solicitando seguimiento con lineamientos.
Presentaciones utilizadas en las sesiones del Comité.</t>
  </si>
  <si>
    <t>Durante los meses de marzo y abril, se realizaron reuniones de seguimiento, cuyas observaciones fueron enviadas a los enlaces y responsables para su revisión y ajustes correspondientes.</t>
  </si>
  <si>
    <t>Correos con observaciones a los seguimientos al plan de acción 2023</t>
  </si>
  <si>
    <t>Se establecerá una vez se tengan definidos los lineamientos para controlar la fuga del conocimiento.</t>
  </si>
  <si>
    <t>No aplica.</t>
  </si>
  <si>
    <t>N.A.</t>
  </si>
  <si>
    <r>
      <t>La Subgerencia de Planeación y Administración de Proyectos, estableció en la sección</t>
    </r>
    <r>
      <rPr>
        <b/>
        <sz val="10"/>
        <color theme="1"/>
        <rFont val="Arial Narrow"/>
        <family val="2"/>
      </rPr>
      <t xml:space="preserve"> 4.2.4 Monitoreo a los mapas de conocimiento por proceso</t>
    </r>
    <r>
      <rPr>
        <sz val="10"/>
        <color theme="1"/>
        <rFont val="Arial Narrow"/>
        <family val="2"/>
      </rPr>
      <t xml:space="preserve"> de la </t>
    </r>
    <r>
      <rPr>
        <b/>
        <sz val="10"/>
        <color theme="1"/>
        <rFont val="Arial Narrow"/>
        <family val="2"/>
      </rPr>
      <t xml:space="preserve">Guía para la construcción y actualización de mapas de conocimiento </t>
    </r>
    <r>
      <rPr>
        <sz val="10"/>
        <color theme="1"/>
        <rFont val="Arial Narrow"/>
        <family val="2"/>
      </rPr>
      <t>"</t>
    </r>
    <r>
      <rPr>
        <i/>
        <sz val="10"/>
        <color theme="1"/>
        <rFont val="Arial Narrow"/>
        <family val="2"/>
      </rPr>
      <t>el monitoreo sobre los mapas de conocimiento lo deben adelantar los líderes de proceso en conjunto con sus equipos de trabajo monitoreando y revisando la información publicada y si corresponde ajustarlo</t>
    </r>
    <r>
      <rPr>
        <sz val="10"/>
        <color theme="1"/>
        <rFont val="Arial Narrow"/>
        <family val="2"/>
      </rPr>
      <t>", en línea con lo anterior, y en aras de contar con una herramienta que permita evitar la fuga de conocimiento en la empresa, en la mesa de líderes operativos realizada en el mes de enero, se solicitó que de acuerdo con el lineamiento documentado, debían actualizar los mapas de conocimiento en los casos que correspondiera, para lo cual se adelantaron mesas de trabajo con los procesos y como resultado de ello, se cuenta con la herramienta "Mapa de conocimiento" actualizado a la fecha.
De acuerdo con este trabajo, se realizará la documentación del control.</t>
    </r>
  </si>
  <si>
    <t>Los contratos suscritos en la vigencia para la Oficina de Gestión Social, cuentan con la obligación " Guardar estricta reserva sobre toda la información y documentos que tenga acceso, maneje en desarrollo de su actividad o que llegue a conocer en desarrollo del contrato y que no tenga carácter de pública. En consecuencia, se obliga a no divulgar por ningún medio dicha información o documentos a terceros, sin la previa autorización escrita de la EMPRESA."; se ponen como evidencia los 24 contratos suscritos: 160-2023, 211-2023,212-2023, 214-2023, 226-2023, 229-2023, 231-2023. 233-2023, 234-2023, 236-2023, 237-2023, 242-2023, 243-2023, 244-2023, 246-2023, 254-2023, 255-2023, 258-2023, 259-2023, 260-2023, 261-2023, 262-2023, 266-2023 y 271-2023</t>
  </si>
  <si>
    <t xml:space="preserve">- Acta de comité de autoevaluación </t>
  </si>
  <si>
    <t>De acuerdo a las metas plan de desarrollo (2020 - 2024) establecidas, la Subgerencia definió 5 ámbitos territoriales, con el fin de realizar un análisis urbano regional, identificar y evaluar áreas de oportunidad que han permitido de acuerdo con su priorización, la formulación de proyectos de Desarrollo y Renovación Urbana. A continuación, se listan los Planes Parciales De Renovación Urbana que se encuentra en proceso de formulación para el periodo 2023
1. PIEZA CENTRO: 
• Plan Parcial de Renovación Urbana Centro San Bernardo                                                                                                             
2. BORDES
• Modificación de Formulación de Plan Parcial Tres Quebradas
3. REENCUENTRO:  
• Modificación del Plan Parcial de Renovación Urbana Estación calle 26
• Formulación de Plan Parcial de Renovación Urbana Calle 24
4. CORREDORES:  
• Formulación del Plan Parcial de Renovación Urbana CALLE 72
5. AGLOMERACIONES ECONÓMICAS:
• Apoyo a la formulación del instrumento de planeamiento  en la definición e incorporación de  propuesta estratégica de reactivación económica.
Se actualización los cronogramas de actividades e hitos para la formulación , radicación y adopción de los planes parciales, sobre los cuales se realiza seguimiento al cumplimiento de actividades.</t>
  </si>
  <si>
    <t>- Cronogramas actualizados de los proyectos</t>
  </si>
  <si>
    <t>- Caracterización proceso Formulación de instrumentos actualizada</t>
  </si>
  <si>
    <t>Como parte de la trazabilidad de los proyectos se mantiene la evidencia de los seguimientos y decisiones con las diferentes entidades que participan en la formulación de proyectos mediante actas de reuniones en las carpetas de cada proyecto.</t>
  </si>
  <si>
    <t>- Actas de reuniones con entidades</t>
  </si>
  <si>
    <t xml:space="preserve">Durante el primer trimestre de 2023 se actualizó la base de datos de consultores con alto grado de experticia para la elaboración de estudios técnicos. </t>
  </si>
  <si>
    <t>- Bases de datos de experticia de consultores</t>
  </si>
  <si>
    <t xml:space="preserve">Mediante el FUSS (formato único de seguimiento sectorial), ciclo de estructuración de proyectos plan de acción  e indicadores de gestión se realiza seguimiento al cumplimiento de las actividades de la formulación de proyectos. </t>
  </si>
  <si>
    <t>- Seguimiento FUSS</t>
  </si>
  <si>
    <t xml:space="preserve">RAD: </t>
  </si>
  <si>
    <t>La Dirección de Gestión Contractual adelanta seguimiento a los tramites a través de la base de datos, esta misma se actualiza  de conformidad con los tramites radicados y gestionados en la DGC, de esta manera en caso de ser devueltos los procesos contractuales por no cumplir con lo establecido con lo dispuesto en SIG se adelanta el seguimiento correspondiente en esta herramienta.</t>
  </si>
  <si>
    <t xml:space="preserve">El seguimiento se adelanta a través de una aplicación a la cual tienen acceso todos los colaboradores de la DGC, en la cual se evidencia información importante, tal como fecha de radicado, días que lleva en gestión, tipo de tramite, abogado asignado, entre otros.
https://datastudio.google.com/embed/u/0/reporting/aca42cb0-a1c6-44e1-ba88-9a5e5b4d6b57/page/p_r3pc1j82sc </t>
  </si>
  <si>
    <t>Socialización de los formatos actualizados en la presente vigencia a través de correo electrónico y lista de asistencia a reunión de socialización.</t>
  </si>
  <si>
    <t xml:space="preserve">Se elaboró en conjunto con la Dirección de calidad del servicio de la Alcaldía Mayor de Bogotá el cronograma de cualificaciones para la vigencia 2023. </t>
  </si>
  <si>
    <t>Acta de reunión y programación</t>
  </si>
  <si>
    <t>Se anexa memorando</t>
  </si>
  <si>
    <t>Se realizó retroalimentación con el servidor y se continuó con a convocatoria a capacitaciones funcionales</t>
  </si>
  <si>
    <t>Listado de Asistencia, matriz de asistencia a capacitaciones funcionales</t>
  </si>
  <si>
    <t>Acta de reunión No. 1 de fecha 31 de enero de 2023.                                                                                                                                                                                                                                                                                                                                                                                                                                                    Acta de reunión No. 2 de fecha 22 de febrero de 2023.                                                                                                                                                                                                                                                                                                                                                                                                                                                           Acta de reunión No. 3 de fecha 3 de marzo de 2023.                                                                                                                                                                                                                                                                                                                                                                                                                                                Acta de reunión No. 4 de fecha 15 de abril de 2023                                                                                                                                                                                                                                                                                                                                                                                                                                                       Es importante informar qué estos proceso cuentan con reserva de la parte instructiva, por lo tanto, no se puede aportar las actas ya que contienen las pruebas que se solicitaron dentro de los proceso y las decisiones tomadas por la Oficina de Control Disciplinario Interno.</t>
  </si>
  <si>
    <t xml:space="preserve">Seguimiento disponible en Drive denominado seguimiento de los procesos disciplinarios, compartido con la profesional y jefe de la oficina y Actas de reunión:                                                                                                                                                                                                                    No. 1 de fecha 31 de enero de 2023.                                                                                                                                                                                                                                                                                                                                                                                                                                                                                 No. 2  de fecha 22 de febrero de 2022                                                                                                                                                                                                                                                                                                                                                                                                                                                           No. 3 de No. 3 de fecha 3 de marzo de 2023.                                                                                                                                                                                                                                                                                                                                                                                                                                                                                   No. 4 de fecha 15 de abril de 2023                                                                                                                                                                                                                                                                                                                                                                                                                                                                                      </t>
  </si>
  <si>
    <t xml:space="preserve">Acta de reunión No. 1 de fecha 24 de enero de 2023. Acta de reunión No. 2 de fecha 9 de febrero de 2023. Acta de reunión No. 3 de fecha 6 de marzo de 2023. Acta de reunión No. 4 de fecha 17 de abril de 2023. </t>
  </si>
  <si>
    <t>Seguimiento disponible en Drive compartido con la profesional y jefe de la oficina y Actas de reunión:                                       Acta No. 1 de fecha 24 de enero de 2022.                                                                                                                                                                                                                                                                                                                                                                                                                                                    Acta No. 2 de fecha 9 de febrero de 2023                                                                                                                                                                                                                                                                                                                                                                                                                                                                      Acta No. 3 de fecha 6 de marzo de 2023.                                                                                                                                                                                                                                                                                                                                                                                                                                                                           Acta No. 4 de fecha 17 de abril de 2023</t>
  </si>
  <si>
    <r>
      <t xml:space="preserve">Se adelantaron los siguientes procesos selección y contratación (se adjuntan radicados, cuando aplique):
*Demolición predios del CASC
*Interventoría obra de demoliciones CASC
*Obras avenida Usminia.
*Obra Usme II IDIPRON
*Interventoría Usme II IDIPRON
*Obra Primeros Auxilios BIC San Bernardo
*Interventoría bienes de interés cultural - Primeros auxilios San Bernardo.
*Interventoría Ciudadela Nuevo Usme
*Proceso principal e interventoría Plan Director Eléctrico - Hospital CHSJD.
</t>
    </r>
    <r>
      <rPr>
        <b/>
        <u/>
        <sz val="10"/>
        <rFont val="Arial Narrow"/>
        <family val="2"/>
      </rPr>
      <t>Comités de Contratación:</t>
    </r>
    <r>
      <rPr>
        <sz val="10"/>
        <color theme="1"/>
        <rFont val="Arial Narrow"/>
        <family val="2"/>
      </rPr>
      <t xml:space="preserve">
Comité de Contratación No.2 de fecha 31 de enero de 2023.</t>
    </r>
  </si>
  <si>
    <t>El 03 de abril de 2023, en reunión de coordinación No.03 de la Subgerencia de Desarrollo de Proyectos, se realizó la Socialización del Mapa de Riesgos V5 (Riesgos del proceso), y de los controles y tratamientos establecidos en el procedimiento PD 95 Estructuración de los procesos de contratista para los proyectos que adelanta la empresa, y para cada uno de los riesgos definidos en el proceso de Ejecución de Proyectos.</t>
  </si>
  <si>
    <t>*2023 04 03  _Acta No. 3
*2023 04 03_ Asistencia Acta No. 3</t>
  </si>
  <si>
    <t>Durante el período, se realizaron las siguientes actividades:
*Actas de aprobación de estudios y diseños (1)
*Actas de recibo parcial de obra seis (6)</t>
  </si>
  <si>
    <r>
      <rPr>
        <b/>
        <u/>
        <sz val="10"/>
        <color theme="1"/>
        <rFont val="Arial Narrow"/>
        <family val="2"/>
      </rPr>
      <t>Proyecto Bronx Distrito Creativo:</t>
    </r>
    <r>
      <rPr>
        <sz val="10"/>
        <color theme="1"/>
        <rFont val="Arial Narrow"/>
        <family val="2"/>
      </rPr>
      <t xml:space="preserve">
*Acta de Aprobación de estudios y diseños Pago 3– Bronx Distrito Creativo - Módulo Creativo 1
</t>
    </r>
    <r>
      <rPr>
        <b/>
        <u/>
        <sz val="10"/>
        <color theme="1"/>
        <rFont val="Arial Narrow"/>
        <family val="2"/>
      </rPr>
      <t>Proyecto Alcaldía de Mártires:</t>
    </r>
    <r>
      <rPr>
        <sz val="10"/>
        <color theme="1"/>
        <rFont val="Arial Narrow"/>
        <family val="2"/>
      </rPr>
      <t xml:space="preserve">
*Acta parcial de obra No. 10 CTO 003 de 2021 - (ALM)
*Acta parcial de obra No. 11 CTO 003 de 2021 - (ALM)
*Acta parcial de obra No. 12 CTO 003 de 2021 - (ALM))
</t>
    </r>
    <r>
      <rPr>
        <b/>
        <u/>
        <sz val="10"/>
        <color theme="1"/>
        <rFont val="Arial Narrow"/>
        <family val="2"/>
      </rPr>
      <t>Proyecto Centro de Talento Creativo</t>
    </r>
    <r>
      <rPr>
        <sz val="10"/>
        <color theme="1"/>
        <rFont val="Arial Narrow"/>
        <family val="2"/>
      </rPr>
      <t xml:space="preserve">
*Acta parcial de obra No.3 CTO 001-2020 (CTC)
*Acta parcial de obra No.4 CTO 001-2020 (CTC)
*Acta parcial de obra No.5 CTO 001-2020 (CTC)
</t>
    </r>
  </si>
  <si>
    <t>Durante el primer cuatrimestre se realizaron los siguientes comités de seguimiento:
Proyecto Alcaldía Local de Mártires: 13 Actas 
Proyecto Centro de Talento Creativo: 8 Actas</t>
  </si>
  <si>
    <r>
      <rPr>
        <b/>
        <sz val="10"/>
        <color theme="1"/>
        <rFont val="Arial Narrow"/>
        <family val="2"/>
      </rPr>
      <t xml:space="preserve">Proyecto Alcaldía Local de Mártires: </t>
    </r>
    <r>
      <rPr>
        <sz val="10"/>
        <color theme="1"/>
        <rFont val="Arial Narrow"/>
        <family val="2"/>
      </rPr>
      <t xml:space="preserve">
Actas: No. 42,43,44,45,46,49,50,51,52,53,54,55 y 56.
</t>
    </r>
    <r>
      <rPr>
        <b/>
        <sz val="10"/>
        <color theme="1"/>
        <rFont val="Arial Narrow"/>
        <family val="2"/>
      </rPr>
      <t>Proyecto Centro de Talento Creativo:</t>
    </r>
    <r>
      <rPr>
        <sz val="10"/>
        <color theme="1"/>
        <rFont val="Arial Narrow"/>
        <family val="2"/>
      </rPr>
      <t xml:space="preserve"> 
Actas de la No.12 a la No.19</t>
    </r>
  </si>
  <si>
    <t>Durante el período se revisaron y verificaron los requisitos mínimos para entrega de obra, para los siguientes proyectos:
*Usme 3: cuatro (4) formatos 
*Usme 1: cuatro (4) formatos
*Colmena: cuatro (4) formatos</t>
  </si>
  <si>
    <t>* FT-193 Req min entrega obra V1_0 - USME 3 - ENERO 2023.
* FT-193 Req min entrega obra V1_0 - USME 3 – FEBRERO 2023.
* FT-193 Req min entrega obra V1_0 - USME 3 - MARZO 2023.
* FT-193 Req min entrega obra V1_0 - USME 3 - ABRIL 2023.
* FT-193 Req min entrega obra V1_0 - USME 1 - ENERO 2023.
* FT-193 Req min entrega obra V1_0 - USME 1 - FEBRERO 2023.
* FT-193 Req min entrega obra V1_0 - USME 1 - MARZO 2023.
* FT-193 Req min entrega obra V1_0 - USME 1 - ABRIL 2023.
*FT-193 Req min entrega obra V1_0 - COLMENA - ENERO 2023.
*FT-193 Req min entrega obra V1_0 - COLMENA - FEBRERO 2023.
*FT-193 Req min entrega obra V1_0 - COLMENA - MARZO 2023.
*FT-193 Req min entrega obra V1_0 - COLMENA - ABRIL 2023.</t>
  </si>
  <si>
    <t>En la reunión de revisión de reportes plan de acción, cronogramas, tablero de proyectos, indicadores de gestión, en el punto 2, teniendo en cuenta el indicador No.5, se realiza la socialización del Riesgo No.3, del Control, del tratamiento y del procedimiento PD- 90 Recibo y entrega de obras y áreas de cesiones públicas.</t>
  </si>
  <si>
    <t>*2023 04 28  _Acta No.1
*2023 04 28_ Asistencia Acta No. 1</t>
  </si>
  <si>
    <t>Se actualizó el inventario al ingreso y la salida del personal.
Se reportó cambios de inventario por parte de Jefes.
El procedimiento PD-59, Administración de Inventarios, está programado para el segundo semestre del 2023.  - Se realizó comité de baja para la salida de tres elementos.</t>
  </si>
  <si>
    <t xml:space="preserve"> Se genera pieza de comunicaciones - socializando el manejo de los bienes.</t>
  </si>
  <si>
    <t>Desde el proceso de Servicios Logísticos se revisó y dio inicio a la ejecución del Plan de Contratación de los bienes y servicios requeridos para la presente vigencia 2023.
En cumplimiento de los roles de supervisión para los contratos de servicios administrativos, mensualmente se realiza el seguimiento administrativo, técnico y financiero a cada uno de los frente a las obligaciones contractuales, verificando el cumplimiento y en este mismo sentido el recibo a satisfacción de los servicios prestados, además de cumplir con la ejecución financiera.</t>
  </si>
  <si>
    <t xml:space="preserve">* A la fecha los bienes y servicios identificados se encuentran reflejados en el Plan de Contratación del proceso.
* Reunión de seguimiento inicio Cto.241-23 </t>
  </si>
  <si>
    <t xml:space="preserve">Para dar inicio a la vigencia se programaron los bienes y servicios de conformidad con el Plan Anual de Adquisiciones- PAA, sin embargo, es importante señalar, que algunas dependencias han requerido servicios no programados inicialmente, por lo que se han realizado modificaciones al Plan de Egresos y PAA, los cuales son validados por el Comité de Contratación. </t>
  </si>
  <si>
    <t xml:space="preserve">Los servicios contratados a la fecha, como es el de Aseo y Cafetería, se realizó a través de la Tienda Virtual - Acuerdo Marco, por lo que no se evidencia riesgo. </t>
  </si>
  <si>
    <t xml:space="preserve">Durante 1er. cuatrimestre se realizaron las siguientes actividades: 
* Seguimiento y Registro de las condiciones ambientales en el deposito de Archivo de la Empresa. 
* Implementación del programa de saneamiento ambiental (fumigación y control de roedores) realizada el 01 de Abril de 2023.
* Seguimiento a condiciones de infraestructura y almacenamiento. 
</t>
  </si>
  <si>
    <t>Se revisan las solicitudes generadas de la herramienta JSP7, generadas por los supervisores y jefes inmediatos de manera adecuada.</t>
  </si>
  <si>
    <t>Teniendo en cuenta el seguimiento a la contratación de los servicios de mantenimiento preventivo y correctivo del hardware de la Empresa, se construye matriz de los equipos a los cuales se les realiza el mantenimiento,</t>
  </si>
  <si>
    <t>Informes contractuales de seguimiento.</t>
  </si>
  <si>
    <t xml:space="preserve">Los colaboradores del proceso de gestión documental realizaron la inserción de los documentos recibidos en los expedientes correspondientes. </t>
  </si>
  <si>
    <t>Se presenta Informe a Secretaria de Ambiente 2022.</t>
  </si>
  <si>
    <t>*Mesas de trabajo con las demás áreas, para incorporar los lineamientos del PACA dentro de los proyectos de inversión.</t>
  </si>
  <si>
    <t>El plan de SST fue aprobado como parte del PETH 2023, en el Comité Institucional de Gestión y Desempeño celebrado el 25 de enero del 2023 y adoptado mediante la resolución No. 019 del 31 de enero del 2023. De acuerdo con el seguimiento, durante el primer trimestre de la presente vigencia, el Plan de SST tiene un avance del 39%; de 44 actividades programadas para el 2023, se han ejecutado 17.
Para verificar el avance, se realiza seguimiento al cronograma a través del Café de Equipo de Talento Humano y la reunión mensual de seguimiento a las actividades de Talento Humano.</t>
  </si>
  <si>
    <t>Para verificar el avance, se realiza seguimiento al cronograma a través de la reunión mensual de seguimiento a las actividades de Talento Humano.</t>
  </si>
  <si>
    <t>Se realizó la actualización de la matriz legal de SST</t>
  </si>
  <si>
    <t>Se realizó la "Encuesta de necesidades y expectativas de talento humano - Plan Estratégico de Talento Humano 2023", en esta participaron 224 personas. 
La encuesta se diligenció entre el 21 de diciembre del 2022 y el 6 de enero del 2023. De igual forma, se remitió un formato de necesidades de capacitación a todos los directivos, con el propósito de identificar las falencias de las áreas, y en la materia. En el primer trimestre, el avance de Bienestar fue del 20.8% y el de capacitación fue de 18.1%</t>
  </si>
  <si>
    <t>Para verificar el avance, se realiza seguimiento al cronograma a través de Equipo de Talento Humano y la reunión mensual de seguimiento a las actividades de Talento Humano.</t>
  </si>
  <si>
    <t>Durante el primer trimestre se realizaron dos capacitaciones por resolución, aprobadas a dos servidores de la Empresa. El promedio de calificación del indicador de impacto de la capacitación es de 4,8; el cual se encuentra dentro del rango de satisfactorio. Ambas capacitaciones aplicaron El Plan Padrino.</t>
  </si>
  <si>
    <t>Se realizó la capacitación de los acuerdos de gestión a los directivos de la Empresa el 3 de febrero del 2023. 
De igual forma, se envió un correo a todos los directivos informando que el último plazo para la suscripción de los acuerdos de gestión del 2023 era el pasado 28 de febrero de la presente vigencia.</t>
  </si>
  <si>
    <t>Se realizó seguimiento a través de correo electrónicos a los directivos de los acuerdos de gestión suscritos en junio del 2022 y para cerrar los acuerdos de gestión del año 2022</t>
  </si>
  <si>
    <t>El formato para suscribir la declaración de impedimentos y conflictos de interés de los auditores se encuentra publicado en la Erunet de la Empresa</t>
  </si>
  <si>
    <t>FT-216 Acuerdo de confidencialidad, declaración de impedimentos, inhabilidades y conflictos de intereses V1</t>
  </si>
  <si>
    <t xml:space="preserve">Acta No. 1 Comité CICCI
http://www.eru.gov.co/es/transparencia/planeacion-presupuesto-e-informes/plan-de-accion?title=auditoria&amp;field_subcategoria_planeacion_value=All </t>
  </si>
  <si>
    <t>A la fecha no se ha realizado capacitaciones</t>
  </si>
  <si>
    <t>1. http://www.eru.gov.co/es/transparencia/planeacion-presupuesto-e-informes/plan-de-accion?title=Plan+anual&amp;field_subcategoria_planeacion_value=All
2.Plan de Trabajo Voto Nacional (Incluye Edificio Formación para el Trabajo)
3. Plan de Trabajo Servicios Administrativos y de apoyo - PIGA - Talento Humano -  Servicios Logísticos
4. Plan de Trabajo Auditoria Bronx Distrito Creativo  - Avance Obra - Cumplimiento cronogramas y ejecución presupuestal
5. Plan de Trabajo Ciclo Auditorias Centro de Formación para el trabajo (SENA)  - Avance Obra - Cumplimiento cronogramas y ejecución presupuestal
6. Plan de Trabajo Auditoria Direccionamiento Estratégico y Gobierno Corporativo</t>
  </si>
  <si>
    <t>1. Reunión de Apertura Auditoria Voto Nacional (Incluye Edificio Formación para el Trabajo)
2. Reunión de Apertura Auditoria Servicios Administrativos y de apoyo - PIGA - Talento Humano -  Servicios Logísticos
3. Reunión de Apertura  Auditoria Bronx Distrito Creativo  - Avance Obra - Cumplimiento cronogramas y ejecución presupuestal
4. Reunión de Apertura  Auditoria Centro de Formación para el trabajo (SENA)  - Avance Obra - Cumplimiento cronogramas y ejecución presupuestal
5. Reunión de Apertura   Auditoria Direccionamiento Estratégico y Gobierno Corporativo</t>
  </si>
  <si>
    <t xml:space="preserve">Matriz de seguimiento de procesos judiciales </t>
  </si>
  <si>
    <t xml:space="preserve">En el periodo de enero- abril 2023,  llegaron  6 tutelas y 90 procesos judiciales y se realizó en ese cuatrimestre el seguimiento a las actuaciones judiciales realizadas en el periodo </t>
  </si>
  <si>
    <t xml:space="preserve">SIPROJ </t>
  </si>
  <si>
    <t xml:space="preserve">Matriz de seguimiento de los procesos judiciales </t>
  </si>
  <si>
    <t xml:space="preserve">Durante el primer cuatrimestre de 2023 se realizó un comité de autoevaluación, donde se contextualizó al equipo sobre la importancia del uso debido de la información y se reiteró la relevancia de la permanente revisión y aplicación del código de integridad de la Empresa, se instó a la incorporación permanente de acciones enmarcadas en la ética profesional y por ende evitar la materialización de riesgos de corrupción. En ese sentido, de acuerdo a lo actuado y a los seguimientos realizados, se concluye que no se ha presentado reporte de la materialización de los riesgos definidos; Se reiteró la relevancia de la participación del equipo a las sesiones de socialización de las actividades programadas por la Subgerencia de Gestión Corporativa, en el marco del código de integridad y la cultura de integridad en cuanto a valores, prácticas y acuerdos de comportamiento.
Se diligenciaron los formatos de seguimiento para la ejecución del plan de gestión de los proyectos San Bernardo Tercer Milenio, Fenicia, Calle 26 Manzana 7 y Proscenio, los cuales se encuentran ubicados en las carpetas de los respectivos proyectos
</t>
  </si>
  <si>
    <t xml:space="preserve">Acta_Comite_Autoevaluacion
Formatos de Seguimiento 
</t>
  </si>
  <si>
    <t>Correo electrónico de aprobación</t>
  </si>
  <si>
    <t xml:space="preserve">
N/A
Durante el primer cuatrimestre 2023 no se han asignado nuevos predios para comercialización</t>
  </si>
  <si>
    <t>SIPROJ WEB</t>
  </si>
  <si>
    <r>
      <t>Todas las actuaciones que se presentaron en los procesos se encuentran cargadas en el SIPROJ -</t>
    </r>
    <r>
      <rPr>
        <sz val="10"/>
        <color rgb="FFFF0000"/>
        <rFont val="Arial Narrow"/>
        <family val="2"/>
      </rPr>
      <t xml:space="preserve"> #</t>
    </r>
  </si>
  <si>
    <t>Recepción de correos. Evaluación de la información. Envío a fiduciarias con observaciones. Reunión para aclarar observaciones.</t>
  </si>
  <si>
    <t>Correos electrónicos. Reuniones en calendario</t>
  </si>
  <si>
    <t>Los acuerdos de niveles de servicios se encuentran incluidos en la actualización de los Manuales Operativos y Manual de Contratación que se encuentra en revisión y aprobación por parte la Dirección de Gestión Contractual</t>
  </si>
  <si>
    <t>Borrador del los manuales operativos de Alianza y Colpatria</t>
  </si>
  <si>
    <t>Los acuerdos de niveles de servicios se encuentran incluidos en la actualización de los Manuales Operativos y Manual de Contratación que se encuentra en revisión y aprobación por parte la Dirección de Gestión Contractual, versión 14 de modificaciones</t>
  </si>
  <si>
    <t>Revisión y diligenciamiento de información en carpeta en drive de la Empresa. Envío al coordinador de fiducias para posterior envío, aprobación y remisión por parte del Subgerente de Gestión Inmobiliaria</t>
  </si>
  <si>
    <t>Trazabilidad seguimiento tramites fiduciarios</t>
  </si>
  <si>
    <t>Actividad finalizada en la vigencia anterior con el nuevo proceso de instrucciones con Scotiabank Colpatria</t>
  </si>
  <si>
    <t>Presentación realizada a la Gerencia ERU</t>
  </si>
  <si>
    <t>Calendario G-Meet - Información sobre la atención virtual realizada.</t>
  </si>
  <si>
    <t>Se reportó de manera mensual la información a actualizar del trámite "Cumplimiento de la obligación VIS-VIP a través de compensación económica" en la Guía de Trámites y Servicios y en el Sistema Único de Información y Trámites - SUIT.</t>
  </si>
  <si>
    <t xml:space="preserve">Semanalmente, la Gerencia de Estructuración de Proyectos, realiza el seguimiento al tablero de proyectos, en el cual se describen los avances y dificultades presentados en los proyectos a su cargo y que son responsabilidad de la SGI. </t>
  </si>
  <si>
    <t>Tablero de control Proyectos</t>
  </si>
  <si>
    <t>Procedimiento PD-75 Actualizado versión 2</t>
  </si>
  <si>
    <t>Se realizan reuniones de seguimiento con los  Fideicomitentes Desarrolladores y Constructores para verificar el estado de ejecución de cada proyecto y los trámites que estén pendientes ante entidades para prestar acompañamiento y realizar gestiones direccionadas a agilizar las aprobaciones y entregas pendientes.</t>
  </si>
  <si>
    <t>Matriz de seguimiento Herramienta de gestión Gerencia de Vivienda y Plan de Acción</t>
  </si>
  <si>
    <t>Se expidió la Resolución 940 del 23 de diciembre de 2022 entre la ERU y la SDHT “Por la cual se adopta el reglamento para el cumplimiento de la obligación de destinar suelo útil y urbanizado o su equivalente en metros cuadrados de construcción para el desarrollo de vivienda de interés prioritario (VIP) y vivienda de interés social (VIS) en los tratamientos urbanísticos de desarrollo, renovación y consolidación, a través de la alternativa de pago compensatorio en proyectos que gestione la Empresa de Renovación y Desarrollo Urbano de Bogotá; se regula su recaudo, administración y destinación y se dictan otras disposiciones”</t>
  </si>
  <si>
    <t>Resolución 940 de 2022</t>
  </si>
  <si>
    <t>Se incluyeron necesidades en el PETIC</t>
  </si>
  <si>
    <t>Anexo 7.reportes  GLPI</t>
  </si>
  <si>
    <t>Anexo 1. Se realizó el seguimiento y control a través de la medición de los indicadores de entrega de informes y presentación obligaciones tributarias,  allí se describen el nombre del reporte y la periodicidad en la cual se debe realizar el reporte y en la fecha que se reportó</t>
  </si>
  <si>
    <t>Se realizó el seguimiento mensual de los reportes a entes internos y externos a través de la medición de los indicadores de gestión financiera, donde se encuentra establecido el reporte, la periodicidad y la fecha límite de reporte Vs. La fecha del reporte enviado.</t>
  </si>
  <si>
    <t>Se realizó la presentación de las obligaciones tributarias de la Empresa, con la correspondiente validación y revisión de la Revisoría fiscal y Asesor Tributario, como evidencia se remiten las hojas de ruta del proceso</t>
  </si>
  <si>
    <t>El comité financiero sesionó el 17 de marzo de 2023, con el fin de realizar el seguimiento al flujo de caja, así como el análisis de estados financieros de la Empresa.</t>
  </si>
  <si>
    <t>Con el fin de hacer el seguimiento a la ejecución del presupuesto y de la planeación financiera realizada para la presente vigencia, se presentó a Comité la ejecución presupuestal con corte a febrero 2023.</t>
  </si>
  <si>
    <t>Se realizó la conciliación de información confrontando  la información registrada frente a la ejecutada de los recursos financieros de la Empresa, con el propósito de asegurar el seguimiento a los recursos financiero de la empresa.</t>
  </si>
  <si>
    <t>Se realizó la actualización del procedimiento PD-87 Conciliación de información financiera, así como los siguientes formatos: 
FT-90 Conciliación Bancaria Contable V5
FT-224 Conciliación de Aportes de Capital y Transferencias del Distrito V1
	FT-91 Conciliación Informes Tesorería V3
FT-93 Conciliación de Información de Cuentas por Pagar V3
FT-100 Conciliación de Nómina V2
FT-223 Conciliación de Información de Cuentas por Cobrar V1</t>
  </si>
  <si>
    <t xml:space="preserve">Se realizaron las respectivas validaciones y verificaciones de los procesos de pago </t>
  </si>
  <si>
    <t>Se agendo reunión para el 16 de mayo con el ingeniero Holman Barrera para realizar la revisión del protocolo bajo los lineamiento de seguridad de la información de la Empresa</t>
  </si>
  <si>
    <t>Acta de Comité CICCI  No.2 del 3 de mayo de 2023</t>
  </si>
  <si>
    <t>Informe Final Auditoria Voto Nacional (Incluye Edificio Formación para el Trabajo)
2. Informe Final  Auditoria Servicios Administrativos y de apoyo - PIGA - Talento Humano -  Servicios Logísticos</t>
  </si>
  <si>
    <t>1.  Lista de Asistencia e Informe Final  Voto Nacional (Incluye Edificio Formación para el Trabajo)
2.  Lista de Asistencia e Informe Final  Servicios Administrativos y de apoyo - PIGA - Talento Humano -  Servicios Logísticos</t>
  </si>
  <si>
    <t>1. Plan Anual de Auditoria Vigencia 2023 V1 aprobado el 26 de enero de 2023
2. Plan de Trabajo Voto Nacional (Incluye Edificio Formación para el Trabajo)
3. Plan de Trabajo Servicios Administrativos y de apoyo - PIGA - Talento Humano -  Servicios Logísticos
4. Plan de Trabajo Auditoria Bronx Distrito Creativo  - Avance Obra - Cumplimiento cronogramas y ejecución presupuestal
5. Plan de Trabajo Ciclo Auditorias Centro de Formación para el trabajo (SENA)  - Avance Obra - Cumplimiento cronogramas y ejecución presupuestal
6. Plan de Trabajo Auditoria Direccionamiento Estratégico y Gobierno Corporativo</t>
  </si>
  <si>
    <t>Plan Anual de Auditorias aprobado en el 27 de Enero 26 de 2023 Acta No. 1 Comité CICCI, Este plan cuenta con todas las hojas donde se realizo el análisis y se determino el universo de auditorias para la Empresa.</t>
  </si>
  <si>
    <t>1. Se solicito al grupo de trabajo la revisión para actualización del formato para evaluación de auditores
2. Seguimiento semestral Indicador denominado "Efectividad de las Acciones Formuladas en los Planes de Mejoramiento por Procesos."</t>
  </si>
  <si>
    <t>1. Se solicito al grupo de trabajo la revisión para actualización del formato para evaluación de auditores</t>
  </si>
  <si>
    <t>Drive 1. Reunión de Apertura Auditoria Voto Nacional (Incluye Edificio Formación para el Trabajo)
Drive 2. Reunión de Apertura Auditoria Servicios Administrativos y de apoyo - PIGA - Talento Humano -  Servicios Logísticos</t>
  </si>
  <si>
    <t>Producto de esta auditoria y de la auditoria de precertificación el proceso cuenta con 22 Acciones de mejora en Plan de Mejoramiento de las cuales 21 se cerraron en la vigencia 2022 y queda pendiente una (1) acción para cumplir en la vigencia 2023.</t>
  </si>
  <si>
    <t>Seguimiento Plan de Mejoramiento por procesos publicado en la Pagina Web</t>
  </si>
  <si>
    <t>Acta OCI 03 de 26 de abril de 2023</t>
  </si>
  <si>
    <t>1. Acta OCI 03 de 26 de abril de 2023
2. http://186.154.195.124/mipg-sig?title=&amp;field_proceso_target_id=160
Indicadores Evaluación y Seguimiento Diciembre 2022 y marzo 2023</t>
  </si>
  <si>
    <t>Seguimiento Primer Cuatrimestre 2023</t>
  </si>
  <si>
    <t>El proceso cuenta con el  borrador de campaña en próximo cuatrimestre</t>
  </si>
  <si>
    <t>La SGU actualizó la documentación del proceso durante la vigencia del primer trimestre de 2023</t>
  </si>
  <si>
    <t>El proceso cuenta con correos electrónicos a través de los cuales se solicita e informa sobre la actualización  del trámite "Cumplimiento de la obligación VIS-VIP a través de compensación económica" en la Guía de Trámites y Servicios y en el Sistema Único de Información y Trámites - SUIT.</t>
  </si>
  <si>
    <t>Revisar la fecha de Inicio y Fin de los controles ya que son de la vigencia 2022 y la pertinencia continuar con las acciones en esta vigencia.</t>
  </si>
  <si>
    <t>Controles: NO se reporta por parte del proceso responsable evidencia de la "Los supervisores realizan de mantera trimestral, los informes de seguimiento de acuerdo con lo establecido en las obligaciones de cada convenio, identificando las posibles alertas que se puedan generar en el adecuado desarrollo de los mismos".
Adicionalmente Revisar la fecha de Inicio y Fin de los controles ya que son de la vigencia 2022 y la pertinencia continuar con las acciones en esta vigencia.</t>
  </si>
  <si>
    <t>El proceso informa que : El % de cumplimento se aplica de acuerdo a la vigencia 2023, sin embargo en el 2024 se continuará con la actividades de control correspondientes
Revisar la fecha de Inicio y Fin de los controles ya que son de la vigencia 2022 y la pertinencia continuar con las acciones en esta vigencia.</t>
  </si>
  <si>
    <t>En cumplimiento a lo establecido en los controles, el equipo de estudios previos de la SGDP, desarrollo las siguientes actividades:
*Se estructuraron 10 procesos de selección
*Se realizó 1 Comité de Contratación
*Se realizaron 2 Comités Fiduciarios
*Se revisaron y radicaron 2 solicitudes de procesos de selección y contratación.</t>
  </si>
  <si>
    <t>El proceso cuenta con herramienta de seguimiento</t>
  </si>
  <si>
    <t>El proceso cuenta con:
* formato de inventario de tres usuarios debidamente firmados. 
*Correo de Jefe Dependencia - asignación inventario.
*Acta de comité 01-2023 - Baja de Bienes.</t>
  </si>
  <si>
    <t>El proceso cuenta con:
*  correo de la pieza remitida a los colaboradores de la empresa.</t>
  </si>
  <si>
    <t>El proceso cuenta con:
*Cuadro Control Contratos Vigencia 2023.
*Para los contratos suscritos se realiza el apoyo a la supervisión de los contratos, llevando el control de la ejecución administrativa, técnica y financiera de la ejecución de los contratos. Se adjunta informe apoyo supervisión Cto. 135-22. -CTO 166-2022
*Acta de seguimiento a la ejecución Nuevo Contrato de Aseo y Cafería No.241 de 2023.</t>
  </si>
  <si>
    <t>El proceso cuenta con:
*  cuadro de contratación vigencia 2023.
*  Acta - reunión supervisión Cto.241-23</t>
  </si>
  <si>
    <t>El proceso cuenta con:
*Elaboración Ficha Técnica - necesidades para contratar Servicios Aseo y cafetería, el cual fue publicado a través de la Tienda Virtual Acuerdo Marco.
*Elaboración Ficha Técnica Suministro de  insumos de Impresión- articulado con el proceso TIC en proceso de ajustes.</t>
  </si>
  <si>
    <t>El reporte de la acción no corresponde con la acción de tratamiento planteada en el riesgo por favor revidar.</t>
  </si>
  <si>
    <t xml:space="preserve">El proceso cuenta con:
Correos electrónicos - Solicitud de Prestamos Documentales. 
Formato FT - 111 ( 1 primer cuatrimestre)
Correos  electrónicos - Solicitud devolución Prestamos documentales </t>
  </si>
  <si>
    <t xml:space="preserve">El proceso cuenta con:
Listado de asistencia 
Material de Apoyo </t>
  </si>
  <si>
    <t>El proceso cuenta con la Matriz Pinar</t>
  </si>
  <si>
    <t xml:space="preserve">El proceso cuenta con:
Socialización del Manual de Gestión Documental y Guía de Manejo Documentos. Material de apoyo - 
Listado de Asistencia.
Listado de Asistencia -Evaluación de la Capacitación </t>
  </si>
  <si>
    <t xml:space="preserve">El proceso cuenta con:
Hoja de control evidenciando la inserción documental </t>
  </si>
  <si>
    <t xml:space="preserve">El proceso cuenta con:
 Pantallazo TAMPUS </t>
  </si>
  <si>
    <t>El proceso cuenta con:
Plan de Acción reporte PIGA 
Presentación  de capacitaciones y campañas.
Informe de Reencauche 2022</t>
  </si>
  <si>
    <t>El proceso cuenta con los listados de participación</t>
  </si>
  <si>
    <t xml:space="preserve"> El proveedor entrega actas con el detalle de los mantenimientos realizados a cada uno de los equipos </t>
  </si>
  <si>
    <t>Funcionalidad de los equipos</t>
  </si>
  <si>
    <t>Uso herramienta JSP7</t>
  </si>
  <si>
    <t xml:space="preserve"> Listado de solicitudes en JSP7 y correos de fiducias</t>
  </si>
  <si>
    <t>Matriz de Mantenimiento</t>
  </si>
  <si>
    <t>Matriz PETIC</t>
  </si>
  <si>
    <t xml:space="preserve"> Hoja de vida indicador: Oportunidad en la entrega de informes del proceso a entidades administrativas de control
Hoja de vida indicador: Oportunidad en la presentación y pago de las Obligaciones Tributarias</t>
  </si>
  <si>
    <t>Se realiza el cruce de auxiliares versus la declaración a presentar.
Se revisaron los movimientos contables conforme a libros auxiliares, suministrados .
de acuerdo a muestra seleccionada.
Se valida la auto renta declarada tanto en base como en porcentaje aplicado.
 Se verifica la oportunidad de pago del periodo del mes anterior
Se valida la fecha limite de presentación del impuesto a presentar</t>
  </si>
  <si>
    <t>Como evidencia de las acciones, el proceso cuenta con las hojas de ruta del proceso de verificación y validación de los formularios de declaración de impuestos realizadas.</t>
  </si>
  <si>
    <t>El proceso la agenda y presentación del Comité Financiero y de Inversiones</t>
  </si>
  <si>
    <t>El proceso cuenta con la agenda y presentación del Comité Financiero y de Inversiones</t>
  </si>
  <si>
    <t>El proceso cuenta con los formatos de conciliación de información financiera ejecutados</t>
  </si>
  <si>
    <t xml:space="preserve">Procedimientos actualizados en MIPG de la Empresa </t>
  </si>
  <si>
    <t>Agenda de reunión</t>
  </si>
  <si>
    <t xml:space="preserve">PETH 2023
Cronograma PETH 2023
</t>
  </si>
  <si>
    <t>Reunión mensual de seguimiento de talento humano</t>
  </si>
  <si>
    <t>Matriz legal de SST actualizada</t>
  </si>
  <si>
    <t>Resultados de la encuesta plasmados en el capítulo 5 del PETH 2023</t>
  </si>
  <si>
    <t>Reunión mensual de seguimiento de talento humano.</t>
  </si>
  <si>
    <t>Asistencias al Plan Padrino de cada una de las servidoras que recibieron capacitaciones por resolución.</t>
  </si>
  <si>
    <t>Asistencia capacitación sobre Acuerdos de Gestión.
Pantallazos capacitación de acuerdos de gestión.
Correo con solicitud de suscripción de acuerdos de gestión del 2023.</t>
  </si>
  <si>
    <t>Correos de seguimiento de los acuerdos suscritos en junio 2022 y del cierre total de acuerdos de gestión del 2022.
Cuadro de control acuerdos de gestión 2022 y 2023</t>
  </si>
  <si>
    <t>Para el cuatrimestre, se realizaron las siguientes validaciones:
En el componente audiovisual se produjeron 6 videos externos que se han compartido y han requerido verificación por las diferentes áreas que son generadoras de la información.
• 07/02/2023 Reel proyecto San Victorino
•27/02/2023 Reel Render Voto Nacional  
•2-03-2023 Video loop proyecto Centro San Bernardo para pagina web
•27-03-2023 Video Loop para  evento de la entrega de vivienda Usme 1
•13-04-2023 Video Cable aéreo San Cristóbal
•18-04-2023 Segunda ronda de socialización proyecto Usme 2 IDIPRON.</t>
  </si>
  <si>
    <t>Se encuentra en estructuración para el 2023 una campaña de comunicación interna, a través de la cual se divulgará el procedimiento para las solicitudes de comunicaciones, esta campaña se socializará en el mes de junio</t>
  </si>
  <si>
    <t xml:space="preserve">* Para el primer cuatrimestre, se estructuro y se publico el proceso para el arrendamiento de las manzanas 10 y 22 del sector de San Victorino PA-SV-NSP-001-2023 , siguiendo los pasos establecidos en el procedimiento código PD - 89.  Los documentos del proceso fueron debidamente revisados y se dio respuesta a las observaciones (ver enlace del Secop) así mismo se realizó la publicación tanto en la página WEB de la Empresa, como en el SECOP, cumpliendo así con los controles establecidos.
* Se avanzo en el primer cuatrimestre con el proceso para la venta de los locales comerciales 4, 5,7, 8 y 10 en el conjunto residencial La Colmena siguiendo los pasos establecidos en el procedimiento PD - 88.
Se dio respuesta a las manifestaciones de interés radicadas por interesados, las cuales fueron debidamente firmadas por el Director Comercial.  </t>
  </si>
  <si>
    <r>
      <t xml:space="preserve">*Los documentos del proceso PA-SV-NSP-001-2023 se encuentran publicados en el  link de Secop para consulta: </t>
    </r>
    <r>
      <rPr>
        <b/>
        <i/>
        <sz val="10"/>
        <color theme="4"/>
        <rFont val="Arial Narrow"/>
        <family val="2"/>
      </rPr>
      <t>https://community.secop.gov.co/Public/Tendering/OpportunityDetail/Index?noticeUID=CO1.NTC.4328551&amp;isFromPublicArea=True&amp;isModal=Fals</t>
    </r>
    <r>
      <rPr>
        <b/>
        <sz val="10"/>
        <color theme="4"/>
        <rFont val="Arial Narrow"/>
        <family val="2"/>
      </rPr>
      <t>e</t>
    </r>
    <r>
      <rPr>
        <sz val="10"/>
        <color theme="1"/>
        <rFont val="Arial Narrow"/>
        <family val="2"/>
      </rPr>
      <t xml:space="preserve"> 
Así mismo se publicaron en la  página web :
</t>
    </r>
    <r>
      <rPr>
        <b/>
        <i/>
        <sz val="10"/>
        <color theme="4"/>
        <rFont val="Arial Narrow"/>
        <family val="2"/>
      </rPr>
      <t>https://eru.gov.co/es/noticias/aviso-importante-sobre-el-proceso-de-negociacion-subasta-publica-no-pa-sv-nsp-001-2023</t>
    </r>
    <r>
      <rPr>
        <sz val="10"/>
        <color theme="1"/>
        <rFont val="Arial Narrow"/>
        <family val="2"/>
      </rPr>
      <t xml:space="preserve">
*Se adjuntan los soportes referentes a los locales Colmena.
</t>
    </r>
  </si>
  <si>
    <t xml:space="preserve">
Los documentos del proceso PA-SV-NSP-001-2023 para el arrendamiento de las manzanas 10 y 22 , fueron debidamente revisados y publicados con las firmas correspondientes tanto en la página web como en Secop.
En Junio de 2022 en reunión con el equipo de la Dirección Comercial  se  socializó el procedimiento  Venta de inmuebles (PD- 88) , dado que el procedimiento no ha sido objeto de actualización y los miembros del equipo son los mismos de esa época no se han realizado mas socializaciones.</t>
  </si>
  <si>
    <r>
      <t xml:space="preserve">*Los documentos revisados del proceso  San Victorino se adjunta  link de Secop para consulta: </t>
    </r>
    <r>
      <rPr>
        <b/>
        <i/>
        <sz val="11"/>
        <color theme="4"/>
        <rFont val="Arial Narrow"/>
        <family val="2"/>
      </rPr>
      <t xml:space="preserve">https://community.secop.gov.co/Public/Tendering/OpportunityDetail/Index?noticeUID=CO1.NTC.4328551&amp;isFromPublicArea=True&amp;isModal=False </t>
    </r>
    <r>
      <rPr>
        <sz val="11"/>
        <color theme="1"/>
        <rFont val="Arial Narrow"/>
        <family val="2"/>
      </rPr>
      <t xml:space="preserve">
Publicación en la página web :
</t>
    </r>
    <r>
      <rPr>
        <b/>
        <i/>
        <sz val="11"/>
        <color theme="4"/>
        <rFont val="Arial Narrow"/>
        <family val="2"/>
      </rPr>
      <t>https://eru.gov.co/es/noticias/aviso-importante-sobre-el-proceso-de-negociacion-subasta-publica-no-pa-sv-nsp-001-2023</t>
    </r>
    <r>
      <rPr>
        <sz val="11"/>
        <color theme="1"/>
        <rFont val="Arial Narrow"/>
        <family val="2"/>
      </rPr>
      <t xml:space="preserve">
*Se adjuntan los soportes referentes a los locales Colmena.</t>
    </r>
  </si>
  <si>
    <t xml:space="preserve">
El Supervisor del contrato en la revisión de informes de actividades mensuales, verificó el cumplimiento de las cláusulas del contrato, sin embargo, no encontró inconsistencias por lo tanto no se reportaron alertas.
Durante el primer trimestre de 2023, los líderes SIG y el Jefe del Área se reunieron para realizar el Comité de Autoevaluación, en el cual se revisó temas de manejo adecuado de la información, sin embargo, no encontró inconsistencias por lo tanto no se reportaron alertas.</t>
  </si>
  <si>
    <t>La SGU ha establecido  una acción de tratamiento que se tiene programada ejecutar en julio de 2023,  a través de una capacitación de directrices y adecuado tratamiento de datos e información confidencial de manera virtual al interior de la Subgerencia. Por lo tanto, no tenemos evidencia de su ejecución hasta tanto se desarrolle la actividad.</t>
  </si>
  <si>
    <t>La SGU actualizó la documentación del proceso durante la vigencia del primer semestre de 2023</t>
  </si>
  <si>
    <t>Es importante que el proceso establezca acciones de tratamiento para la vigencia 2023 o que se puedan realizar periódicamente sin vencimiento.</t>
  </si>
  <si>
    <t>En lo corrido del los meses de enero a abril de 2023, se realizaron doc. (2) asesorías, una de manera presencial y una virtual para obtener información acerca del trámite  "Cumplimiento de la obligación VIS-VIP a través de compensación económica",  se informa que  no tiene ningún costo y se deja registro en G-Meet.</t>
  </si>
  <si>
    <t>En la vigencia anterior se realizo la actualización del procedimiento de Modelaciones Financieras de Proyectos PD-75 Versión 2</t>
  </si>
  <si>
    <t>Controles: NO se reporta por parte del proceso responsable la realización de  los comités operativos con La Secretaria Distrital de Hábitat,  cada 2 meses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
Adicionalmente Revisar la fecha de Inicio y Fin de los controles ya que son de la vigencia 2022 y la pertinencia continuar con las acciones en esta vigencia.</t>
  </si>
  <si>
    <t>Se realizó seguimiento predio a predio de los procesos que se encuentran en trámites de pago</t>
  </si>
  <si>
    <t>Revisión el estado de los predios
Realización seguimiento al tramite de los pagos</t>
  </si>
  <si>
    <t>Contratos de prestación de servicios</t>
  </si>
  <si>
    <t xml:space="preserve">Durante el cuatrimestre los colaboradores de gestión documental, verificaron el contenido, estado de los expedientes solicitados en préstamo mediante correo electrónico. 
Se diligencio el formato FT -  111,  se realizó seguimiento y solicitud de devolución y/o renovación del mismo. 
Una vez se realizó la devolución se verificaron los expedientes. </t>
  </si>
  <si>
    <t>Los técnicos del proceso realizaron la socialización el manual de Gestión Documental y la Guía de manejo de documentos electrónicos, en este manual están incluidos loa temas relacionados con los prestamos y consultas documentales</t>
  </si>
  <si>
    <t>El proceso cuenta con:
Acta de socialización manual y guía de gestión documental</t>
  </si>
  <si>
    <t>El proceso cuenta con:
Registro de Condiciones ambientales  FT 09.
Informe de saneamiento ambiental
Planilla de Manteniendo FT - 182</t>
  </si>
  <si>
    <t>El profesional del Proceso socializó el Sistema Integrado de Conservación Documental, aprobado mediante acta de Comité de Institucional de GESTIÓN Y Desempeño el 22-03-2023.)</t>
  </si>
  <si>
    <t xml:space="preserve">
* En el proceso de tablas de actualización TRD - CCD Se recibió respuesta y/o Concepto técnico con Rad.E2023000005 de 02 de enero de 2023. 
* Se solicita prórroga para la entrega de ajustes en el instrumento archivístico en concordancia con el Articulo 15 del Acuerdo 004 de 2019 del Archivo General de la Nación mediante comunicación oficial con Rad. S202300594 de 15 de febrero de 2023 con alcance Rad: S2023000672. 
* MOREQ. Documento presentado, aprobado mediante acta de Comité Institucional de Gestión (Acta 07 del 22-03-2023) y publicado en le ERUNET.</t>
  </si>
  <si>
    <t>Durante el cuatrimestre se realizaron las siguientes jornadas de socialización y capacitación : 
1. Funcionamiento SGDEA - Tampus
2. Tablas de Retención, cuadros de Clasificación y Banter.</t>
  </si>
  <si>
    <t xml:space="preserve">Desde la Ventanilla Única de Correspondencia se realizo la recepción y entrega formal en el FT -33  de los documentos físicos recibidos en el cuatrimestre al Centro de Administración Documental- CAD </t>
  </si>
  <si>
    <t xml:space="preserve">El proceso cuenta con:
Formato Único de Inventario Documental - Traslado documental </t>
  </si>
  <si>
    <t xml:space="preserve">Los colaboradores del proceso recibieron y gestionaron las solicitudes de creación de expedientes electrónicos que cumplieran con las características establecidas en el PD-25. </t>
  </si>
  <si>
    <t>El proceso cuenta con:
Correo electrónicos solicitud creación de expedientes.</t>
  </si>
  <si>
    <t xml:space="preserve">Se crearon los expedientes electrónicos en el SGDEA- TAMPUS, de acuerdo con las solicitudes recibidas mediante correo electrónico. </t>
  </si>
  <si>
    <t xml:space="preserve">En la matriz de seguimiento la dependiente judicial incorpora los nuevos estados que salgan dentro de los procesos judiciales </t>
  </si>
  <si>
    <t>Se han realizado ocho (8) comités de Defensa Judicial,  Conciliación y Repetición</t>
  </si>
  <si>
    <t xml:space="preserve"> 8 actas Comités subidas en el SIPROJ WEB</t>
  </si>
  <si>
    <t>Ocho (8) actas del comité subidas en el SIPROJ WEB</t>
  </si>
  <si>
    <t xml:space="preserve">En la matriz de seguimiento la dependiente judicial incorpora los estados que salgan dentro de los procesos judiciales </t>
  </si>
  <si>
    <t xml:space="preserve">La dependiente judicial revisó en este cuatrimestre los procesos judiciales e incorporo en la base de datos la información de las actuaciones nuevas </t>
  </si>
  <si>
    <t>Todos las solicitudes radicadas en la DGC se tramitan a través de la plataforma transaccional SECOP II y se constata su recomendación previa de trámite, a través de las actas de las respectivas sesiones del comité de contratación.</t>
  </si>
  <si>
    <t>En el  primer cuatrimestre de 2023 se han  adelantado  9 comités de contratación, sus correspondientes actas  se encuentran alojadas en el TAMPUS:
520.2.07. Actas del Comité de Contratación</t>
  </si>
  <si>
    <t xml:space="preserve">Se realizan siguiente trimestral  al Plan Anual de Adquisidores, Plan de Inversión y Plan de operación comercial, cuando se detectan retrasos en su ejecución se envía a las diferentes dependencias comunicaciones internas con el fin de evidenciar el avance en los procesos de contratación programados  </t>
  </si>
  <si>
    <t xml:space="preserve">En este periodo se ha adelantado 1 comunicación interna a las Subgerencia de Gestión Corporativa a la cual se les ha detectado un retraso con el fin de generar alerta al respecto, a continuación se relaciona el numero de radicados: 
I2023001216
 </t>
  </si>
  <si>
    <t>En el presente periodo se han actualizado los formatos relacionados a continuación, los cuales se han socializado con la Empresa a través de correo electrónico y reunión a través de MEET para aclarar dudas al respecto de su uso.</t>
  </si>
  <si>
    <t>Desde gestión ambiental se realizó la ejecución de las actividades programadas de manera mensual sobre la  ejecución del PIGA, el cual se realiza reporte mensual en el Plan de Acción.
Se realizó procesos de divulgación, capacitación y campañas del PIGA para los colaboradores, dando cumplimiento a la política ambiental.
Se presenta Informe de Reencauche del 2022.</t>
  </si>
  <si>
    <t xml:space="preserve">Campañas implementadas:
* Movilidad sostenible 
* Elementos plásticos de un solo uso.
*Código de colores de puntos ecológicos
*Cero Papel- uso responsable de papel.
*Movilidad sostenible, al trabajo en bici.
</t>
  </si>
  <si>
    <t>El proceso cuenta con el  Informe a Secretaria de Ambiente seguimiento PACA Bogotá</t>
  </si>
  <si>
    <t>Soporte reuniones de Trabajo</t>
  </si>
  <si>
    <t>Se realizó inducción del proceso de atención al ciudadano en el marco del programa de Inducción y reinducción de la Empresa. También se realizo una mesa de trabajo para incluir el módulo de atención al ciudadano a la plataforma onboarging de la Empresa.</t>
  </si>
  <si>
    <t>Listados de asistencia, documento escrito de Onbording</t>
  </si>
  <si>
    <t xml:space="preserve">Se realizó el seguimiento a las quejas, reclamos y expectativas ciudadanas durante el cuatrimestre y no se recibieron, por parte se dio alcance interno a las áreas que incumplieron los criterios de respuesta del seguimiento realizado por a Alcaldía Mayor, mediante memorando interno. </t>
  </si>
  <si>
    <t>Se anexa matriz de seguimiento a peticiones quejas y reclamos y memorandos internos de alcance</t>
  </si>
  <si>
    <t>Se elaboró memorando de sensibilización  para todas las dependencias de la Empresa.</t>
  </si>
  <si>
    <t>Se subió una petición al sistema Bogotá Te Escucha de manera extemporánea</t>
  </si>
  <si>
    <t>Se llevo a la nube el sistema JSP7 para lograr mayor seguridad y eficiencia en el sistema transaccional. 
Se  están realizando copias de seguridad de la base de datos de la siguiente forma:
a) Volátiles (con el contenido del último mes, acceso local inmediato)
b) Largo plazo (copias de seguridad en la nube, se conservan 12 copias de seguridad, una por cada mes)
c) Copias de seguridad para que el cliente las descargue con la frecuencia que desee (diaria, semanal, mensual).
Se realizo configuración de las NAS de la Empresa para tener copia de toda la información de la empresa .</t>
  </si>
  <si>
    <t xml:space="preserve">Se realizo contrato de mantenimiento y migración a la nube del sistema JSP7, asegurando con esto el Backus de la información .
Se realizo configuración de las NAS para tener doble copia de información. </t>
  </si>
  <si>
    <t>Revisión periódica de la plataforma de Backus</t>
  </si>
  <si>
    <t>Configuración de la NAS y reportes de JSP7</t>
  </si>
  <si>
    <t>Se realiza revisión de los informes presentados por el proveedor de los mantenimientos preventivos que se realizan en la empresa en cada una de las sedes</t>
  </si>
  <si>
    <t>Revisión periódica de los equipos</t>
  </si>
  <si>
    <t>El reporte del control no corresponde a lo establecido por el mismos, este debería hacer parte del reporte de la acción de tratamiento.</t>
  </si>
  <si>
    <t>Se atendieron solicitudes de acceso lógico</t>
  </si>
  <si>
    <t xml:space="preserve">El profesional del proceso de gestión de TIC asignado envía  correos electrónicos a las áreas para identifica las necesidades tecnologías, </t>
  </si>
  <si>
    <t>Correos electrónicos Institucionales</t>
  </si>
  <si>
    <t>Anexo Técnico para contrato  solicitud servicio</t>
  </si>
  <si>
    <t xml:space="preserve">Se realizaron reuniones con el proveedor para garantizar los tiempos de respuesta </t>
  </si>
  <si>
    <t>Revisión de cada uno de los incidentes y requerimientos en la plataforma GLPI</t>
  </si>
  <si>
    <t xml:space="preserve">Reporte GLPI filtrados recuerdo a la herramienta </t>
  </si>
  <si>
    <t>Para realizar el control del cumplimiento a la entrega de reportes a entes internos y externos de vigilancia y control,  se realiza el seguimiento de los entregables través del seguimiento y Medición de los indicadores de entrega de informes y presentación obligaciones tributarias, en este indicador se tiene establecido la periodicidad en la cual se debe realizar el reporte y en la fecha que se reportó, evidenciando el control y el seguimiento que se realiza.</t>
  </si>
  <si>
    <t>Seguimiento de la revisión y verificación de la información tributaria por parte de la revisoría fiscal y asesor tributario</t>
  </si>
  <si>
    <t>Correos electrónicos de evidencia de verificación del proceso de pagos</t>
  </si>
  <si>
    <t>El profesional de tesorería cada vez que se recepción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</si>
  <si>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1. Lista de Asistencia Reunión de Apertura Auditoria Voto Nacional (Incluye Edificio Formación para el Trabajo)
2. Lista de Asistencia Reunión de Apertura  Auditoria Servicios Administrativos y de apoyo - PIGA - Talento Humano -  Servicios Logísticos
 Plan de Trabajo Ciclo Auditorias Internas de Calidad 2022 
3. Lista de Asistencia Reunión de Apertura  Auditoria Bronx Distrito Creativo  - Avance Obra - Cumplimiento cronogramas y ejecución presupuestal
4. Lista de Asistencia Reunión de Apertura  Auditorias Centro de Formación para el trabajo (SENA)  - Avance Obra - Cumplimiento cronogramas y ejecución presupuestal
5.  Lista de Asistencia Reunión de apertura de Auditoria Direccionamiento Estratégico y Gobierno Corporativo</t>
  </si>
  <si>
    <t xml:space="preserve">El Estatuto y Código de Ética se actualizo y se aprobó en el comité CICCI no. 2 de 2023,  una vez se Firme la resolución se procederá a su socialización a los Auditores de la OCI y al grupo de Auditores de Calidad. </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</si>
  <si>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Backus respectiva. </t>
  </si>
  <si>
    <t>El proceso informa que cuenta con las actas pero que estas no se anexan al los soportes porque contienen información relacionada con los procesos disciplinarios y estos cuentan con reserva en la etapa instructiva del proceso.</t>
  </si>
  <si>
    <t xml:space="preserve">El 24 de enero de 2023 se realizó reunión entre la Jefe de disciplinarios y la profesional del área donde se verificaron los términos de prescripción de los siguientes procesos No. 001- 002-003 de 2023, Acta No. 001- 2023.                            El 9 de febrero de 2023 se realizó la reunión entre la Jefe de disciplinarios y la profesional del área donde se verificaron los términos de prescripción de los procesos disciplinarios No. 004-005 de 2023, Acta No. 2.                                                                   El 6 de marzo de 2023 se realizó la reunión entre la Jefe de disciplinarios y la profesional del área donde se verificaron los términos de prescripción de los procesos No. 006-007- 008 de 2023, Acta No. 3.                                                                                                                                       El 17 de abril de 2023 se realizó la reunión entre la Jefe de disciplinarios y la profesional del área donde se verificaron los términos de prescripción del proceso No. 009 de 2023, Acta No. 4 </t>
  </si>
  <si>
    <t xml:space="preserve">Reuniones en las que se verificaron los términos de prescripción de procesos, a saber:                                                                                        Reunión No 1 de fecha 24 de enero de 2023.                                                                                                                                                                                                                                                                                                                                                                                                                                                    Reunión No. 2 de fecha 9 de febrero de 2023                                                                                                                                                                                                                                                                                                                                                                                                                                                           Reunión No. 3 de fecha 6 de marzo de 2023.                                                                                                                               Reunión No. 4 de fecha 17 de abril de 2023.                                                       Actualización del archivo de seguimiento disponible en Drive con las actuaciones realizadas en el mes                                                                                                                                                       </t>
  </si>
  <si>
    <t>Mapas de conocimiento de los diferentes procesos, publicado en la eruNET:
http://186.154.195.124/mipg-sig/gestion-del-conocimiento</t>
  </si>
  <si>
    <t xml:space="preserve">El 31 de enero de 2023 se realizó reunión entre la Jefe de disciplinarios y la profesional del área donde se verificaron los siguientes procesos No. 001- 002 de 2023 y se solicitaron las pruebas, Acta No. 001- 2023.                                                                                                                                                                         El 22 de febrero de 2023 se realizó la reunión entre la Jefe de disciplinarios y la profesional del área donde se verificó el proceso disciplinario No. 003 de 2023 y se acordaron las pruebas a solicitar, Acta No. 2.                                                                                                                          El 3 de marzo de 2023 se relazó la reunión entre la Jefe de disciplinarios y la profesional del área donde se acordaron las pruebas a solicitar dentro de los procesos disciplinarios  No. 006- 008 de 2023, Acta No. 3.                                                                                                                                       El 15 de abril de 2023 se realizó la reunión entre la Jefe de disciplinarios y la profesional del área donde se acordaron las pruebas a solicitar dentro de los procesos disciplinarios No. 007 y 009 de 2023, Acta No. 4. </t>
  </si>
  <si>
    <t xml:space="preserve">Reuniones en las que se  revisaron expedientes donde se verificaron lo hechos y se solicitaron las pruebas pertinentes y conducentes para poder llegar a una decisión que se adoptará dentro de los procesos mencionados:                                                                                                                                                      Reunión No. 01 de fecha 31 de enero de 2023.                                                                                                                                                                                                                                                                                                                                                                                                                                                    Reunión No. 02 de fecha 22 de febrero de 2023                                                                                                                                                                                                                                                                                                                                                                                                                                                           Reunión No. 03 de fecha 3 de marzo de 2023.                                                                                                                                                                                                                                                                                                                                                                                                                                                        Reunión No. 04 de fecha 15 de abril de 2023                                                                                                                                                                                                                                                                                                                                                                                                                                                         Seguimiento  disponible en Drive y las solicitudes de pruebas realizadas a las diferentes dependencia para poder llegar a la verdad de los hechos y así tomar las decisiones respecto de la apertura de investigación disciplinaria, o formulación de cargos, o  auto de terminación y archivo definitivo. Estos procesos cuentan con reserva, por este motivo no se anexan las pruebas solicitadas ni las decisiones tomadas.                                                               </t>
  </si>
  <si>
    <t>Riesgo Materializado: El proceso debe realizar el tratamiento del riesgo y realizar el reporte del mismo y de las acciones de contingencia a la Subgerencia de Planeación y Administración de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</si>
</sst>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i/>
      <sz val="10"/>
      <color theme="1"/>
      <name val="Arial Narrow"/>
      <family val="2"/>
    </font>
    <font>
      <b/>
      <sz val="10"/>
      <color rgb="FFFF0000"/>
      <name val="Arial Narrow"/>
      <family val="2"/>
    </font>
    <font>
      <sz val="9"/>
      <color theme="1"/>
      <name val="Arial Narrow"/>
      <family val="2"/>
    </font>
    <font>
      <b/>
      <u/>
      <sz val="10"/>
      <name val="Arial Narrow"/>
      <family val="2"/>
    </font>
    <font>
      <b/>
      <u/>
      <sz val="10"/>
      <color theme="1"/>
      <name val="Arial Narrow"/>
      <family val="2"/>
    </font>
    <font>
      <b/>
      <i/>
      <sz val="11"/>
      <color theme="4"/>
      <name val="Arial Narrow"/>
      <family val="2"/>
    </font>
    <font>
      <b/>
      <i/>
      <sz val="10"/>
      <color theme="4"/>
      <name val="Arial Narrow"/>
      <family val="2"/>
    </font>
    <font>
      <b/>
      <sz val="10"/>
      <color theme="4"/>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43">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1" borderId="0" xfId="0" applyFont="1" applyFill="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0" fillId="3" borderId="0" xfId="0" applyFill="1"/>
    <xf numFmtId="0" fontId="48" fillId="3" borderId="51" xfId="2" applyFont="1" applyFill="1" applyBorder="1"/>
    <xf numFmtId="0" fontId="48" fillId="3" borderId="52" xfId="2" applyFont="1" applyFill="1" applyBorder="1"/>
    <xf numFmtId="0" fontId="48" fillId="3" borderId="53"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2" borderId="13"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6" fillId="0" borderId="83" xfId="0" applyFont="1" applyBorder="1" applyAlignment="1">
      <alignment horizontal="justify" vertical="center" wrapText="1"/>
    </xf>
    <xf numFmtId="0" fontId="48" fillId="0" borderId="2" xfId="0" applyFont="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14" fontId="6" fillId="0" borderId="2"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164" fontId="6" fillId="0" borderId="2" xfId="1" applyNumberFormat="1" applyFont="1" applyFill="1" applyBorder="1" applyAlignment="1">
      <alignment horizontal="center" vertical="center"/>
    </xf>
    <xf numFmtId="0" fontId="6" fillId="0" borderId="83" xfId="0" applyFont="1" applyBorder="1" applyAlignment="1">
      <alignment horizontal="center" vertical="center"/>
    </xf>
    <xf numFmtId="164" fontId="6" fillId="3" borderId="2" xfId="1" applyNumberFormat="1" applyFont="1" applyFill="1" applyBorder="1" applyAlignment="1">
      <alignment horizontal="center" vertical="center"/>
    </xf>
    <xf numFmtId="0" fontId="48" fillId="0" borderId="2" xfId="0" applyFont="1" applyBorder="1" applyAlignment="1" applyProtection="1">
      <alignment horizontal="center" vertical="center" wrapText="1"/>
      <protection locked="0"/>
    </xf>
    <xf numFmtId="0" fontId="6" fillId="0" borderId="6" xfId="0" applyFont="1" applyBorder="1" applyAlignment="1" applyProtection="1">
      <alignment horizontal="justify" vertical="center" wrapText="1"/>
      <protection locked="0"/>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Border="1" applyAlignment="1" applyProtection="1">
      <alignment horizontal="justify" vertical="center" wrapText="1"/>
      <protection locked="0"/>
    </xf>
    <xf numFmtId="0" fontId="6" fillId="0" borderId="0" xfId="0" applyFont="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4" xfId="0" applyFont="1" applyFill="1" applyBorder="1" applyAlignment="1" applyProtection="1">
      <alignment horizontal="justify" vertical="center" wrapText="1"/>
      <protection locked="0"/>
    </xf>
    <xf numFmtId="0" fontId="3" fillId="3" borderId="84" xfId="0" applyFont="1" applyFill="1" applyBorder="1" applyAlignment="1" applyProtection="1">
      <alignment horizontal="center" vertical="center"/>
      <protection locked="0"/>
    </xf>
    <xf numFmtId="14" fontId="3" fillId="3" borderId="8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4" xfId="0" applyFont="1" applyFill="1" applyBorder="1" applyAlignment="1" applyProtection="1">
      <alignment horizontal="justify" vertical="center" wrapText="1"/>
      <protection locked="0"/>
    </xf>
    <xf numFmtId="0" fontId="6" fillId="3" borderId="83" xfId="0" applyFont="1" applyFill="1" applyBorder="1" applyAlignment="1">
      <alignment horizontal="justify" vertical="center" wrapText="1"/>
    </xf>
    <xf numFmtId="0" fontId="3" fillId="3" borderId="83" xfId="0" applyFont="1" applyFill="1" applyBorder="1" applyAlignment="1">
      <alignment horizontal="center" vertical="center" wrapText="1"/>
    </xf>
    <xf numFmtId="0" fontId="3" fillId="3" borderId="83" xfId="0" applyFont="1" applyFill="1" applyBorder="1" applyAlignment="1">
      <alignment horizontal="justify" vertical="center" wrapText="1"/>
    </xf>
    <xf numFmtId="0" fontId="3" fillId="3" borderId="83" xfId="0" applyFont="1" applyFill="1" applyBorder="1" applyAlignment="1">
      <alignment horizontal="center" vertical="center"/>
    </xf>
    <xf numFmtId="0" fontId="48" fillId="3" borderId="83"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1" fillId="0" borderId="2" xfId="0" applyFont="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2" xfId="0" applyFont="1" applyBorder="1" applyAlignment="1" applyProtection="1">
      <alignment horizontal="justify" vertical="center" wrapText="1"/>
      <protection locked="0"/>
    </xf>
    <xf numFmtId="0" fontId="59" fillId="0" borderId="2" xfId="0" applyFont="1" applyBorder="1" applyAlignment="1" applyProtection="1">
      <alignment horizontal="center" vertical="center"/>
      <protection locked="0"/>
    </xf>
    <xf numFmtId="14" fontId="59" fillId="0" borderId="2" xfId="0" applyNumberFormat="1" applyFont="1" applyBorder="1" applyAlignment="1" applyProtection="1">
      <alignment horizontal="center" vertical="center" wrapText="1"/>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48" fillId="0" borderId="2" xfId="0" applyFont="1" applyBorder="1" applyAlignment="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0" fontId="4" fillId="0" borderId="0" xfId="0" applyFont="1" applyAlignment="1">
      <alignment horizontal="center" vertical="center"/>
    </xf>
    <xf numFmtId="0" fontId="6" fillId="0" borderId="0" xfId="0" applyFont="1" applyAlignment="1">
      <alignment horizontal="center" vertical="center"/>
    </xf>
    <xf numFmtId="0" fontId="59" fillId="0" borderId="0" xfId="0" applyFont="1" applyAlignment="1">
      <alignment vertical="center"/>
    </xf>
    <xf numFmtId="0" fontId="3" fillId="0" borderId="83" xfId="0" applyFont="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0" xfId="0" applyFont="1" applyAlignment="1">
      <alignment vertical="center"/>
    </xf>
    <xf numFmtId="0" fontId="6" fillId="13" borderId="2" xfId="0" applyFont="1" applyFill="1" applyBorder="1" applyAlignment="1" applyProtection="1">
      <alignment horizontal="center" vertical="center"/>
      <protection hidden="1"/>
    </xf>
    <xf numFmtId="0" fontId="6" fillId="3" borderId="0" xfId="0" applyFont="1" applyFill="1" applyAlignment="1">
      <alignment horizontal="center" vertical="center"/>
    </xf>
    <xf numFmtId="0" fontId="4" fillId="2" borderId="2" xfId="0" applyFont="1" applyFill="1" applyBorder="1" applyAlignment="1">
      <alignment horizontal="center" vertical="center" wrapText="1"/>
    </xf>
    <xf numFmtId="9" fontId="6" fillId="0" borderId="2" xfId="0" applyNumberFormat="1" applyFont="1" applyBorder="1" applyAlignment="1" applyProtection="1">
      <alignment horizontal="center" vertical="center" wrapText="1"/>
      <protection locked="0"/>
    </xf>
    <xf numFmtId="14" fontId="6" fillId="0" borderId="2" xfId="0" applyNumberFormat="1" applyFont="1" applyBorder="1" applyAlignment="1" applyProtection="1">
      <alignment horizontal="justify" vertical="center" wrapText="1"/>
      <protection locked="0"/>
    </xf>
    <xf numFmtId="0" fontId="1" fillId="0" borderId="2" xfId="0" applyFont="1" applyBorder="1" applyAlignment="1" applyProtection="1">
      <alignment horizontal="justify" vertical="center" wrapText="1"/>
      <protection locked="0"/>
    </xf>
    <xf numFmtId="9" fontId="6" fillId="0" borderId="2" xfId="1"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wrapText="1"/>
      <protection locked="0"/>
    </xf>
    <xf numFmtId="9" fontId="1" fillId="3" borderId="2" xfId="0" applyNumberFormat="1" applyFont="1" applyFill="1" applyBorder="1" applyAlignment="1" applyProtection="1">
      <alignment horizontal="center" vertical="center" wrapText="1"/>
      <protection locked="0"/>
    </xf>
    <xf numFmtId="14" fontId="48" fillId="0" borderId="2" xfId="0" applyNumberFormat="1" applyFont="1" applyBorder="1" applyAlignment="1" applyProtection="1">
      <alignment horizontal="justify" vertical="center" wrapText="1"/>
      <protection locked="0"/>
    </xf>
    <xf numFmtId="14" fontId="1" fillId="3" borderId="2" xfId="0" applyNumberFormat="1" applyFont="1" applyFill="1" applyBorder="1" applyAlignment="1" applyProtection="1">
      <alignment horizontal="justify" vertical="center" wrapText="1"/>
      <protection locked="0"/>
    </xf>
    <xf numFmtId="0" fontId="6" fillId="0" borderId="0" xfId="0" applyFont="1" applyAlignment="1">
      <alignment horizontal="justify" vertical="center"/>
    </xf>
    <xf numFmtId="9" fontId="6" fillId="0" borderId="0" xfId="0" applyNumberFormat="1" applyFont="1" applyAlignment="1">
      <alignment horizontal="center" vertical="center"/>
    </xf>
    <xf numFmtId="14" fontId="6" fillId="3" borderId="2" xfId="0" applyNumberFormat="1" applyFont="1" applyFill="1" applyBorder="1" applyAlignment="1" applyProtection="1">
      <alignment horizontal="justify" vertical="center" wrapText="1"/>
      <protection locked="0"/>
    </xf>
    <xf numFmtId="9" fontId="6" fillId="0" borderId="0" xfId="0" applyNumberFormat="1" applyFont="1" applyAlignment="1">
      <alignment vertical="center"/>
    </xf>
    <xf numFmtId="0" fontId="54" fillId="3" borderId="64" xfId="2" applyFont="1" applyFill="1" applyBorder="1" applyAlignment="1">
      <alignment horizontal="justify" vertical="center" wrapText="1"/>
    </xf>
    <xf numFmtId="0" fontId="54" fillId="3" borderId="65" xfId="2" applyFont="1" applyFill="1" applyBorder="1" applyAlignment="1">
      <alignment horizontal="justify" vertical="center"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3" fillId="3" borderId="58" xfId="3" applyFont="1" applyFill="1" applyBorder="1" applyAlignment="1">
      <alignment horizontal="left" vertical="top" wrapText="1" readingOrder="1"/>
    </xf>
    <xf numFmtId="0" fontId="53" fillId="3" borderId="59" xfId="3" applyFont="1" applyFill="1" applyBorder="1" applyAlignment="1">
      <alignment horizontal="left" vertical="top" wrapText="1" readingOrder="1"/>
    </xf>
    <xf numFmtId="0" fontId="54" fillId="3" borderId="60" xfId="2" applyFont="1" applyFill="1" applyBorder="1" applyAlignment="1">
      <alignment horizontal="justify" vertical="center" wrapText="1"/>
    </xf>
    <xf numFmtId="0" fontId="54" fillId="3" borderId="61" xfId="2" applyFont="1" applyFill="1" applyBorder="1" applyAlignment="1">
      <alignment horizontal="justify" vertical="center" wrapText="1"/>
    </xf>
    <xf numFmtId="0" fontId="53" fillId="3" borderId="62" xfId="0" applyFont="1" applyFill="1" applyBorder="1" applyAlignment="1">
      <alignment horizontal="left" vertical="center" wrapText="1"/>
    </xf>
    <xf numFmtId="0" fontId="53" fillId="3" borderId="63" xfId="0" applyFont="1" applyFill="1" applyBorder="1" applyAlignment="1">
      <alignment horizontal="left"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73" xfId="0" applyFont="1" applyFill="1" applyBorder="1" applyAlignment="1">
      <alignment horizontal="left" vertical="center" wrapText="1"/>
    </xf>
    <xf numFmtId="0" fontId="53" fillId="3" borderId="74" xfId="0" applyFont="1" applyFill="1" applyBorder="1" applyAlignment="1">
      <alignment horizontal="left" vertical="center" wrapText="1"/>
    </xf>
    <xf numFmtId="0" fontId="54" fillId="3" borderId="66" xfId="0" applyFont="1" applyFill="1" applyBorder="1" applyAlignment="1">
      <alignment horizontal="justify" vertical="center" wrapText="1"/>
    </xf>
    <xf numFmtId="0" fontId="54" fillId="3" borderId="67" xfId="0" applyFont="1" applyFill="1" applyBorder="1" applyAlignment="1">
      <alignment horizontal="justify" vertical="center" wrapText="1"/>
    </xf>
    <xf numFmtId="0" fontId="49" fillId="14" borderId="48" xfId="2" applyFont="1" applyFill="1" applyBorder="1" applyAlignment="1">
      <alignment horizontal="center" vertical="center" wrapText="1"/>
    </xf>
    <xf numFmtId="0" fontId="49" fillId="14" borderId="49" xfId="2" applyFont="1" applyFill="1" applyBorder="1" applyAlignment="1">
      <alignment horizontal="center" vertical="center" wrapText="1"/>
    </xf>
    <xf numFmtId="0" fontId="49" fillId="14" borderId="50"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8" xfId="2" quotePrefix="1" applyFont="1" applyBorder="1" applyAlignment="1">
      <alignment horizontal="left" vertical="center" wrapText="1"/>
    </xf>
    <xf numFmtId="0" fontId="48" fillId="0" borderId="69" xfId="2" quotePrefix="1" applyFont="1" applyBorder="1" applyAlignment="1">
      <alignment horizontal="left" vertical="center" wrapText="1"/>
    </xf>
    <xf numFmtId="0" fontId="48" fillId="0" borderId="70" xfId="2" quotePrefix="1" applyFont="1" applyBorder="1" applyAlignment="1">
      <alignment horizontal="left" vertical="center" wrapText="1"/>
    </xf>
    <xf numFmtId="0" fontId="50" fillId="3" borderId="51" xfId="2" quotePrefix="1" applyFont="1" applyFill="1" applyBorder="1" applyAlignment="1">
      <alignment horizontal="left" vertical="top" wrapText="1"/>
    </xf>
    <xf numFmtId="0" fontId="51" fillId="3" borderId="52" xfId="2" quotePrefix="1" applyFont="1" applyFill="1" applyBorder="1" applyAlignment="1">
      <alignment horizontal="left" vertical="top" wrapText="1"/>
    </xf>
    <xf numFmtId="0" fontId="51" fillId="3" borderId="53"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54" xfId="3" applyFont="1" applyFill="1" applyBorder="1" applyAlignment="1">
      <alignment horizontal="center" vertical="center" wrapText="1"/>
    </xf>
    <xf numFmtId="0" fontId="53" fillId="14" borderId="55" xfId="3" applyFont="1" applyFill="1" applyBorder="1" applyAlignment="1">
      <alignment horizontal="center" vertical="center" wrapText="1"/>
    </xf>
    <xf numFmtId="0" fontId="53" fillId="14" borderId="56" xfId="2" applyFont="1" applyFill="1" applyBorder="1" applyAlignment="1">
      <alignment horizontal="center" vertical="center"/>
    </xf>
    <xf numFmtId="0" fontId="53"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Alignment="1">
      <alignment horizontal="center" vertical="center"/>
    </xf>
    <xf numFmtId="0" fontId="42" fillId="0" borderId="14"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24" xfId="0" applyFont="1" applyFill="1" applyBorder="1" applyAlignment="1">
      <alignment horizontal="center" vertical="center" wrapText="1" readingOrder="1"/>
    </xf>
    <xf numFmtId="0" fontId="42" fillId="0" borderId="77" xfId="0" applyFont="1" applyBorder="1" applyAlignment="1">
      <alignment horizontal="center" vertical="center" wrapText="1"/>
    </xf>
    <xf numFmtId="0" fontId="42" fillId="0" borderId="77" xfId="0"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2" fillId="0" borderId="81" xfId="0" applyFont="1" applyBorder="1" applyAlignment="1">
      <alignment horizontal="center" vertical="center"/>
    </xf>
    <xf numFmtId="0" fontId="42" fillId="0" borderId="0" xfId="0" applyFont="1" applyAlignment="1">
      <alignment horizontal="center" vertical="center" wrapText="1"/>
    </xf>
    <xf numFmtId="0" fontId="42" fillId="0" borderId="78" xfId="0" applyFont="1" applyBorder="1" applyAlignment="1">
      <alignment horizontal="center" vertical="center"/>
    </xf>
    <xf numFmtId="0" fontId="42" fillId="0" borderId="82" xfId="0" applyFont="1" applyBorder="1" applyAlignment="1">
      <alignment horizontal="center" vertical="center"/>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4" xfId="0" quotePrefix="1" applyFont="1" applyFill="1" applyBorder="1" applyAlignment="1" applyProtection="1">
      <alignment horizontal="center" vertical="center" wrapText="1"/>
      <protection locked="0"/>
    </xf>
    <xf numFmtId="0" fontId="52" fillId="3" borderId="4" xfId="0" applyFont="1" applyFill="1" applyBorder="1" applyAlignment="1" applyProtection="1">
      <alignment horizontal="center" vertical="center" wrapText="1"/>
      <protection hidden="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3" borderId="4" xfId="0" applyFont="1" applyFill="1" applyBorder="1" applyAlignment="1">
      <alignment horizontal="justify" vertical="center"/>
    </xf>
    <xf numFmtId="0" fontId="6" fillId="3" borderId="8" xfId="0" applyFont="1" applyFill="1" applyBorder="1" applyAlignment="1">
      <alignment horizontal="justify" vertical="center"/>
    </xf>
    <xf numFmtId="0" fontId="48" fillId="3" borderId="4" xfId="0" quotePrefix="1" applyFont="1" applyFill="1" applyBorder="1" applyAlignment="1" applyProtection="1">
      <alignment horizontal="center" vertical="center" wrapText="1"/>
      <protection locked="0"/>
    </xf>
    <xf numFmtId="0" fontId="6" fillId="3" borderId="8"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4"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6" fillId="0" borderId="5" xfId="0" applyFont="1" applyBorder="1" applyAlignment="1">
      <alignment horizontal="justify" vertical="center" wrapText="1"/>
    </xf>
    <xf numFmtId="0" fontId="6" fillId="0" borderId="8" xfId="0" applyFont="1" applyBorder="1" applyAlignment="1">
      <alignment horizontal="justify"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9" fontId="6" fillId="0" borderId="5" xfId="0" applyNumberFormat="1" applyFont="1" applyBorder="1" applyAlignment="1" applyProtection="1">
      <alignment horizontal="center" vertical="center" wrapText="1"/>
      <protection locked="0"/>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8" fillId="0" borderId="8" xfId="0" applyFont="1" applyBorder="1" applyAlignment="1">
      <alignment horizontal="center" vertical="center"/>
    </xf>
    <xf numFmtId="0" fontId="48" fillId="0" borderId="4"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4" xfId="0" applyFont="1" applyBorder="1" applyAlignment="1">
      <alignment horizontal="justify" vertical="center" wrapText="1"/>
    </xf>
    <xf numFmtId="0" fontId="48" fillId="0" borderId="8" xfId="0" applyFont="1" applyBorder="1" applyAlignment="1">
      <alignment horizontal="justify" vertical="center"/>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14" fontId="6" fillId="0" borderId="4" xfId="0" applyNumberFormat="1" applyFont="1" applyBorder="1" applyAlignment="1" applyProtection="1">
      <alignment horizontal="center" vertical="center" wrapText="1"/>
      <protection locked="0"/>
    </xf>
    <xf numFmtId="14" fontId="6" fillId="0" borderId="8" xfId="0" applyNumberFormat="1" applyFont="1" applyBorder="1" applyAlignment="1" applyProtection="1">
      <alignment horizontal="center" vertical="center" wrapText="1"/>
      <protection locked="0"/>
    </xf>
    <xf numFmtId="14" fontId="6" fillId="0" borderId="5" xfId="0" applyNumberFormat="1" applyFont="1" applyBorder="1" applyAlignment="1" applyProtection="1">
      <alignment horizontal="center" vertical="center" wrapText="1"/>
      <protection locked="0"/>
    </xf>
    <xf numFmtId="14" fontId="62" fillId="0" borderId="4" xfId="0" applyNumberFormat="1" applyFont="1" applyBorder="1" applyAlignment="1" applyProtection="1">
      <alignment horizontal="justify" vertical="center" wrapText="1"/>
      <protection locked="0"/>
    </xf>
    <xf numFmtId="14" fontId="62" fillId="0" borderId="8" xfId="0" applyNumberFormat="1" applyFont="1" applyBorder="1" applyAlignment="1" applyProtection="1">
      <alignment horizontal="justify" vertical="center" wrapText="1"/>
      <protection locked="0"/>
    </xf>
    <xf numFmtId="14" fontId="62" fillId="0" borderId="5" xfId="0" applyNumberFormat="1" applyFont="1" applyBorder="1" applyAlignment="1" applyProtection="1">
      <alignment horizontal="justify" vertical="center" wrapText="1"/>
      <protection locked="0"/>
    </xf>
    <xf numFmtId="14" fontId="6" fillId="0" borderId="4" xfId="0" applyNumberFormat="1" applyFont="1" applyBorder="1" applyAlignment="1" applyProtection="1">
      <alignment horizontal="justify" vertical="center" wrapText="1"/>
      <protection locked="0"/>
    </xf>
    <xf numFmtId="14" fontId="6" fillId="0" borderId="8" xfId="0" applyNumberFormat="1" applyFont="1" applyBorder="1" applyAlignment="1" applyProtection="1">
      <alignment horizontal="justify" vertical="center" wrapText="1"/>
      <protection locked="0"/>
    </xf>
    <xf numFmtId="14" fontId="6" fillId="0" borderId="5" xfId="0" applyNumberFormat="1" applyFont="1" applyBorder="1" applyAlignment="1" applyProtection="1">
      <alignment horizontal="justify"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 fillId="2" borderId="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20" fillId="11" borderId="76" xfId="0" applyFont="1" applyFill="1" applyBorder="1" applyAlignment="1" applyProtection="1">
      <alignment horizontal="center" vertical="center" wrapText="1" readingOrder="1"/>
      <protection hidden="1"/>
    </xf>
    <xf numFmtId="0" fontId="17" fillId="0" borderId="0" xfId="0" applyFont="1" applyAlignment="1">
      <alignment horizontal="center" vertical="center" wrapText="1"/>
    </xf>
    <xf numFmtId="0" fontId="20" fillId="11" borderId="77"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20" fillId="11" borderId="75" xfId="0" applyFont="1" applyFill="1" applyBorder="1" applyAlignment="1" applyProtection="1">
      <alignment horizontal="center" vertic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692">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s>
  <tableStyles count="1" defaultTableStyle="TableStyleMedium2" defaultPivotStyle="PivotStyleLight16">
    <tableStyle name="Invisible" pivot="0" table="0" count="0"/>
  </tableStyles>
  <colors>
    <mruColors>
      <color rgb="FFFF9900"/>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203\Owncloud\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file:///\\192.168.10.203\ogs\0%20OFICINA%20DE%20GESTI&#211;N%20SOCIAL%202023\MAPA%20DE%20RIESGO%20OG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56" customWidth="1"/>
    <col min="2" max="3" width="24.7109375" style="56" customWidth="1"/>
    <col min="4" max="4" width="16" style="56" customWidth="1"/>
    <col min="5" max="5" width="24.7109375" style="56" customWidth="1"/>
    <col min="6" max="6" width="27.7109375" style="56" customWidth="1"/>
    <col min="7" max="8" width="24.7109375" style="56" customWidth="1"/>
    <col min="9" max="16384" width="11.42578125" style="56"/>
  </cols>
  <sheetData>
    <row r="1" spans="2:8" ht="15.75" thickBot="1" x14ac:dyDescent="0.3"/>
    <row r="2" spans="2:8" ht="18" x14ac:dyDescent="0.25">
      <c r="B2" s="244" t="s">
        <v>140</v>
      </c>
      <c r="C2" s="245"/>
      <c r="D2" s="245"/>
      <c r="E2" s="245"/>
      <c r="F2" s="245"/>
      <c r="G2" s="245"/>
      <c r="H2" s="246"/>
    </row>
    <row r="3" spans="2:8" x14ac:dyDescent="0.25">
      <c r="B3" s="57"/>
      <c r="C3" s="58"/>
      <c r="D3" s="58"/>
      <c r="E3" s="58"/>
      <c r="F3" s="58"/>
      <c r="G3" s="58"/>
      <c r="H3" s="59"/>
    </row>
    <row r="4" spans="2:8" ht="63" customHeight="1" x14ac:dyDescent="0.25">
      <c r="B4" s="247" t="s">
        <v>183</v>
      </c>
      <c r="C4" s="248"/>
      <c r="D4" s="248"/>
      <c r="E4" s="248"/>
      <c r="F4" s="248"/>
      <c r="G4" s="248"/>
      <c r="H4" s="249"/>
    </row>
    <row r="5" spans="2:8" ht="63" customHeight="1" x14ac:dyDescent="0.25">
      <c r="B5" s="250"/>
      <c r="C5" s="251"/>
      <c r="D5" s="251"/>
      <c r="E5" s="251"/>
      <c r="F5" s="251"/>
      <c r="G5" s="251"/>
      <c r="H5" s="252"/>
    </row>
    <row r="6" spans="2:8" ht="16.5" x14ac:dyDescent="0.25">
      <c r="B6" s="253" t="s">
        <v>138</v>
      </c>
      <c r="C6" s="254"/>
      <c r="D6" s="254"/>
      <c r="E6" s="254"/>
      <c r="F6" s="254"/>
      <c r="G6" s="254"/>
      <c r="H6" s="255"/>
    </row>
    <row r="7" spans="2:8" ht="95.25" customHeight="1" x14ac:dyDescent="0.25">
      <c r="B7" s="263" t="s">
        <v>143</v>
      </c>
      <c r="C7" s="264"/>
      <c r="D7" s="264"/>
      <c r="E7" s="264"/>
      <c r="F7" s="264"/>
      <c r="G7" s="264"/>
      <c r="H7" s="265"/>
    </row>
    <row r="8" spans="2:8" ht="16.5" x14ac:dyDescent="0.25">
      <c r="B8" s="93"/>
      <c r="C8" s="94"/>
      <c r="D8" s="94"/>
      <c r="E8" s="94"/>
      <c r="F8" s="94"/>
      <c r="G8" s="94"/>
      <c r="H8" s="95"/>
    </row>
    <row r="9" spans="2:8" ht="16.5" customHeight="1" x14ac:dyDescent="0.25">
      <c r="B9" s="256" t="s">
        <v>176</v>
      </c>
      <c r="C9" s="257"/>
      <c r="D9" s="257"/>
      <c r="E9" s="257"/>
      <c r="F9" s="257"/>
      <c r="G9" s="257"/>
      <c r="H9" s="258"/>
    </row>
    <row r="10" spans="2:8" ht="44.25" customHeight="1" x14ac:dyDescent="0.25">
      <c r="B10" s="256"/>
      <c r="C10" s="257"/>
      <c r="D10" s="257"/>
      <c r="E10" s="257"/>
      <c r="F10" s="257"/>
      <c r="G10" s="257"/>
      <c r="H10" s="258"/>
    </row>
    <row r="11" spans="2:8" ht="15.75" thickBot="1" x14ac:dyDescent="0.3">
      <c r="B11" s="82"/>
      <c r="C11" s="85"/>
      <c r="D11" s="90"/>
      <c r="E11" s="91"/>
      <c r="F11" s="91"/>
      <c r="G11" s="92"/>
      <c r="H11" s="86"/>
    </row>
    <row r="12" spans="2:8" ht="15.75" thickTop="1" x14ac:dyDescent="0.25">
      <c r="B12" s="82"/>
      <c r="C12" s="259" t="s">
        <v>139</v>
      </c>
      <c r="D12" s="260"/>
      <c r="E12" s="261" t="s">
        <v>177</v>
      </c>
      <c r="F12" s="262"/>
      <c r="G12" s="85"/>
      <c r="H12" s="86"/>
    </row>
    <row r="13" spans="2:8" ht="35.25" customHeight="1" x14ac:dyDescent="0.25">
      <c r="B13" s="82"/>
      <c r="C13" s="231" t="s">
        <v>170</v>
      </c>
      <c r="D13" s="232"/>
      <c r="E13" s="233" t="s">
        <v>175</v>
      </c>
      <c r="F13" s="234"/>
      <c r="G13" s="85"/>
      <c r="H13" s="86"/>
    </row>
    <row r="14" spans="2:8" ht="17.25" customHeight="1" x14ac:dyDescent="0.25">
      <c r="B14" s="82"/>
      <c r="C14" s="231" t="s">
        <v>171</v>
      </c>
      <c r="D14" s="232"/>
      <c r="E14" s="233" t="s">
        <v>173</v>
      </c>
      <c r="F14" s="234"/>
      <c r="G14" s="85"/>
      <c r="H14" s="86"/>
    </row>
    <row r="15" spans="2:8" ht="19.5" customHeight="1" x14ac:dyDescent="0.25">
      <c r="B15" s="82"/>
      <c r="C15" s="231" t="s">
        <v>172</v>
      </c>
      <c r="D15" s="232"/>
      <c r="E15" s="233" t="s">
        <v>174</v>
      </c>
      <c r="F15" s="234"/>
      <c r="G15" s="85"/>
      <c r="H15" s="86"/>
    </row>
    <row r="16" spans="2:8" ht="69.75" customHeight="1" x14ac:dyDescent="0.25">
      <c r="B16" s="82"/>
      <c r="C16" s="231" t="s">
        <v>141</v>
      </c>
      <c r="D16" s="232"/>
      <c r="E16" s="233" t="s">
        <v>142</v>
      </c>
      <c r="F16" s="234"/>
      <c r="G16" s="85"/>
      <c r="H16" s="86"/>
    </row>
    <row r="17" spans="2:8" ht="34.5" customHeight="1" x14ac:dyDescent="0.25">
      <c r="B17" s="82"/>
      <c r="C17" s="235" t="s">
        <v>2</v>
      </c>
      <c r="D17" s="236"/>
      <c r="E17" s="227" t="s">
        <v>184</v>
      </c>
      <c r="F17" s="228"/>
      <c r="G17" s="85"/>
      <c r="H17" s="86"/>
    </row>
    <row r="18" spans="2:8" ht="27.75" customHeight="1" x14ac:dyDescent="0.25">
      <c r="B18" s="82"/>
      <c r="C18" s="235" t="s">
        <v>3</v>
      </c>
      <c r="D18" s="236"/>
      <c r="E18" s="227" t="s">
        <v>185</v>
      </c>
      <c r="F18" s="228"/>
      <c r="G18" s="85"/>
      <c r="H18" s="86"/>
    </row>
    <row r="19" spans="2:8" ht="28.5" customHeight="1" x14ac:dyDescent="0.25">
      <c r="B19" s="82"/>
      <c r="C19" s="235" t="s">
        <v>38</v>
      </c>
      <c r="D19" s="236"/>
      <c r="E19" s="227" t="s">
        <v>186</v>
      </c>
      <c r="F19" s="228"/>
      <c r="G19" s="85"/>
      <c r="H19" s="86"/>
    </row>
    <row r="20" spans="2:8" ht="72.75" customHeight="1" x14ac:dyDescent="0.25">
      <c r="B20" s="82"/>
      <c r="C20" s="235" t="s">
        <v>1</v>
      </c>
      <c r="D20" s="236"/>
      <c r="E20" s="227" t="s">
        <v>187</v>
      </c>
      <c r="F20" s="228"/>
      <c r="G20" s="85"/>
      <c r="H20" s="86"/>
    </row>
    <row r="21" spans="2:8" ht="64.5" customHeight="1" x14ac:dyDescent="0.25">
      <c r="B21" s="82"/>
      <c r="C21" s="235" t="s">
        <v>44</v>
      </c>
      <c r="D21" s="236"/>
      <c r="E21" s="227" t="s">
        <v>145</v>
      </c>
      <c r="F21" s="228"/>
      <c r="G21" s="85"/>
      <c r="H21" s="86"/>
    </row>
    <row r="22" spans="2:8" ht="71.25" customHeight="1" x14ac:dyDescent="0.25">
      <c r="B22" s="82"/>
      <c r="C22" s="235" t="s">
        <v>144</v>
      </c>
      <c r="D22" s="236"/>
      <c r="E22" s="227" t="s">
        <v>146</v>
      </c>
      <c r="F22" s="228"/>
      <c r="G22" s="85"/>
      <c r="H22" s="86"/>
    </row>
    <row r="23" spans="2:8" ht="55.5" customHeight="1" x14ac:dyDescent="0.25">
      <c r="B23" s="82"/>
      <c r="C23" s="229" t="s">
        <v>147</v>
      </c>
      <c r="D23" s="230"/>
      <c r="E23" s="227" t="s">
        <v>148</v>
      </c>
      <c r="F23" s="228"/>
      <c r="G23" s="85"/>
      <c r="H23" s="86"/>
    </row>
    <row r="24" spans="2:8" ht="42" customHeight="1" x14ac:dyDescent="0.25">
      <c r="B24" s="82"/>
      <c r="C24" s="229" t="s">
        <v>42</v>
      </c>
      <c r="D24" s="230"/>
      <c r="E24" s="227" t="s">
        <v>149</v>
      </c>
      <c r="F24" s="228"/>
      <c r="G24" s="85"/>
      <c r="H24" s="86"/>
    </row>
    <row r="25" spans="2:8" ht="59.25" customHeight="1" x14ac:dyDescent="0.25">
      <c r="B25" s="82"/>
      <c r="C25" s="229" t="s">
        <v>137</v>
      </c>
      <c r="D25" s="230"/>
      <c r="E25" s="227" t="s">
        <v>150</v>
      </c>
      <c r="F25" s="228"/>
      <c r="G25" s="85"/>
      <c r="H25" s="86"/>
    </row>
    <row r="26" spans="2:8" ht="23.25" customHeight="1" x14ac:dyDescent="0.25">
      <c r="B26" s="82"/>
      <c r="C26" s="229" t="s">
        <v>12</v>
      </c>
      <c r="D26" s="230"/>
      <c r="E26" s="227" t="s">
        <v>151</v>
      </c>
      <c r="F26" s="228"/>
      <c r="G26" s="85"/>
      <c r="H26" s="86"/>
    </row>
    <row r="27" spans="2:8" ht="30.75" customHeight="1" x14ac:dyDescent="0.25">
      <c r="B27" s="82"/>
      <c r="C27" s="229" t="s">
        <v>155</v>
      </c>
      <c r="D27" s="230"/>
      <c r="E27" s="227" t="s">
        <v>152</v>
      </c>
      <c r="F27" s="228"/>
      <c r="G27" s="85"/>
      <c r="H27" s="86"/>
    </row>
    <row r="28" spans="2:8" ht="35.25" customHeight="1" x14ac:dyDescent="0.25">
      <c r="B28" s="82"/>
      <c r="C28" s="229" t="s">
        <v>156</v>
      </c>
      <c r="D28" s="230"/>
      <c r="E28" s="227" t="s">
        <v>153</v>
      </c>
      <c r="F28" s="228"/>
      <c r="G28" s="85"/>
      <c r="H28" s="86"/>
    </row>
    <row r="29" spans="2:8" ht="33" customHeight="1" x14ac:dyDescent="0.25">
      <c r="B29" s="82"/>
      <c r="C29" s="229" t="s">
        <v>156</v>
      </c>
      <c r="D29" s="230"/>
      <c r="E29" s="227" t="s">
        <v>153</v>
      </c>
      <c r="F29" s="228"/>
      <c r="G29" s="85"/>
      <c r="H29" s="86"/>
    </row>
    <row r="30" spans="2:8" ht="30" customHeight="1" x14ac:dyDescent="0.25">
      <c r="B30" s="82"/>
      <c r="C30" s="229" t="s">
        <v>157</v>
      </c>
      <c r="D30" s="230"/>
      <c r="E30" s="227" t="s">
        <v>154</v>
      </c>
      <c r="F30" s="228"/>
      <c r="G30" s="85"/>
      <c r="H30" s="86"/>
    </row>
    <row r="31" spans="2:8" ht="35.25" customHeight="1" x14ac:dyDescent="0.25">
      <c r="B31" s="82"/>
      <c r="C31" s="229" t="s">
        <v>158</v>
      </c>
      <c r="D31" s="230"/>
      <c r="E31" s="227" t="s">
        <v>159</v>
      </c>
      <c r="F31" s="228"/>
      <c r="G31" s="85"/>
      <c r="H31" s="86"/>
    </row>
    <row r="32" spans="2:8" ht="31.5" customHeight="1" x14ac:dyDescent="0.25">
      <c r="B32" s="82"/>
      <c r="C32" s="229" t="s">
        <v>160</v>
      </c>
      <c r="D32" s="230"/>
      <c r="E32" s="227" t="s">
        <v>161</v>
      </c>
      <c r="F32" s="228"/>
      <c r="G32" s="85"/>
      <c r="H32" s="86"/>
    </row>
    <row r="33" spans="2:8" ht="35.25" customHeight="1" x14ac:dyDescent="0.25">
      <c r="B33" s="82"/>
      <c r="C33" s="229" t="s">
        <v>162</v>
      </c>
      <c r="D33" s="230"/>
      <c r="E33" s="227" t="s">
        <v>163</v>
      </c>
      <c r="F33" s="228"/>
      <c r="G33" s="85"/>
      <c r="H33" s="86"/>
    </row>
    <row r="34" spans="2:8" ht="59.25" customHeight="1" x14ac:dyDescent="0.25">
      <c r="B34" s="82"/>
      <c r="C34" s="229" t="s">
        <v>164</v>
      </c>
      <c r="D34" s="230"/>
      <c r="E34" s="227" t="s">
        <v>165</v>
      </c>
      <c r="F34" s="228"/>
      <c r="G34" s="85"/>
      <c r="H34" s="86"/>
    </row>
    <row r="35" spans="2:8" ht="29.25" customHeight="1" x14ac:dyDescent="0.25">
      <c r="B35" s="82"/>
      <c r="C35" s="229" t="s">
        <v>29</v>
      </c>
      <c r="D35" s="230"/>
      <c r="E35" s="227" t="s">
        <v>166</v>
      </c>
      <c r="F35" s="228"/>
      <c r="G35" s="85"/>
      <c r="H35" s="86"/>
    </row>
    <row r="36" spans="2:8" ht="82.5" customHeight="1" x14ac:dyDescent="0.25">
      <c r="B36" s="82"/>
      <c r="C36" s="229" t="s">
        <v>168</v>
      </c>
      <c r="D36" s="230"/>
      <c r="E36" s="227" t="s">
        <v>167</v>
      </c>
      <c r="F36" s="228"/>
      <c r="G36" s="85"/>
      <c r="H36" s="86"/>
    </row>
    <row r="37" spans="2:8" ht="46.5" customHeight="1" x14ac:dyDescent="0.25">
      <c r="B37" s="82"/>
      <c r="C37" s="229" t="s">
        <v>35</v>
      </c>
      <c r="D37" s="230"/>
      <c r="E37" s="227" t="s">
        <v>169</v>
      </c>
      <c r="F37" s="228"/>
      <c r="G37" s="85"/>
      <c r="H37" s="86"/>
    </row>
    <row r="38" spans="2:8" ht="6.75" customHeight="1" thickBot="1" x14ac:dyDescent="0.3">
      <c r="B38" s="82"/>
      <c r="C38" s="240"/>
      <c r="D38" s="241"/>
      <c r="E38" s="242"/>
      <c r="F38" s="243"/>
      <c r="G38" s="85"/>
      <c r="H38" s="86"/>
    </row>
    <row r="39" spans="2:8" ht="15.75" thickTop="1" x14ac:dyDescent="0.25">
      <c r="B39" s="82"/>
      <c r="C39" s="83"/>
      <c r="D39" s="83"/>
      <c r="E39" s="84"/>
      <c r="F39" s="84"/>
      <c r="G39" s="85"/>
      <c r="H39" s="86"/>
    </row>
    <row r="40" spans="2:8" ht="21" customHeight="1" x14ac:dyDescent="0.25">
      <c r="B40" s="237" t="s">
        <v>178</v>
      </c>
      <c r="C40" s="238"/>
      <c r="D40" s="238"/>
      <c r="E40" s="238"/>
      <c r="F40" s="238"/>
      <c r="G40" s="238"/>
      <c r="H40" s="239"/>
    </row>
    <row r="41" spans="2:8" ht="20.25" customHeight="1" x14ac:dyDescent="0.25">
      <c r="B41" s="237" t="s">
        <v>179</v>
      </c>
      <c r="C41" s="238"/>
      <c r="D41" s="238"/>
      <c r="E41" s="238"/>
      <c r="F41" s="238"/>
      <c r="G41" s="238"/>
      <c r="H41" s="239"/>
    </row>
    <row r="42" spans="2:8" ht="20.25" customHeight="1" x14ac:dyDescent="0.25">
      <c r="B42" s="237" t="s">
        <v>180</v>
      </c>
      <c r="C42" s="238"/>
      <c r="D42" s="238"/>
      <c r="E42" s="238"/>
      <c r="F42" s="238"/>
      <c r="G42" s="238"/>
      <c r="H42" s="239"/>
    </row>
    <row r="43" spans="2:8" ht="20.25" customHeight="1" x14ac:dyDescent="0.25">
      <c r="B43" s="237" t="s">
        <v>181</v>
      </c>
      <c r="C43" s="238"/>
      <c r="D43" s="238"/>
      <c r="E43" s="238"/>
      <c r="F43" s="238"/>
      <c r="G43" s="238"/>
      <c r="H43" s="239"/>
    </row>
    <row r="44" spans="2:8" x14ac:dyDescent="0.25">
      <c r="B44" s="237" t="s">
        <v>182</v>
      </c>
      <c r="C44" s="238"/>
      <c r="D44" s="238"/>
      <c r="E44" s="238"/>
      <c r="F44" s="238"/>
      <c r="G44" s="238"/>
      <c r="H44" s="239"/>
    </row>
    <row r="45" spans="2:8" ht="15.75" thickBot="1" x14ac:dyDescent="0.3">
      <c r="B45" s="87"/>
      <c r="C45" s="88"/>
      <c r="D45" s="88"/>
      <c r="E45" s="88"/>
      <c r="F45" s="88"/>
      <c r="G45" s="88"/>
      <c r="H45" s="89"/>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48"/>
  <sheetViews>
    <sheetView topLeftCell="A240" zoomScale="60" zoomScaleNormal="60" workbookViewId="0">
      <selection activeCell="O273" sqref="O273"/>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row>
    <row r="2" spans="1:76" ht="18" customHeight="1" x14ac:dyDescent="0.25">
      <c r="A2" s="56"/>
      <c r="B2" s="283" t="s">
        <v>134</v>
      </c>
      <c r="C2" s="284"/>
      <c r="D2" s="284"/>
      <c r="E2" s="284"/>
      <c r="F2" s="284"/>
      <c r="G2" s="284"/>
      <c r="H2" s="284"/>
      <c r="I2" s="284"/>
      <c r="J2" s="285" t="s">
        <v>2</v>
      </c>
      <c r="K2" s="285"/>
      <c r="L2" s="285"/>
      <c r="M2" s="285"/>
      <c r="N2" s="285"/>
      <c r="O2" s="285"/>
      <c r="P2" s="285"/>
      <c r="Q2" s="285"/>
      <c r="R2" s="285"/>
      <c r="S2" s="285"/>
      <c r="T2" s="285"/>
      <c r="U2" s="285"/>
      <c r="V2" s="285"/>
      <c r="W2" s="285"/>
      <c r="X2" s="285"/>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row>
    <row r="3" spans="1:76" ht="18.75" customHeight="1" x14ac:dyDescent="0.25">
      <c r="A3" s="56"/>
      <c r="B3" s="284"/>
      <c r="C3" s="284"/>
      <c r="D3" s="284"/>
      <c r="E3" s="284"/>
      <c r="F3" s="284"/>
      <c r="G3" s="284"/>
      <c r="H3" s="284"/>
      <c r="I3" s="284"/>
      <c r="J3" s="285"/>
      <c r="K3" s="285"/>
      <c r="L3" s="285"/>
      <c r="M3" s="285"/>
      <c r="N3" s="285"/>
      <c r="O3" s="285"/>
      <c r="P3" s="285"/>
      <c r="Q3" s="285"/>
      <c r="R3" s="285"/>
      <c r="S3" s="285"/>
      <c r="T3" s="285"/>
      <c r="U3" s="285"/>
      <c r="V3" s="285"/>
      <c r="W3" s="285"/>
      <c r="X3" s="285"/>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row>
    <row r="4" spans="1:76" ht="15" customHeight="1" x14ac:dyDescent="0.25">
      <c r="A4" s="56"/>
      <c r="B4" s="284"/>
      <c r="C4" s="284"/>
      <c r="D4" s="284"/>
      <c r="E4" s="284"/>
      <c r="F4" s="284"/>
      <c r="G4" s="284"/>
      <c r="H4" s="284"/>
      <c r="I4" s="284"/>
      <c r="J4" s="285"/>
      <c r="K4" s="285"/>
      <c r="L4" s="285"/>
      <c r="M4" s="285"/>
      <c r="N4" s="285"/>
      <c r="O4" s="285"/>
      <c r="P4" s="285"/>
      <c r="Q4" s="285"/>
      <c r="R4" s="285"/>
      <c r="S4" s="285"/>
      <c r="T4" s="285"/>
      <c r="U4" s="285"/>
      <c r="V4" s="285"/>
      <c r="W4" s="285"/>
      <c r="X4" s="285"/>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row>
    <row r="5" spans="1:76" ht="15.75" thickBot="1" x14ac:dyDescent="0.3">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row>
    <row r="6" spans="1:76" ht="15" customHeight="1" x14ac:dyDescent="0.25">
      <c r="A6" s="56"/>
      <c r="B6" s="286" t="s">
        <v>4</v>
      </c>
      <c r="C6" s="286"/>
      <c r="D6" s="287"/>
      <c r="E6" s="272" t="s">
        <v>107</v>
      </c>
      <c r="F6" s="273"/>
      <c r="G6" s="273"/>
      <c r="H6" s="273"/>
      <c r="I6" s="273"/>
      <c r="J6" s="101" t="str">
        <f ca="1">IF(AND('Mapa final'!$AB$7="Muy Alta",'Mapa final'!$AD$7="Leve"),CONCATENATE("R1C",'Mapa final'!$R$7),"")</f>
        <v/>
      </c>
      <c r="K6" s="102" t="str">
        <f>IF(AND('Mapa final'!$AB$8="Muy Alta",'Mapa final'!$AD$8="Leve"),CONCATENATE("R1C",'Mapa final'!$R$8),"")</f>
        <v/>
      </c>
      <c r="L6" s="103" t="str">
        <f>IF(AND('Mapa final'!$AB$9="Muy Alta",'Mapa final'!$AD$9="Leve"),CONCATENATE("R1C",'Mapa final'!$R$9),"")</f>
        <v/>
      </c>
      <c r="M6" s="101" t="str">
        <f ca="1">IF(AND('Mapa final'!$AB$7="Muy Alta",'Mapa final'!$AD$7="Menor"),CONCATENATE("R1C",'Mapa final'!$R$7),"")</f>
        <v/>
      </c>
      <c r="N6" s="102" t="str">
        <f>IF(AND('Mapa final'!$AB$8="Muy Alta",'Mapa final'!$AD$8="Menor"),CONCATENATE("R1C",'Mapa final'!$R$8),"")</f>
        <v/>
      </c>
      <c r="O6" s="103" t="str">
        <f>IF(AND('Mapa final'!$AB$9="Muy Alta",'Mapa final'!$AD$9="Menor"),CONCATENATE("R1C",'Mapa final'!$R$9),"")</f>
        <v/>
      </c>
      <c r="P6" s="101" t="str">
        <f ca="1">IF(AND('Mapa final'!$AB$7="Muy Alta",'Mapa final'!$AD$7="Moderado"),CONCATENATE("R1C",'Mapa final'!$R$7),"")</f>
        <v/>
      </c>
      <c r="Q6" s="102" t="str">
        <f>IF(AND('Mapa final'!$AB$8="Muy Alta",'Mapa final'!$AD$8="Moderado"),CONCATENATE("R1C",'Mapa final'!$R$8),"")</f>
        <v/>
      </c>
      <c r="R6" s="103" t="str">
        <f>IF(AND('Mapa final'!$AB$9="Muy Alta",'Mapa final'!$AD$9="Moderado"),CONCATENATE("R1C",'Mapa final'!$R$9),"")</f>
        <v/>
      </c>
      <c r="S6" s="101" t="str">
        <f ca="1">IF(AND('Mapa final'!$AB$7="Muy Alta",'Mapa final'!$AD$7="Mayor"),CONCATENATE("R1C",'Mapa final'!$R$7),"")</f>
        <v/>
      </c>
      <c r="T6" s="102" t="str">
        <f>IF(AND('Mapa final'!$AB$8="Muy Alta",'Mapa final'!$AD$8="Mayor"),CONCATENATE("R1C",'Mapa final'!$R$8),"")</f>
        <v/>
      </c>
      <c r="U6" s="103" t="str">
        <f>IF(AND('Mapa final'!$AB$9="Muy Alta",'Mapa final'!$AD$9="Mayor"),CONCATENATE("R1C",'Mapa final'!$R$9),"")</f>
        <v/>
      </c>
      <c r="V6" s="40" t="str">
        <f ca="1">IF(AND('Mapa final'!$AB$7="Muy Alta",'Mapa final'!$AD$7="Catastrófico"),CONCATENATE("R1C",'Mapa final'!$R$7),"")</f>
        <v/>
      </c>
      <c r="W6" s="41" t="str">
        <f>IF(AND('Mapa final'!$AB$8="Muy Alta",'Mapa final'!$AD$8="Catastrófico"),CONCATENATE("R1C",'Mapa final'!$R$8),"")</f>
        <v/>
      </c>
      <c r="X6" s="98" t="str">
        <f>IF(AND('Mapa final'!$AB$9="Muy Alta",'Mapa final'!$AD$9="Catastrófico"),CONCATENATE("R1C",'Mapa final'!$R$9),"")</f>
        <v/>
      </c>
      <c r="Y6" s="56"/>
      <c r="Z6" s="277" t="s">
        <v>73</v>
      </c>
      <c r="AA6" s="278"/>
      <c r="AB6" s="278"/>
      <c r="AC6" s="278"/>
      <c r="AD6" s="278"/>
      <c r="AE6" s="279"/>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row>
    <row r="7" spans="1:76" ht="15" customHeight="1" x14ac:dyDescent="0.25">
      <c r="A7" s="56"/>
      <c r="B7" s="286"/>
      <c r="C7" s="286"/>
      <c r="D7" s="287"/>
      <c r="E7" s="276"/>
      <c r="F7" s="275"/>
      <c r="G7" s="275"/>
      <c r="H7" s="275"/>
      <c r="I7" s="275"/>
      <c r="J7" s="104" t="str">
        <f ca="1">IF(AND('Mapa final'!$AB$10="Muy Alta",'Mapa final'!$AD$10="Leve"),CONCATENATE("R2C",'Mapa final'!$R$10),"")</f>
        <v/>
      </c>
      <c r="K7" s="42" t="str">
        <f>IF(AND('Mapa final'!$AB$11="Muy Alta",'Mapa final'!$AD$11="Leve"),CONCATENATE("R2C",'Mapa final'!$R$11),"")</f>
        <v/>
      </c>
      <c r="L7" s="105" t="str">
        <f>IF(AND('Mapa final'!$AB$12="Muy Alta",'Mapa final'!$AD$12="Leve"),CONCATENATE("R2C",'Mapa final'!$R$12),"")</f>
        <v/>
      </c>
      <c r="M7" s="104" t="str">
        <f ca="1">IF(AND('Mapa final'!$AB$10="Muy Alta",'Mapa final'!$AD$10="Menor"),CONCATENATE("R2C",'Mapa final'!$R$10),"")</f>
        <v/>
      </c>
      <c r="N7" s="42" t="str">
        <f>IF(AND('Mapa final'!$AB$11="Muy Alta",'Mapa final'!$AD$11="Menor"),CONCATENATE("R2C",'Mapa final'!$R$11),"")</f>
        <v/>
      </c>
      <c r="O7" s="105" t="str">
        <f>IF(AND('Mapa final'!$AB$12="Muy Alta",'Mapa final'!$AD$12="Menor"),CONCATENATE("R2C",'Mapa final'!$R$12),"")</f>
        <v/>
      </c>
      <c r="P7" s="104" t="str">
        <f ca="1">IF(AND('Mapa final'!$AB$10="Muy Alta",'Mapa final'!$AD$10="Moderado"),CONCATENATE("R2C",'Mapa final'!$R$10),"")</f>
        <v/>
      </c>
      <c r="Q7" s="42" t="str">
        <f>IF(AND('Mapa final'!$AB$11="Muy Alta",'Mapa final'!$AD$11="Moderado"),CONCATENATE("R2C",'Mapa final'!$R$11),"")</f>
        <v/>
      </c>
      <c r="R7" s="105" t="str">
        <f>IF(AND('Mapa final'!$AB$12="Muy Alta",'Mapa final'!$AD$12="Moderado"),CONCATENATE("R2C",'Mapa final'!$R$12),"")</f>
        <v/>
      </c>
      <c r="S7" s="104" t="str">
        <f ca="1">IF(AND('Mapa final'!$AB$10="Muy Alta",'Mapa final'!$AD$10="Mayor"),CONCATENATE("R2C",'Mapa final'!$R$10),"")</f>
        <v/>
      </c>
      <c r="T7" s="42" t="str">
        <f>IF(AND('Mapa final'!$AB$11="Muy Alta",'Mapa final'!$AD$11="Mayor"),CONCATENATE("R2C",'Mapa final'!$R$11),"")</f>
        <v/>
      </c>
      <c r="U7" s="105" t="str">
        <f>IF(AND('Mapa final'!$AB$12="Muy Alta",'Mapa final'!$AD$12="Mayor"),CONCATENATE("R2C",'Mapa final'!$R$12),"")</f>
        <v/>
      </c>
      <c r="V7" s="43" t="str">
        <f ca="1">IF(AND('Mapa final'!$AB$10="Muy Alta",'Mapa final'!$AD$10="Catastrófico"),CONCATENATE("R2C",'Mapa final'!$R$10),"")</f>
        <v/>
      </c>
      <c r="W7" s="44" t="str">
        <f>IF(AND('Mapa final'!$AB$11="Muy Alta",'Mapa final'!$AD$11="Catastrófico"),CONCATENATE("R2C",'Mapa final'!$R$11),"")</f>
        <v/>
      </c>
      <c r="X7" s="99" t="str">
        <f>IF(AND('Mapa final'!$AB$12="Muy Alta",'Mapa final'!$AD$12="Catastrófico"),CONCATENATE("R2C",'Mapa final'!$R$12),"")</f>
        <v/>
      </c>
      <c r="Y7" s="56"/>
      <c r="Z7" s="280"/>
      <c r="AA7" s="281"/>
      <c r="AB7" s="281"/>
      <c r="AC7" s="281"/>
      <c r="AD7" s="281"/>
      <c r="AE7" s="282"/>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row>
    <row r="8" spans="1:76" ht="15" customHeight="1" x14ac:dyDescent="0.25">
      <c r="A8" s="56"/>
      <c r="B8" s="286"/>
      <c r="C8" s="286"/>
      <c r="D8" s="287"/>
      <c r="E8" s="276"/>
      <c r="F8" s="275"/>
      <c r="G8" s="275"/>
      <c r="H8" s="275"/>
      <c r="I8" s="275"/>
      <c r="J8" s="104" t="str">
        <f ca="1">IF(AND('Mapa final'!$AB$13="Muy Alta",'Mapa final'!$AD$13="Leve"),CONCATENATE("R3C",'Mapa final'!$R$13),"")</f>
        <v/>
      </c>
      <c r="K8" s="42" t="str">
        <f>IF(AND('Mapa final'!$AB$14="Muy Alta",'Mapa final'!$AD$14="Leve"),CONCATENATE("R3C",'Mapa final'!$R$14),"")</f>
        <v/>
      </c>
      <c r="L8" s="105" t="str">
        <f>IF(AND('Mapa final'!$AB$15="Muy Alta",'Mapa final'!$AD$15="Leve"),CONCATENATE("R3C",'Mapa final'!$R$15),"")</f>
        <v/>
      </c>
      <c r="M8" s="104" t="str">
        <f ca="1">IF(AND('Mapa final'!$AB$13="Muy Alta",'Mapa final'!$AD$13="Menor"),CONCATENATE("R3C",'Mapa final'!$R$13),"")</f>
        <v/>
      </c>
      <c r="N8" s="42" t="str">
        <f>IF(AND('Mapa final'!$AB$14="Muy Alta",'Mapa final'!$AD$14="Menor"),CONCATENATE("R3C",'Mapa final'!$R$14),"")</f>
        <v/>
      </c>
      <c r="O8" s="105" t="str">
        <f>IF(AND('Mapa final'!$AB$15="Muy Alta",'Mapa final'!$AD$15="Menor"),CONCATENATE("R3C",'Mapa final'!$R$15),"")</f>
        <v/>
      </c>
      <c r="P8" s="104" t="str">
        <f ca="1">IF(AND('Mapa final'!$AB$13="Muy Alta",'Mapa final'!$AD$13="Moderado"),CONCATENATE("R3C",'Mapa final'!$R$13),"")</f>
        <v/>
      </c>
      <c r="Q8" s="42" t="str">
        <f>IF(AND('Mapa final'!$AB$14="Muy Alta",'Mapa final'!$AD$14="Moderado"),CONCATENATE("R3C",'Mapa final'!$R$14),"")</f>
        <v/>
      </c>
      <c r="R8" s="105" t="str">
        <f>IF(AND('Mapa final'!$AB$15="Muy Alta",'Mapa final'!$AD$15="Moderado"),CONCATENATE("R3C",'Mapa final'!$R$15),"")</f>
        <v/>
      </c>
      <c r="S8" s="104" t="str">
        <f ca="1">IF(AND('Mapa final'!$AB$13="Muy Alta",'Mapa final'!$AD$13="Mayor"),CONCATENATE("R3C",'Mapa final'!$R$13),"")</f>
        <v/>
      </c>
      <c r="T8" s="42" t="str">
        <f>IF(AND('Mapa final'!$AB$14="Muy Alta",'Mapa final'!$AD$14="Mayor"),CONCATENATE("R3C",'Mapa final'!$R$14),"")</f>
        <v/>
      </c>
      <c r="U8" s="105" t="str">
        <f>IF(AND('Mapa final'!$AB$15="Muy Alta",'Mapa final'!$AD$15="Mayor"),CONCATENATE("R3C",'Mapa final'!$R$15),"")</f>
        <v/>
      </c>
      <c r="V8" s="43" t="str">
        <f ca="1">IF(AND('Mapa final'!$AB$13="Muy Alta",'Mapa final'!$AD$13="Catastrófico"),CONCATENATE("R3C",'Mapa final'!$R$13),"")</f>
        <v/>
      </c>
      <c r="W8" s="44" t="str">
        <f>IF(AND('Mapa final'!$AB$14="Muy Alta",'Mapa final'!$AD$14="Catastrófico"),CONCATENATE("R3C",'Mapa final'!$R$14),"")</f>
        <v/>
      </c>
      <c r="X8" s="99" t="str">
        <f>IF(AND('Mapa final'!$AB$15="Muy Alta",'Mapa final'!$AD$15="Catastrófico"),CONCATENATE("R3C",'Mapa final'!$R$15),"")</f>
        <v/>
      </c>
      <c r="Y8" s="56"/>
      <c r="Z8" s="280"/>
      <c r="AA8" s="281"/>
      <c r="AB8" s="281"/>
      <c r="AC8" s="281"/>
      <c r="AD8" s="281"/>
      <c r="AE8" s="282"/>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row>
    <row r="9" spans="1:76" ht="15" customHeight="1" x14ac:dyDescent="0.25">
      <c r="A9" s="56"/>
      <c r="B9" s="286"/>
      <c r="C9" s="286"/>
      <c r="D9" s="287"/>
      <c r="E9" s="276"/>
      <c r="F9" s="275"/>
      <c r="G9" s="275"/>
      <c r="H9" s="275"/>
      <c r="I9" s="275"/>
      <c r="J9" s="104" t="e">
        <f>IF(AND('Mapa final'!#REF!="Muy Alta",'Mapa final'!#REF!="Leve"),CONCATENATE("R4C",'Mapa final'!#REF!),"")</f>
        <v>#REF!</v>
      </c>
      <c r="K9" s="42" t="e">
        <f>IF(AND('Mapa final'!#REF!="Muy Alta",'Mapa final'!#REF!="Leve"),CONCATENATE("R4C",'Mapa final'!#REF!),"")</f>
        <v>#REF!</v>
      </c>
      <c r="L9" s="105" t="e">
        <f>IF(AND('Mapa final'!#REF!="Muy Alta",'Mapa final'!#REF!="Leve"),CONCATENATE("R4C",'Mapa final'!#REF!),"")</f>
        <v>#REF!</v>
      </c>
      <c r="M9" s="104" t="e">
        <f>IF(AND('Mapa final'!#REF!="Muy Alta",'Mapa final'!#REF!="Menor"),CONCATENATE("R4C",'Mapa final'!#REF!),"")</f>
        <v>#REF!</v>
      </c>
      <c r="N9" s="42" t="e">
        <f>IF(AND('Mapa final'!#REF!="Muy Alta",'Mapa final'!#REF!="Menor"),CONCATENATE("R4C",'Mapa final'!#REF!),"")</f>
        <v>#REF!</v>
      </c>
      <c r="O9" s="105" t="e">
        <f>IF(AND('Mapa final'!#REF!="Muy Alta",'Mapa final'!#REF!="Menor"),CONCATENATE("R4C",'Mapa final'!#REF!),"")</f>
        <v>#REF!</v>
      </c>
      <c r="P9" s="104" t="e">
        <f>IF(AND('Mapa final'!#REF!="Muy Alta",'Mapa final'!#REF!="Moderado"),CONCATENATE("R4C",'Mapa final'!#REF!),"")</f>
        <v>#REF!</v>
      </c>
      <c r="Q9" s="42" t="e">
        <f>IF(AND('Mapa final'!#REF!="Muy Alta",'Mapa final'!#REF!="Moderado"),CONCATENATE("R4C",'Mapa final'!#REF!),"")</f>
        <v>#REF!</v>
      </c>
      <c r="R9" s="105" t="e">
        <f>IF(AND('Mapa final'!#REF!="Muy Alta",'Mapa final'!#REF!="Moderado"),CONCATENATE("R4C",'Mapa final'!#REF!),"")</f>
        <v>#REF!</v>
      </c>
      <c r="S9" s="104" t="e">
        <f>IF(AND('Mapa final'!#REF!="Muy Alta",'Mapa final'!#REF!="Mayor"),CONCATENATE("R4C",'Mapa final'!#REF!),"")</f>
        <v>#REF!</v>
      </c>
      <c r="T9" s="42" t="e">
        <f>IF(AND('Mapa final'!#REF!="Muy Alta",'Mapa final'!#REF!="Mayor"),CONCATENATE("R4C",'Mapa final'!#REF!),"")</f>
        <v>#REF!</v>
      </c>
      <c r="U9" s="105" t="e">
        <f>IF(AND('Mapa final'!#REF!="Muy Alta",'Mapa final'!#REF!="Mayor"),CONCATENATE("R4C",'Mapa final'!#REF!),"")</f>
        <v>#REF!</v>
      </c>
      <c r="V9" s="43" t="e">
        <f>IF(AND('Mapa final'!#REF!="Muy Alta",'Mapa final'!#REF!="Catastrófico"),CONCATENATE("R4C",'Mapa final'!#REF!),"")</f>
        <v>#REF!</v>
      </c>
      <c r="W9" s="44" t="e">
        <f>IF(AND('Mapa final'!#REF!="Muy Alta",'Mapa final'!#REF!="Catastrófico"),CONCATENATE("R4C",'Mapa final'!#REF!),"")</f>
        <v>#REF!</v>
      </c>
      <c r="X9" s="99" t="e">
        <f>IF(AND('Mapa final'!#REF!="Muy Alta",'Mapa final'!#REF!="Catastrófico"),CONCATENATE("R4C",'Mapa final'!#REF!),"")</f>
        <v>#REF!</v>
      </c>
      <c r="Y9" s="56"/>
      <c r="Z9" s="280"/>
      <c r="AA9" s="281"/>
      <c r="AB9" s="281"/>
      <c r="AC9" s="281"/>
      <c r="AD9" s="281"/>
      <c r="AE9" s="282"/>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row>
    <row r="10" spans="1:76" ht="15" customHeight="1" x14ac:dyDescent="0.25">
      <c r="A10" s="56"/>
      <c r="B10" s="286"/>
      <c r="C10" s="286"/>
      <c r="D10" s="287"/>
      <c r="E10" s="276"/>
      <c r="F10" s="275"/>
      <c r="G10" s="275"/>
      <c r="H10" s="275"/>
      <c r="I10" s="275"/>
      <c r="J10" s="104" t="e">
        <f>IF(AND('Mapa final'!#REF!="Muy Alta",'Mapa final'!#REF!="Leve"),CONCATENATE("R5C",'Mapa final'!#REF!),"")</f>
        <v>#REF!</v>
      </c>
      <c r="K10" s="42" t="e">
        <f>IF(AND('Mapa final'!#REF!="Muy Alta",'Mapa final'!#REF!="Leve"),CONCATENATE("R5C",'Mapa final'!#REF!),"")</f>
        <v>#REF!</v>
      </c>
      <c r="L10" s="105" t="e">
        <f>IF(AND('Mapa final'!#REF!="Muy Alta",'Mapa final'!#REF!="Leve"),CONCATENATE("R5C",'Mapa final'!#REF!),"")</f>
        <v>#REF!</v>
      </c>
      <c r="M10" s="104" t="e">
        <f>IF(AND('Mapa final'!#REF!="Muy Alta",'Mapa final'!#REF!="Menor"),CONCATENATE("R5C",'Mapa final'!#REF!),"")</f>
        <v>#REF!</v>
      </c>
      <c r="N10" s="42" t="e">
        <f>IF(AND('Mapa final'!#REF!="Muy Alta",'Mapa final'!#REF!="Menor"),CONCATENATE("R5C",'Mapa final'!#REF!),"")</f>
        <v>#REF!</v>
      </c>
      <c r="O10" s="105" t="e">
        <f>IF(AND('Mapa final'!#REF!="Muy Alta",'Mapa final'!#REF!="Menor"),CONCATENATE("R5C",'Mapa final'!#REF!),"")</f>
        <v>#REF!</v>
      </c>
      <c r="P10" s="104" t="e">
        <f>IF(AND('Mapa final'!#REF!="Muy Alta",'Mapa final'!#REF!="Moderado"),CONCATENATE("R5C",'Mapa final'!#REF!),"")</f>
        <v>#REF!</v>
      </c>
      <c r="Q10" s="42" t="e">
        <f>IF(AND('Mapa final'!#REF!="Muy Alta",'Mapa final'!#REF!="Moderado"),CONCATENATE("R5C",'Mapa final'!#REF!),"")</f>
        <v>#REF!</v>
      </c>
      <c r="R10" s="105" t="e">
        <f>IF(AND('Mapa final'!#REF!="Muy Alta",'Mapa final'!#REF!="Moderado"),CONCATENATE("R5C",'Mapa final'!#REF!),"")</f>
        <v>#REF!</v>
      </c>
      <c r="S10" s="104" t="e">
        <f>IF(AND('Mapa final'!#REF!="Muy Alta",'Mapa final'!#REF!="Mayor"),CONCATENATE("R5C",'Mapa final'!#REF!),"")</f>
        <v>#REF!</v>
      </c>
      <c r="T10" s="42" t="e">
        <f>IF(AND('Mapa final'!#REF!="Muy Alta",'Mapa final'!#REF!="Mayor"),CONCATENATE("R5C",'Mapa final'!#REF!),"")</f>
        <v>#REF!</v>
      </c>
      <c r="U10" s="105" t="e">
        <f>IF(AND('Mapa final'!#REF!="Muy Alta",'Mapa final'!#REF!="Mayor"),CONCATENATE("R5C",'Mapa final'!#REF!),"")</f>
        <v>#REF!</v>
      </c>
      <c r="V10" s="43" t="e">
        <f>IF(AND('Mapa final'!#REF!="Muy Alta",'Mapa final'!#REF!="Catastrófico"),CONCATENATE("R5C",'Mapa final'!#REF!),"")</f>
        <v>#REF!</v>
      </c>
      <c r="W10" s="44" t="e">
        <f>IF(AND('Mapa final'!#REF!="Muy Alta",'Mapa final'!#REF!="Catastrófico"),CONCATENATE("R5C",'Mapa final'!#REF!),"")</f>
        <v>#REF!</v>
      </c>
      <c r="X10" s="99" t="e">
        <f>IF(AND('Mapa final'!#REF!="Muy Alta",'Mapa final'!#REF!="Catastrófico"),CONCATENATE("R5C",'Mapa final'!#REF!),"")</f>
        <v>#REF!</v>
      </c>
      <c r="Y10" s="56"/>
      <c r="Z10" s="280"/>
      <c r="AA10" s="281"/>
      <c r="AB10" s="281"/>
      <c r="AC10" s="281"/>
      <c r="AD10" s="281"/>
      <c r="AE10" s="282"/>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row>
    <row r="11" spans="1:76" ht="15" customHeight="1" x14ac:dyDescent="0.25">
      <c r="A11" s="56"/>
      <c r="B11" s="286"/>
      <c r="C11" s="286"/>
      <c r="D11" s="287"/>
      <c r="E11" s="276"/>
      <c r="F11" s="275"/>
      <c r="G11" s="275"/>
      <c r="H11" s="275"/>
      <c r="I11" s="275"/>
      <c r="J11" s="104" t="str">
        <f ca="1">IF(AND('Mapa final'!$AB$16="Muy Alta",'Mapa final'!$AD$16="Leve"),CONCATENATE("R6C",'Mapa final'!$R$16),"")</f>
        <v/>
      </c>
      <c r="K11" s="42" t="str">
        <f>IF(AND('Mapa final'!$AB$17="Muy Alta",'Mapa final'!$AD$17="Leve"),CONCATENATE("R6C",'Mapa final'!$R$17),"")</f>
        <v/>
      </c>
      <c r="L11" s="105" t="str">
        <f>IF(AND('Mapa final'!$AB$18="Muy Alta",'Mapa final'!$AD$18="Leve"),CONCATENATE("R6C",'Mapa final'!$R$18),"")</f>
        <v/>
      </c>
      <c r="M11" s="104" t="str">
        <f ca="1">IF(AND('Mapa final'!$AB$16="Muy Alta",'Mapa final'!$AD$16="Menor"),CONCATENATE("R6C",'Mapa final'!$R$16),"")</f>
        <v/>
      </c>
      <c r="N11" s="42" t="str">
        <f>IF(AND('Mapa final'!$AB$17="Muy Alta",'Mapa final'!$AD$17="Menor"),CONCATENATE("R6C",'Mapa final'!$R$17),"")</f>
        <v/>
      </c>
      <c r="O11" s="105" t="str">
        <f>IF(AND('Mapa final'!$AB$18="Muy Alta",'Mapa final'!$AD$18="Menor"),CONCATENATE("R6C",'Mapa final'!$R$18),"")</f>
        <v/>
      </c>
      <c r="P11" s="104" t="str">
        <f ca="1">IF(AND('Mapa final'!$AB$16="Muy Alta",'Mapa final'!$AD$16="Moderado"),CONCATENATE("R6C",'Mapa final'!$R$16),"")</f>
        <v/>
      </c>
      <c r="Q11" s="42" t="str">
        <f>IF(AND('Mapa final'!$AB$17="Muy Alta",'Mapa final'!$AD$17="Moderado"),CONCATENATE("R6C",'Mapa final'!$R$17),"")</f>
        <v/>
      </c>
      <c r="R11" s="105" t="str">
        <f>IF(AND('Mapa final'!$AB$18="Muy Alta",'Mapa final'!$AD$18="Moderado"),CONCATENATE("R6C",'Mapa final'!$R$18),"")</f>
        <v/>
      </c>
      <c r="S11" s="104" t="str">
        <f ca="1">IF(AND('Mapa final'!$AB$16="Muy Alta",'Mapa final'!$AD$16="Mayor"),CONCATENATE("R6C",'Mapa final'!$R$16),"")</f>
        <v/>
      </c>
      <c r="T11" s="42" t="str">
        <f>IF(AND('Mapa final'!$AB$17="Muy Alta",'Mapa final'!$AD$17="Mayor"),CONCATENATE("R6C",'Mapa final'!$R$17),"")</f>
        <v/>
      </c>
      <c r="U11" s="105" t="str">
        <f>IF(AND('Mapa final'!$AB$18="Muy Alta",'Mapa final'!$AD$18="Mayor"),CONCATENATE("R6C",'Mapa final'!$R$18),"")</f>
        <v/>
      </c>
      <c r="V11" s="43" t="str">
        <f ca="1">IF(AND('Mapa final'!$AB$16="Muy Alta",'Mapa final'!$AD$16="Catastrófico"),CONCATENATE("R6C",'Mapa final'!$R$16),"")</f>
        <v/>
      </c>
      <c r="W11" s="44" t="str">
        <f>IF(AND('Mapa final'!$AB$17="Muy Alta",'Mapa final'!$AD$17="Catastrófico"),CONCATENATE("R6C",'Mapa final'!$R$17),"")</f>
        <v/>
      </c>
      <c r="X11" s="99" t="str">
        <f>IF(AND('Mapa final'!$AB$18="Muy Alta",'Mapa final'!$AD$18="Catastrófico"),CONCATENATE("R6C",'Mapa final'!$R$18),"")</f>
        <v/>
      </c>
      <c r="Y11" s="56"/>
      <c r="Z11" s="280"/>
      <c r="AA11" s="281"/>
      <c r="AB11" s="281"/>
      <c r="AC11" s="281"/>
      <c r="AD11" s="281"/>
      <c r="AE11" s="282"/>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row>
    <row r="12" spans="1:76" ht="15" customHeight="1" x14ac:dyDescent="0.25">
      <c r="A12" s="56"/>
      <c r="B12" s="286"/>
      <c r="C12" s="286"/>
      <c r="D12" s="287"/>
      <c r="E12" s="276"/>
      <c r="F12" s="275"/>
      <c r="G12" s="275"/>
      <c r="H12" s="275"/>
      <c r="I12" s="275"/>
      <c r="J12" s="104" t="str">
        <f ca="1">IF(AND('Mapa final'!$AB$19="Muy Alta",'Mapa final'!$AD$19="Leve"),CONCATENATE("R7C",'Mapa final'!$R$19),"")</f>
        <v/>
      </c>
      <c r="K12" s="42" t="str">
        <f>IF(AND('Mapa final'!$AB$20="Muy Alta",'Mapa final'!$AD$20="Leve"),CONCATENATE("R7C",'Mapa final'!$R$20),"")</f>
        <v/>
      </c>
      <c r="L12" s="105" t="str">
        <f>IF(AND('Mapa final'!$AB$21="Muy Alta",'Mapa final'!$AD$21="Leve"),CONCATENATE("R7C",'Mapa final'!$R$21),"")</f>
        <v/>
      </c>
      <c r="M12" s="104" t="str">
        <f ca="1">IF(AND('Mapa final'!$AB$19="Muy Alta",'Mapa final'!$AD$19="Menor"),CONCATENATE("R7C",'Mapa final'!$R$19),"")</f>
        <v/>
      </c>
      <c r="N12" s="42" t="str">
        <f>IF(AND('Mapa final'!$AB$20="Muy Alta",'Mapa final'!$AD$20="Menor"),CONCATENATE("R7C",'Mapa final'!$R$20),"")</f>
        <v/>
      </c>
      <c r="O12" s="105" t="str">
        <f>IF(AND('Mapa final'!$AB$21="Muy Alta",'Mapa final'!$AD$21="Menor"),CONCATENATE("R7C",'Mapa final'!$R$21),"")</f>
        <v/>
      </c>
      <c r="P12" s="104" t="str">
        <f ca="1">IF(AND('Mapa final'!$AB$19="Muy Alta",'Mapa final'!$AD$19="Moderado"),CONCATENATE("R7C",'Mapa final'!$R$19),"")</f>
        <v/>
      </c>
      <c r="Q12" s="42" t="str">
        <f>IF(AND('Mapa final'!$AB$20="Muy Alta",'Mapa final'!$AD$20="Moderado"),CONCATENATE("R7C",'Mapa final'!$R$20),"")</f>
        <v/>
      </c>
      <c r="R12" s="105" t="str">
        <f>IF(AND('Mapa final'!$AB$21="Muy Alta",'Mapa final'!$AD$21="Moderado"),CONCATENATE("R7C",'Mapa final'!$R$21),"")</f>
        <v/>
      </c>
      <c r="S12" s="104" t="str">
        <f ca="1">IF(AND('Mapa final'!$AB$19="Muy Alta",'Mapa final'!$AD$19="Mayor"),CONCATENATE("R7C",'Mapa final'!$R$19),"")</f>
        <v/>
      </c>
      <c r="T12" s="42" t="str">
        <f>IF(AND('Mapa final'!$AB$20="Muy Alta",'Mapa final'!$AD$20="Mayor"),CONCATENATE("R7C",'Mapa final'!$R$20),"")</f>
        <v/>
      </c>
      <c r="U12" s="105" t="str">
        <f>IF(AND('Mapa final'!$AB$21="Muy Alta",'Mapa final'!$AD$21="Mayor"),CONCATENATE("R7C",'Mapa final'!$R$21),"")</f>
        <v/>
      </c>
      <c r="V12" s="43" t="str">
        <f ca="1">IF(AND('Mapa final'!$AB$19="Muy Alta",'Mapa final'!$AD$19="Catastrófico"),CONCATENATE("R7C",'Mapa final'!$R$19),"")</f>
        <v/>
      </c>
      <c r="W12" s="44" t="str">
        <f>IF(AND('Mapa final'!$AB$20="Muy Alta",'Mapa final'!$AD$20="Catastrófico"),CONCATENATE("R7C",'Mapa final'!$R$20),"")</f>
        <v/>
      </c>
      <c r="X12" s="99" t="str">
        <f>IF(AND('Mapa final'!$AB$21="Muy Alta",'Mapa final'!$AD$21="Catastrófico"),CONCATENATE("R7C",'Mapa final'!$R$21),"")</f>
        <v/>
      </c>
      <c r="Y12" s="56"/>
      <c r="Z12" s="280"/>
      <c r="AA12" s="281"/>
      <c r="AB12" s="281"/>
      <c r="AC12" s="281"/>
      <c r="AD12" s="281"/>
      <c r="AE12" s="282"/>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row>
    <row r="13" spans="1:76" ht="15" customHeight="1" x14ac:dyDescent="0.25">
      <c r="A13" s="56"/>
      <c r="B13" s="286"/>
      <c r="C13" s="286"/>
      <c r="D13" s="287"/>
      <c r="E13" s="276"/>
      <c r="F13" s="275"/>
      <c r="G13" s="275"/>
      <c r="H13" s="275"/>
      <c r="I13" s="275"/>
      <c r="J13" s="104" t="str">
        <f ca="1">IF(AND('Mapa final'!$AB$22="Muy Alta",'Mapa final'!$AD$22="Leve"),CONCATENATE("R8C",'Mapa final'!$R$22),"")</f>
        <v/>
      </c>
      <c r="K13" s="42" t="str">
        <f>IF(AND('Mapa final'!$AB$23="Muy Alta",'Mapa final'!$AD$23="Leve"),CONCATENATE("R8C",'Mapa final'!$R$23),"")</f>
        <v/>
      </c>
      <c r="L13" s="105" t="str">
        <f>IF(AND('Mapa final'!$AB$24="Muy Alta",'Mapa final'!$AD$24="Leve"),CONCATENATE("R8C",'Mapa final'!$R$24),"")</f>
        <v/>
      </c>
      <c r="M13" s="104" t="str">
        <f ca="1">IF(AND('Mapa final'!$AB$22="Muy Alta",'Mapa final'!$AD$22="Menor"),CONCATENATE("R8C",'Mapa final'!$R$22),"")</f>
        <v/>
      </c>
      <c r="N13" s="42" t="str">
        <f>IF(AND('Mapa final'!$AB$23="Muy Alta",'Mapa final'!$AD$23="Menor"),CONCATENATE("R8C",'Mapa final'!$R$23),"")</f>
        <v/>
      </c>
      <c r="O13" s="105" t="str">
        <f>IF(AND('Mapa final'!$AB$24="Muy Alta",'Mapa final'!$AD$24="Menor"),CONCATENATE("R8C",'Mapa final'!$R$24),"")</f>
        <v/>
      </c>
      <c r="P13" s="104" t="str">
        <f ca="1">IF(AND('Mapa final'!$AB$22="Muy Alta",'Mapa final'!$AD$22="Moderado"),CONCATENATE("R8C",'Mapa final'!$R$22),"")</f>
        <v/>
      </c>
      <c r="Q13" s="42" t="str">
        <f>IF(AND('Mapa final'!$AB$23="Muy Alta",'Mapa final'!$AD$23="Moderado"),CONCATENATE("R8C",'Mapa final'!$R$23),"")</f>
        <v/>
      </c>
      <c r="R13" s="105" t="str">
        <f>IF(AND('Mapa final'!$AB$24="Muy Alta",'Mapa final'!$AD$24="Moderado"),CONCATENATE("R8C",'Mapa final'!$R$24),"")</f>
        <v/>
      </c>
      <c r="S13" s="104" t="str">
        <f ca="1">IF(AND('Mapa final'!$AB$22="Muy Alta",'Mapa final'!$AD$22="Mayor"),CONCATENATE("R8C",'Mapa final'!$R$22),"")</f>
        <v/>
      </c>
      <c r="T13" s="42" t="str">
        <f>IF(AND('Mapa final'!$AB$23="Muy Alta",'Mapa final'!$AD$23="Mayor"),CONCATENATE("R8C",'Mapa final'!$R$23),"")</f>
        <v/>
      </c>
      <c r="U13" s="105" t="str">
        <f>IF(AND('Mapa final'!$AB$24="Muy Alta",'Mapa final'!$AD$24="Mayor"),CONCATENATE("R8C",'Mapa final'!$R$24),"")</f>
        <v/>
      </c>
      <c r="V13" s="43" t="str">
        <f ca="1">IF(AND('Mapa final'!$AB$22="Muy Alta",'Mapa final'!$AD$22="Catastrófico"),CONCATENATE("R8C",'Mapa final'!$R$22),"")</f>
        <v/>
      </c>
      <c r="W13" s="44" t="str">
        <f>IF(AND('Mapa final'!$AB$23="Muy Alta",'Mapa final'!$AD$23="Catastrófico"),CONCATENATE("R8C",'Mapa final'!$R$23),"")</f>
        <v/>
      </c>
      <c r="X13" s="99" t="str">
        <f>IF(AND('Mapa final'!$AB$24="Muy Alta",'Mapa final'!$AD$24="Catastrófico"),CONCATENATE("R8C",'Mapa final'!$R$24),"")</f>
        <v/>
      </c>
      <c r="Y13" s="56"/>
      <c r="Z13" s="280"/>
      <c r="AA13" s="281"/>
      <c r="AB13" s="281"/>
      <c r="AC13" s="281"/>
      <c r="AD13" s="281"/>
      <c r="AE13" s="282"/>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row>
    <row r="14" spans="1:76" ht="15" customHeight="1" x14ac:dyDescent="0.25">
      <c r="A14" s="56"/>
      <c r="B14" s="286"/>
      <c r="C14" s="286"/>
      <c r="D14" s="287"/>
      <c r="E14" s="276"/>
      <c r="F14" s="275"/>
      <c r="G14" s="275"/>
      <c r="H14" s="275"/>
      <c r="I14" s="275"/>
      <c r="J14" s="104" t="str">
        <f ca="1">IF(AND('Mapa final'!$AB$25="Muy Alta",'Mapa final'!$AD$25="Leve"),CONCATENATE("R9C",'Mapa final'!$R$25),"")</f>
        <v/>
      </c>
      <c r="K14" s="42" t="str">
        <f>IF(AND('Mapa final'!$AB$26="Muy Alta",'Mapa final'!$AD$26="Leve"),CONCATENATE("R9C",'Mapa final'!$R$26),"")</f>
        <v/>
      </c>
      <c r="L14" s="105" t="str">
        <f>IF(AND('Mapa final'!$AB$27="Muy Alta",'Mapa final'!$AD$27="Leve"),CONCATENATE("R9C",'Mapa final'!$R$27),"")</f>
        <v/>
      </c>
      <c r="M14" s="104" t="str">
        <f ca="1">IF(AND('Mapa final'!$AB$25="Muy Alta",'Mapa final'!$AD$25="Menor"),CONCATENATE("R9C",'Mapa final'!$R$25),"")</f>
        <v/>
      </c>
      <c r="N14" s="42" t="str">
        <f>IF(AND('Mapa final'!$AB$26="Muy Alta",'Mapa final'!$AD$26="Menor"),CONCATENATE("R9C",'Mapa final'!$R$26),"")</f>
        <v/>
      </c>
      <c r="O14" s="105" t="str">
        <f>IF(AND('Mapa final'!$AB$27="Muy Alta",'Mapa final'!$AD$27="Menor"),CONCATENATE("R9C",'Mapa final'!$R$27),"")</f>
        <v/>
      </c>
      <c r="P14" s="104" t="str">
        <f ca="1">IF(AND('Mapa final'!$AB$25="Muy Alta",'Mapa final'!$AD$25="Moderado"),CONCATENATE("R9C",'Mapa final'!$R$25),"")</f>
        <v/>
      </c>
      <c r="Q14" s="42" t="str">
        <f>IF(AND('Mapa final'!$AB$26="Muy Alta",'Mapa final'!$AD$26="Moderado"),CONCATENATE("R9C",'Mapa final'!$R$26),"")</f>
        <v/>
      </c>
      <c r="R14" s="105" t="str">
        <f>IF(AND('Mapa final'!$AB$27="Muy Alta",'Mapa final'!$AD$27="Moderado"),CONCATENATE("R9C",'Mapa final'!$R$27),"")</f>
        <v/>
      </c>
      <c r="S14" s="104" t="str">
        <f ca="1">IF(AND('Mapa final'!$AB$25="Muy Alta",'Mapa final'!$AD$25="Mayor"),CONCATENATE("R9C",'Mapa final'!$R$25),"")</f>
        <v/>
      </c>
      <c r="T14" s="42" t="str">
        <f>IF(AND('Mapa final'!$AB$26="Muy Alta",'Mapa final'!$AD$26="Mayor"),CONCATENATE("R9C",'Mapa final'!$R$26),"")</f>
        <v/>
      </c>
      <c r="U14" s="105" t="str">
        <f>IF(AND('Mapa final'!$AB$27="Muy Alta",'Mapa final'!$AD$27="Mayor"),CONCATENATE("R9C",'Mapa final'!$R$27),"")</f>
        <v/>
      </c>
      <c r="V14" s="43" t="str">
        <f ca="1">IF(AND('Mapa final'!$AB$25="Muy Alta",'Mapa final'!$AD$25="Catastrófico"),CONCATENATE("R9C",'Mapa final'!$R$25),"")</f>
        <v/>
      </c>
      <c r="W14" s="44" t="str">
        <f>IF(AND('Mapa final'!$AB$26="Muy Alta",'Mapa final'!$AD$26="Catastrófico"),CONCATENATE("R9C",'Mapa final'!$R$26),"")</f>
        <v/>
      </c>
      <c r="X14" s="99" t="str">
        <f>IF(AND('Mapa final'!$AB$27="Muy Alta",'Mapa final'!$AD$27="Catastrófico"),CONCATENATE("R9C",'Mapa final'!$R$27),"")</f>
        <v/>
      </c>
      <c r="Y14" s="56"/>
      <c r="Z14" s="280"/>
      <c r="AA14" s="281"/>
      <c r="AB14" s="281"/>
      <c r="AC14" s="281"/>
      <c r="AD14" s="281"/>
      <c r="AE14" s="282"/>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row>
    <row r="15" spans="1:76" ht="15" customHeight="1" x14ac:dyDescent="0.25">
      <c r="A15" s="56"/>
      <c r="B15" s="286"/>
      <c r="C15" s="286"/>
      <c r="D15" s="287"/>
      <c r="E15" s="276"/>
      <c r="F15" s="275"/>
      <c r="G15" s="275"/>
      <c r="H15" s="275"/>
      <c r="I15" s="275"/>
      <c r="J15" s="104" t="str">
        <f ca="1">IF(AND('Mapa final'!$AB$28="Muy Alta",'Mapa final'!$AD$28="Leve"),CONCATENATE("R10C",'Mapa final'!$R$28),"")</f>
        <v/>
      </c>
      <c r="K15" s="42" t="str">
        <f>IF(AND('Mapa final'!$AB$29="Muy Alta",'Mapa final'!$AD$29="Leve"),CONCATENATE("R10C",'Mapa final'!$R$29),"")</f>
        <v/>
      </c>
      <c r="L15" s="105" t="str">
        <f>IF(AND('Mapa final'!$AB$30="Muy Alta",'Mapa final'!$AD$30="Leve"),CONCATENATE("R10C",'Mapa final'!$R$30),"")</f>
        <v/>
      </c>
      <c r="M15" s="104" t="str">
        <f ca="1">IF(AND('Mapa final'!$AB$28="Muy Alta",'Mapa final'!$AD$28="Menor"),CONCATENATE("R10C",'Mapa final'!$R$28),"")</f>
        <v/>
      </c>
      <c r="N15" s="42" t="str">
        <f>IF(AND('Mapa final'!$AB$29="Muy Alta",'Mapa final'!$AD$29="Menor"),CONCATENATE("R10C",'Mapa final'!$R$29),"")</f>
        <v/>
      </c>
      <c r="O15" s="105" t="str">
        <f>IF(AND('Mapa final'!$AB$30="Muy Alta",'Mapa final'!$AD$30="Menor"),CONCATENATE("R10C",'Mapa final'!$R$30),"")</f>
        <v/>
      </c>
      <c r="P15" s="104" t="str">
        <f ca="1">IF(AND('Mapa final'!$AB$28="Muy Alta",'Mapa final'!$AD$28="Moderado"),CONCATENATE("R10C",'Mapa final'!$R$28),"")</f>
        <v/>
      </c>
      <c r="Q15" s="42" t="str">
        <f>IF(AND('Mapa final'!$AB$29="Muy Alta",'Mapa final'!$AD$29="Moderado"),CONCATENATE("R10C",'Mapa final'!$R$29),"")</f>
        <v/>
      </c>
      <c r="R15" s="105" t="str">
        <f>IF(AND('Mapa final'!$AB$30="Muy Alta",'Mapa final'!$AD$30="Moderado"),CONCATENATE("R10C",'Mapa final'!$R$30),"")</f>
        <v/>
      </c>
      <c r="S15" s="104" t="str">
        <f ca="1">IF(AND('Mapa final'!$AB$28="Muy Alta",'Mapa final'!$AD$28="Mayor"),CONCATENATE("R10C",'Mapa final'!$R$28),"")</f>
        <v/>
      </c>
      <c r="T15" s="42" t="str">
        <f>IF(AND('Mapa final'!$AB$29="Muy Alta",'Mapa final'!$AD$29="Mayor"),CONCATENATE("R10C",'Mapa final'!$R$29),"")</f>
        <v/>
      </c>
      <c r="U15" s="105" t="str">
        <f>IF(AND('Mapa final'!$AB$30="Muy Alta",'Mapa final'!$AD$30="Mayor"),CONCATENATE("R10C",'Mapa final'!$R$30),"")</f>
        <v/>
      </c>
      <c r="V15" s="43" t="str">
        <f ca="1">IF(AND('Mapa final'!$AB$28="Muy Alta",'Mapa final'!$AD$28="Catastrófico"),CONCATENATE("R10C",'Mapa final'!$R$28),"")</f>
        <v/>
      </c>
      <c r="W15" s="44" t="str">
        <f>IF(AND('Mapa final'!$AB$29="Muy Alta",'Mapa final'!$AD$29="Catastrófico"),CONCATENATE("R10C",'Mapa final'!$R$29),"")</f>
        <v/>
      </c>
      <c r="X15" s="99" t="str">
        <f>IF(AND('Mapa final'!$AB$30="Muy Alta",'Mapa final'!$AD$30="Catastrófico"),CONCATENATE("R10C",'Mapa final'!$R$30),"")</f>
        <v/>
      </c>
      <c r="Y15" s="56"/>
      <c r="Z15" s="280"/>
      <c r="AA15" s="281"/>
      <c r="AB15" s="281"/>
      <c r="AC15" s="281"/>
      <c r="AD15" s="281"/>
      <c r="AE15" s="282"/>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row>
    <row r="16" spans="1:76" ht="15" customHeight="1" x14ac:dyDescent="0.25">
      <c r="A16" s="56"/>
      <c r="B16" s="286"/>
      <c r="C16" s="286"/>
      <c r="D16" s="287"/>
      <c r="E16" s="276"/>
      <c r="F16" s="275"/>
      <c r="G16" s="275"/>
      <c r="H16" s="275"/>
      <c r="I16" s="275"/>
      <c r="J16" s="104" t="str">
        <f ca="1">IF(AND('Mapa final'!$AB$31="Muy Alta",'Mapa final'!$AD$31="Leve"),CONCATENATE("R11C",'Mapa final'!$R$31),"")</f>
        <v/>
      </c>
      <c r="K16" s="42" t="str">
        <f>IF(AND('Mapa final'!$AB$32="Muy Alta",'Mapa final'!$AD$32="Leve"),CONCATENATE("R11C",'Mapa final'!$R$32),"")</f>
        <v/>
      </c>
      <c r="L16" s="105" t="str">
        <f>IF(AND('Mapa final'!$AB$33="Muy Alta",'Mapa final'!$AD$33="Leve"),CONCATENATE("R11C",'Mapa final'!$R$33),"")</f>
        <v/>
      </c>
      <c r="M16" s="104" t="str">
        <f ca="1">IF(AND('Mapa final'!$AB$31="Muy Alta",'Mapa final'!$AD$31="Menor"),CONCATENATE("R11C",'Mapa final'!$R$31),"")</f>
        <v/>
      </c>
      <c r="N16" s="42" t="str">
        <f>IF(AND('Mapa final'!$AB$32="Muy Alta",'Mapa final'!$AD$32="Menor"),CONCATENATE("R11C",'Mapa final'!$R$32),"")</f>
        <v/>
      </c>
      <c r="O16" s="105" t="str">
        <f>IF(AND('Mapa final'!$AB$33="Muy Alta",'Mapa final'!$AD$33="Menor"),CONCATENATE("R11C",'Mapa final'!$R$33),"")</f>
        <v/>
      </c>
      <c r="P16" s="104" t="str">
        <f ca="1">IF(AND('Mapa final'!$AB$31="Muy Alta",'Mapa final'!$AD$31="Moderado"),CONCATENATE("R11C",'Mapa final'!$R$31),"")</f>
        <v/>
      </c>
      <c r="Q16" s="42" t="str">
        <f>IF(AND('Mapa final'!$AB$32="Muy Alta",'Mapa final'!$AD$32="Moderado"),CONCATENATE("R11C",'Mapa final'!$R$32),"")</f>
        <v/>
      </c>
      <c r="R16" s="105" t="str">
        <f>IF(AND('Mapa final'!$AB$33="Muy Alta",'Mapa final'!$AD$33="Moderado"),CONCATENATE("R11C",'Mapa final'!$R$33),"")</f>
        <v/>
      </c>
      <c r="S16" s="104" t="str">
        <f ca="1">IF(AND('Mapa final'!$AB$31="Muy Alta",'Mapa final'!$AD$31="Mayor"),CONCATENATE("R11C",'Mapa final'!$R$31),"")</f>
        <v/>
      </c>
      <c r="T16" s="42" t="str">
        <f>IF(AND('Mapa final'!$AB$32="Muy Alta",'Mapa final'!$AD$32="Mayor"),CONCATENATE("R11C",'Mapa final'!$R$32),"")</f>
        <v/>
      </c>
      <c r="U16" s="105" t="str">
        <f>IF(AND('Mapa final'!$AB$33="Muy Alta",'Mapa final'!$AD$33="Mayor"),CONCATENATE("R11C",'Mapa final'!$R$33),"")</f>
        <v/>
      </c>
      <c r="V16" s="43" t="str">
        <f ca="1">IF(AND('Mapa final'!$AB$31="Muy Alta",'Mapa final'!$AD$31="Catastrófico"),CONCATENATE("R11C",'Mapa final'!$R$31),"")</f>
        <v/>
      </c>
      <c r="W16" s="44" t="str">
        <f>IF(AND('Mapa final'!$AB$32="Muy Alta",'Mapa final'!$AD$32="Catastrófico"),CONCATENATE("R11C",'Mapa final'!$R$32),"")</f>
        <v/>
      </c>
      <c r="X16" s="99" t="str">
        <f>IF(AND('Mapa final'!$AB$33="Muy Alta",'Mapa final'!$AD$33="Catastrófico"),CONCATENATE("R11C",'Mapa final'!$R$33),"")</f>
        <v/>
      </c>
      <c r="Y16" s="56"/>
      <c r="Z16" s="280"/>
      <c r="AA16" s="281"/>
      <c r="AB16" s="281"/>
      <c r="AC16" s="281"/>
      <c r="AD16" s="281"/>
      <c r="AE16" s="282"/>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row>
    <row r="17" spans="1:61" ht="15" customHeight="1" x14ac:dyDescent="0.25">
      <c r="A17" s="56"/>
      <c r="B17" s="286"/>
      <c r="C17" s="286"/>
      <c r="D17" s="287"/>
      <c r="E17" s="276"/>
      <c r="F17" s="275"/>
      <c r="G17" s="275"/>
      <c r="H17" s="275"/>
      <c r="I17" s="275"/>
      <c r="J17" s="104" t="str">
        <f ca="1">IF(AND('Mapa final'!$AB$34="Muy Alta",'Mapa final'!$AD$34="Leve"),CONCATENATE("R12C",'Mapa final'!$R$34),"")</f>
        <v/>
      </c>
      <c r="K17" s="42" t="str">
        <f>IF(AND('Mapa final'!$AB$35="Muy Alta",'Mapa final'!$AD$35="Leve"),CONCATENATE("R12C",'Mapa final'!$R$35),"")</f>
        <v/>
      </c>
      <c r="L17" s="105" t="str">
        <f>IF(AND('Mapa final'!$AB$36="Muy Alta",'Mapa final'!$AD$36="Leve"),CONCATENATE("R12C",'Mapa final'!$R$36),"")</f>
        <v/>
      </c>
      <c r="M17" s="104" t="str">
        <f ca="1">IF(AND('Mapa final'!$AB$34="Muy Alta",'Mapa final'!$AD$34="Menor"),CONCATENATE("R12C",'Mapa final'!$R$34),"")</f>
        <v/>
      </c>
      <c r="N17" s="42" t="str">
        <f>IF(AND('Mapa final'!$AB$35="Muy Alta",'Mapa final'!$AD$35="Menor"),CONCATENATE("R12C",'Mapa final'!$R$35),"")</f>
        <v/>
      </c>
      <c r="O17" s="105" t="str">
        <f>IF(AND('Mapa final'!$AB$36="Muy Alta",'Mapa final'!$AD$36="Menor"),CONCATENATE("R12C",'Mapa final'!$R$36),"")</f>
        <v/>
      </c>
      <c r="P17" s="104" t="str">
        <f ca="1">IF(AND('Mapa final'!$AB$34="Muy Alta",'Mapa final'!$AD$34="Moderado"),CONCATENATE("R12C",'Mapa final'!$R$34),"")</f>
        <v/>
      </c>
      <c r="Q17" s="42" t="str">
        <f>IF(AND('Mapa final'!$AB$35="Muy Alta",'Mapa final'!$AD$35="Moderado"),CONCATENATE("R12C",'Mapa final'!$R$35),"")</f>
        <v/>
      </c>
      <c r="R17" s="105" t="str">
        <f>IF(AND('Mapa final'!$AB$36="Muy Alta",'Mapa final'!$AD$36="Moderado"),CONCATENATE("R12C",'Mapa final'!$R$36),"")</f>
        <v/>
      </c>
      <c r="S17" s="104" t="str">
        <f ca="1">IF(AND('Mapa final'!$AB$34="Muy Alta",'Mapa final'!$AD$34="Mayor"),CONCATENATE("R12C",'Mapa final'!$R$34),"")</f>
        <v/>
      </c>
      <c r="T17" s="42" t="str">
        <f>IF(AND('Mapa final'!$AB$35="Muy Alta",'Mapa final'!$AD$35="Mayor"),CONCATENATE("R12C",'Mapa final'!$R$35),"")</f>
        <v/>
      </c>
      <c r="U17" s="105" t="str">
        <f>IF(AND('Mapa final'!$AB$36="Muy Alta",'Mapa final'!$AD$36="Mayor"),CONCATENATE("R12C",'Mapa final'!$R$36),"")</f>
        <v/>
      </c>
      <c r="V17" s="43" t="str">
        <f ca="1">IF(AND('Mapa final'!$AB$34="Muy Alta",'Mapa final'!$AD$34="Catastrófico"),CONCATENATE("R12C",'Mapa final'!$R$34),"")</f>
        <v/>
      </c>
      <c r="W17" s="44" t="str">
        <f>IF(AND('Mapa final'!$AB$35="Muy Alta",'Mapa final'!$AD$35="Catastrófico"),CONCATENATE("R12C",'Mapa final'!$R$35),"")</f>
        <v/>
      </c>
      <c r="X17" s="99" t="str">
        <f>IF(AND('Mapa final'!$AB$36="Muy Alta",'Mapa final'!$AD$36="Catastrófico"),CONCATENATE("R12C",'Mapa final'!$R$36),"")</f>
        <v/>
      </c>
      <c r="Y17" s="56"/>
      <c r="Z17" s="280"/>
      <c r="AA17" s="281"/>
      <c r="AB17" s="281"/>
      <c r="AC17" s="281"/>
      <c r="AD17" s="281"/>
      <c r="AE17" s="282"/>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row>
    <row r="18" spans="1:61" ht="15" customHeight="1" x14ac:dyDescent="0.25">
      <c r="A18" s="56"/>
      <c r="B18" s="286"/>
      <c r="C18" s="286"/>
      <c r="D18" s="287"/>
      <c r="E18" s="276"/>
      <c r="F18" s="275"/>
      <c r="G18" s="275"/>
      <c r="H18" s="275"/>
      <c r="I18" s="275"/>
      <c r="J18" s="104" t="str">
        <f ca="1">IF(AND('Mapa final'!$AB$37="Muy Alta",'Mapa final'!$AD$37="Leve"),CONCATENATE("R13C",'Mapa final'!$R$37),"")</f>
        <v/>
      </c>
      <c r="K18" s="42" t="str">
        <f>IF(AND('Mapa final'!$AB$38="Muy Alta",'Mapa final'!$AD$38="Leve"),CONCATENATE("R13C",'Mapa final'!$R$38),"")</f>
        <v/>
      </c>
      <c r="L18" s="105" t="str">
        <f>IF(AND('Mapa final'!$AB$39="Muy Alta",'Mapa final'!$AD$39="Leve"),CONCATENATE("R13C",'Mapa final'!$R$39),"")</f>
        <v/>
      </c>
      <c r="M18" s="104" t="str">
        <f ca="1">IF(AND('Mapa final'!$AB$37="Muy Alta",'Mapa final'!$AD$37="Menor"),CONCATENATE("R13C",'Mapa final'!$R$37),"")</f>
        <v/>
      </c>
      <c r="N18" s="42" t="str">
        <f>IF(AND('Mapa final'!$AB$38="Muy Alta",'Mapa final'!$AD$38="Menor"),CONCATENATE("R13C",'Mapa final'!$R$38),"")</f>
        <v/>
      </c>
      <c r="O18" s="105" t="str">
        <f>IF(AND('Mapa final'!$AB$39="Muy Alta",'Mapa final'!$AD$39="Menor"),CONCATENATE("R13C",'Mapa final'!$R$39),"")</f>
        <v/>
      </c>
      <c r="P18" s="104" t="str">
        <f ca="1">IF(AND('Mapa final'!$AB$37="Muy Alta",'Mapa final'!$AD$37="Moderado"),CONCATENATE("R13C",'Mapa final'!$R$37),"")</f>
        <v/>
      </c>
      <c r="Q18" s="42" t="str">
        <f>IF(AND('Mapa final'!$AB$38="Muy Alta",'Mapa final'!$AD$38="Moderado"),CONCATENATE("R13C",'Mapa final'!$R$38),"")</f>
        <v/>
      </c>
      <c r="R18" s="105" t="str">
        <f>IF(AND('Mapa final'!$AB$39="Muy Alta",'Mapa final'!$AD$39="Moderado"),CONCATENATE("R13C",'Mapa final'!$R$39),"")</f>
        <v/>
      </c>
      <c r="S18" s="104" t="str">
        <f ca="1">IF(AND('Mapa final'!$AB$37="Muy Alta",'Mapa final'!$AD$37="Mayor"),CONCATENATE("R13C",'Mapa final'!$R$37),"")</f>
        <v/>
      </c>
      <c r="T18" s="42" t="str">
        <f>IF(AND('Mapa final'!$AB$38="Muy Alta",'Mapa final'!$AD$38="Mayor"),CONCATENATE("R13C",'Mapa final'!$R$38),"")</f>
        <v/>
      </c>
      <c r="U18" s="105" t="str">
        <f>IF(AND('Mapa final'!$AB$39="Muy Alta",'Mapa final'!$AD$39="Mayor"),CONCATENATE("R13C",'Mapa final'!$R$39),"")</f>
        <v/>
      </c>
      <c r="V18" s="43" t="str">
        <f ca="1">IF(AND('Mapa final'!$AB$37="Muy Alta",'Mapa final'!$AD$37="Catastrófico"),CONCATENATE("R13C",'Mapa final'!$R$37),"")</f>
        <v/>
      </c>
      <c r="W18" s="44" t="str">
        <f>IF(AND('Mapa final'!$AB$38="Muy Alta",'Mapa final'!$AD$38="Catastrófico"),CONCATENATE("R13C",'Mapa final'!$R$38),"")</f>
        <v/>
      </c>
      <c r="X18" s="99" t="str">
        <f>IF(AND('Mapa final'!$AB$39="Muy Alta",'Mapa final'!$AD$39="Catastrófico"),CONCATENATE("R13C",'Mapa final'!$R$39),"")</f>
        <v/>
      </c>
      <c r="Y18" s="56"/>
      <c r="Z18" s="280"/>
      <c r="AA18" s="281"/>
      <c r="AB18" s="281"/>
      <c r="AC18" s="281"/>
      <c r="AD18" s="281"/>
      <c r="AE18" s="282"/>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row>
    <row r="19" spans="1:61" ht="15" customHeight="1" x14ac:dyDescent="0.25">
      <c r="A19" s="56"/>
      <c r="B19" s="286"/>
      <c r="C19" s="286"/>
      <c r="D19" s="287"/>
      <c r="E19" s="276"/>
      <c r="F19" s="275"/>
      <c r="G19" s="275"/>
      <c r="H19" s="275"/>
      <c r="I19" s="275"/>
      <c r="J19" s="104" t="str">
        <f ca="1">IF(AND('Mapa final'!$AB$40="Muy Alta",'Mapa final'!$AD$40="Leve"),CONCATENATE("R14C",'Mapa final'!$R$40),"")</f>
        <v/>
      </c>
      <c r="K19" s="42" t="str">
        <f>IF(AND('Mapa final'!$AB$41="Muy Alta",'Mapa final'!$AD$41="Leve"),CONCATENATE("R14C",'Mapa final'!$R$41),"")</f>
        <v/>
      </c>
      <c r="L19" s="105" t="str">
        <f>IF(AND('Mapa final'!$AB$42="Muy Alta",'Mapa final'!$AD$42="Leve"),CONCATENATE("R14C",'Mapa final'!$R$42),"")</f>
        <v/>
      </c>
      <c r="M19" s="104" t="str">
        <f ca="1">IF(AND('Mapa final'!$AB$40="Muy Alta",'Mapa final'!$AD$40="Menor"),CONCATENATE("R14C",'Mapa final'!$R$40),"")</f>
        <v/>
      </c>
      <c r="N19" s="42" t="str">
        <f>IF(AND('Mapa final'!$AB$41="Muy Alta",'Mapa final'!$AD$41="Menor"),CONCATENATE("R14C",'Mapa final'!$R$41),"")</f>
        <v/>
      </c>
      <c r="O19" s="105" t="str">
        <f>IF(AND('Mapa final'!$AB$42="Muy Alta",'Mapa final'!$AD$42="Menor"),CONCATENATE("R14C",'Mapa final'!$R$42),"")</f>
        <v/>
      </c>
      <c r="P19" s="104" t="str">
        <f ca="1">IF(AND('Mapa final'!$AB$40="Muy Alta",'Mapa final'!$AD$40="Moderado"),CONCATENATE("R14C",'Mapa final'!$R$40),"")</f>
        <v/>
      </c>
      <c r="Q19" s="42" t="str">
        <f>IF(AND('Mapa final'!$AB$41="Muy Alta",'Mapa final'!$AD$41="Moderado"),CONCATENATE("R14C",'Mapa final'!$R$41),"")</f>
        <v/>
      </c>
      <c r="R19" s="105" t="str">
        <f>IF(AND('Mapa final'!$AB$42="Muy Alta",'Mapa final'!$AD$42="Moderado"),CONCATENATE("R14C",'Mapa final'!$R$42),"")</f>
        <v/>
      </c>
      <c r="S19" s="104" t="str">
        <f ca="1">IF(AND('Mapa final'!$AB$40="Muy Alta",'Mapa final'!$AD$40="Mayor"),CONCATENATE("R14C",'Mapa final'!$R$40),"")</f>
        <v/>
      </c>
      <c r="T19" s="42" t="str">
        <f>IF(AND('Mapa final'!$AB$41="Muy Alta",'Mapa final'!$AD$41="Mayor"),CONCATENATE("R14C",'Mapa final'!$R$41),"")</f>
        <v/>
      </c>
      <c r="U19" s="105" t="str">
        <f>IF(AND('Mapa final'!$AB$42="Muy Alta",'Mapa final'!$AD$42="Mayor"),CONCATENATE("R14C",'Mapa final'!$R$42),"")</f>
        <v/>
      </c>
      <c r="V19" s="43" t="str">
        <f ca="1">IF(AND('Mapa final'!$AB$40="Muy Alta",'Mapa final'!$AD$40="Catastrófico"),CONCATENATE("R14C",'Mapa final'!$R$40),"")</f>
        <v/>
      </c>
      <c r="W19" s="44" t="str">
        <f>IF(AND('Mapa final'!$AB$41="Muy Alta",'Mapa final'!$AD$41="Catastrófico"),CONCATENATE("R14C",'Mapa final'!$R$41),"")</f>
        <v/>
      </c>
      <c r="X19" s="99" t="str">
        <f>IF(AND('Mapa final'!$AB$42="Muy Alta",'Mapa final'!$AD$42="Catastrófico"),CONCATENATE("R14C",'Mapa final'!$R$42),"")</f>
        <v/>
      </c>
      <c r="Y19" s="56"/>
      <c r="Z19" s="280"/>
      <c r="AA19" s="281"/>
      <c r="AB19" s="281"/>
      <c r="AC19" s="281"/>
      <c r="AD19" s="281"/>
      <c r="AE19" s="282"/>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row>
    <row r="20" spans="1:61" ht="15" customHeight="1" x14ac:dyDescent="0.25">
      <c r="A20" s="56"/>
      <c r="B20" s="286"/>
      <c r="C20" s="286"/>
      <c r="D20" s="287"/>
      <c r="E20" s="276"/>
      <c r="F20" s="275"/>
      <c r="G20" s="275"/>
      <c r="H20" s="275"/>
      <c r="I20" s="275"/>
      <c r="J20" s="104" t="str">
        <f ca="1">IF(AND('Mapa final'!$AB$43="Muy Alta",'Mapa final'!$AD$43="Leve"),CONCATENATE("R15C",'Mapa final'!$R$43),"")</f>
        <v/>
      </c>
      <c r="K20" s="42" t="str">
        <f>IF(AND('Mapa final'!$AB$44="Muy Alta",'Mapa final'!$AD$44="Leve"),CONCATENATE("R15C",'Mapa final'!$R$44),"")</f>
        <v/>
      </c>
      <c r="L20" s="105" t="str">
        <f>IF(AND('Mapa final'!$AB$45="Muy Alta",'Mapa final'!$AD$45="Leve"),CONCATENATE("R15C",'Mapa final'!$R$45),"")</f>
        <v/>
      </c>
      <c r="M20" s="104" t="str">
        <f ca="1">IF(AND('Mapa final'!$AB$43="Muy Alta",'Mapa final'!$AD$43="Menor"),CONCATENATE("R15C",'Mapa final'!$R$43),"")</f>
        <v/>
      </c>
      <c r="N20" s="42" t="str">
        <f>IF(AND('Mapa final'!$AB$44="Muy Alta",'Mapa final'!$AD$44="Menor"),CONCATENATE("R15C",'Mapa final'!$R$44),"")</f>
        <v/>
      </c>
      <c r="O20" s="105" t="str">
        <f>IF(AND('Mapa final'!$AB$45="Muy Alta",'Mapa final'!$AD$45="Menor"),CONCATENATE("R15C",'Mapa final'!$R$45),"")</f>
        <v/>
      </c>
      <c r="P20" s="104" t="str">
        <f ca="1">IF(AND('Mapa final'!$AB$43="Muy Alta",'Mapa final'!$AD$43="Moderado"),CONCATENATE("R15C",'Mapa final'!$R$43),"")</f>
        <v/>
      </c>
      <c r="Q20" s="42" t="str">
        <f>IF(AND('Mapa final'!$AB$44="Muy Alta",'Mapa final'!$AD$44="Moderado"),CONCATENATE("R15C",'Mapa final'!$R$44),"")</f>
        <v/>
      </c>
      <c r="R20" s="105" t="str">
        <f>IF(AND('Mapa final'!$AB$45="Muy Alta",'Mapa final'!$AD$45="Moderado"),CONCATENATE("R15C",'Mapa final'!$R$45),"")</f>
        <v/>
      </c>
      <c r="S20" s="104" t="str">
        <f ca="1">IF(AND('Mapa final'!$AB$43="Muy Alta",'Mapa final'!$AD$43="Mayor"),CONCATENATE("R15C",'Mapa final'!$R$43),"")</f>
        <v/>
      </c>
      <c r="T20" s="42" t="str">
        <f>IF(AND('Mapa final'!$AB$44="Muy Alta",'Mapa final'!$AD$44="Mayor"),CONCATENATE("R15C",'Mapa final'!$R$44),"")</f>
        <v/>
      </c>
      <c r="U20" s="105" t="str">
        <f>IF(AND('Mapa final'!$AB$45="Muy Alta",'Mapa final'!$AD$45="Mayor"),CONCATENATE("R15C",'Mapa final'!$R$45),"")</f>
        <v/>
      </c>
      <c r="V20" s="43" t="str">
        <f ca="1">IF(AND('Mapa final'!$AB$43="Muy Alta",'Mapa final'!$AD$43="Catastrófico"),CONCATENATE("R15C",'Mapa final'!$R$43),"")</f>
        <v/>
      </c>
      <c r="W20" s="44" t="str">
        <f>IF(AND('Mapa final'!$AB$44="Muy Alta",'Mapa final'!$AD$44="Catastrófico"),CONCATENATE("R15C",'Mapa final'!$R$44),"")</f>
        <v/>
      </c>
      <c r="X20" s="99" t="str">
        <f>IF(AND('Mapa final'!$AB$45="Muy Alta",'Mapa final'!$AD$45="Catastrófico"),CONCATENATE("R15C",'Mapa final'!$R$45),"")</f>
        <v/>
      </c>
      <c r="Y20" s="56"/>
      <c r="Z20" s="280"/>
      <c r="AA20" s="281"/>
      <c r="AB20" s="281"/>
      <c r="AC20" s="281"/>
      <c r="AD20" s="281"/>
      <c r="AE20" s="282"/>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row>
    <row r="21" spans="1:61" ht="15" customHeight="1" x14ac:dyDescent="0.25">
      <c r="A21" s="56"/>
      <c r="B21" s="286"/>
      <c r="C21" s="286"/>
      <c r="D21" s="287"/>
      <c r="E21" s="276"/>
      <c r="F21" s="275"/>
      <c r="G21" s="275"/>
      <c r="H21" s="275"/>
      <c r="I21" s="275"/>
      <c r="J21" s="104" t="str">
        <f ca="1">IF(AND('Mapa final'!$AB$46="Muy Alta",'Mapa final'!$AD$46="Leve"),CONCATENATE("R16C",'Mapa final'!$R$46),"")</f>
        <v/>
      </c>
      <c r="K21" s="42" t="str">
        <f>IF(AND('Mapa final'!$AB$47="Muy Alta",'Mapa final'!$AD$47="Leve"),CONCATENATE("R16C",'Mapa final'!$R$47),"")</f>
        <v/>
      </c>
      <c r="L21" s="105" t="str">
        <f>IF(AND('Mapa final'!$AB$48="Muy Alta",'Mapa final'!$AD$48="Leve"),CONCATENATE("R16C",'Mapa final'!$R$48),"")</f>
        <v/>
      </c>
      <c r="M21" s="104" t="str">
        <f ca="1">IF(AND('Mapa final'!$AB$46="Muy Alta",'Mapa final'!$AD$46="Menor"),CONCATENATE("R16C",'Mapa final'!$R$46),"")</f>
        <v/>
      </c>
      <c r="N21" s="42" t="str">
        <f>IF(AND('Mapa final'!$AB$47="Muy Alta",'Mapa final'!$AD$47="Menor"),CONCATENATE("R16C",'Mapa final'!$R$47),"")</f>
        <v/>
      </c>
      <c r="O21" s="105" t="str">
        <f>IF(AND('Mapa final'!$AB$48="Muy Alta",'Mapa final'!$AD$48="Menor"),CONCATENATE("R16C",'Mapa final'!$R$48),"")</f>
        <v/>
      </c>
      <c r="P21" s="104" t="str">
        <f ca="1">IF(AND('Mapa final'!$AB$46="Muy Alta",'Mapa final'!$AD$46="Moderado"),CONCATENATE("R16C",'Mapa final'!$R$46),"")</f>
        <v/>
      </c>
      <c r="Q21" s="42" t="str">
        <f>IF(AND('Mapa final'!$AB$47="Muy Alta",'Mapa final'!$AD$47="Moderado"),CONCATENATE("R16C",'Mapa final'!$R$47),"")</f>
        <v/>
      </c>
      <c r="R21" s="105" t="str">
        <f>IF(AND('Mapa final'!$AB$48="Muy Alta",'Mapa final'!$AD$48="Moderado"),CONCATENATE("R16C",'Mapa final'!$R$48),"")</f>
        <v/>
      </c>
      <c r="S21" s="104" t="str">
        <f ca="1">IF(AND('Mapa final'!$AB$46="Muy Alta",'Mapa final'!$AD$46="Mayor"),CONCATENATE("R16C",'Mapa final'!$R$46),"")</f>
        <v/>
      </c>
      <c r="T21" s="42" t="str">
        <f>IF(AND('Mapa final'!$AB$47="Muy Alta",'Mapa final'!$AD$47="Mayor"),CONCATENATE("R16C",'Mapa final'!$R$47),"")</f>
        <v/>
      </c>
      <c r="U21" s="105" t="str">
        <f>IF(AND('Mapa final'!$AB$48="Muy Alta",'Mapa final'!$AD$48="Mayor"),CONCATENATE("R16C",'Mapa final'!$R$48),"")</f>
        <v/>
      </c>
      <c r="V21" s="43" t="str">
        <f ca="1">IF(AND('Mapa final'!$AB$46="Muy Alta",'Mapa final'!$AD$46="Catastrófico"),CONCATENATE("R16C",'Mapa final'!$R$46),"")</f>
        <v/>
      </c>
      <c r="W21" s="44" t="str">
        <f>IF(AND('Mapa final'!$AB$47="Muy Alta",'Mapa final'!$AD$47="Catastrófico"),CONCATENATE("R16C",'Mapa final'!$R$47),"")</f>
        <v/>
      </c>
      <c r="X21" s="99" t="str">
        <f>IF(AND('Mapa final'!$AB$48="Muy Alta",'Mapa final'!$AD$48="Catastrófico"),CONCATENATE("R16C",'Mapa final'!$R$48),"")</f>
        <v/>
      </c>
      <c r="Y21" s="56"/>
      <c r="Z21" s="280"/>
      <c r="AA21" s="281"/>
      <c r="AB21" s="281"/>
      <c r="AC21" s="281"/>
      <c r="AD21" s="281"/>
      <c r="AE21" s="282"/>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row>
    <row r="22" spans="1:61" ht="15" customHeight="1" x14ac:dyDescent="0.25">
      <c r="A22" s="56"/>
      <c r="B22" s="286"/>
      <c r="C22" s="286"/>
      <c r="D22" s="287"/>
      <c r="E22" s="276"/>
      <c r="F22" s="275"/>
      <c r="G22" s="275"/>
      <c r="H22" s="275"/>
      <c r="I22" s="275"/>
      <c r="J22" s="104" t="str">
        <f ca="1">IF(AND('Mapa final'!$AB$49="Muy Alta",'Mapa final'!$AD$49="Leve"),CONCATENATE("R17C",'Mapa final'!$R$49),"")</f>
        <v/>
      </c>
      <c r="K22" s="42" t="str">
        <f>IF(AND('Mapa final'!$AB$50="Muy Alta",'Mapa final'!$AD$50="Leve"),CONCATENATE("R17C",'Mapa final'!$R$50),"")</f>
        <v/>
      </c>
      <c r="L22" s="105" t="str">
        <f>IF(AND('Mapa final'!$AB$51="Muy Alta",'Mapa final'!$AD$51="Leve"),CONCATENATE("R17C",'Mapa final'!$R$51),"")</f>
        <v/>
      </c>
      <c r="M22" s="104" t="str">
        <f ca="1">IF(AND('Mapa final'!$AB$49="Muy Alta",'Mapa final'!$AD$49="Menor"),CONCATENATE("R17C",'Mapa final'!$R$49),"")</f>
        <v/>
      </c>
      <c r="N22" s="42" t="str">
        <f>IF(AND('Mapa final'!$AB$50="Muy Alta",'Mapa final'!$AD$50="Menor"),CONCATENATE("R17C",'Mapa final'!$R$50),"")</f>
        <v/>
      </c>
      <c r="O22" s="105" t="str">
        <f>IF(AND('Mapa final'!$AB$51="Muy Alta",'Mapa final'!$AD$51="Menor"),CONCATENATE("R17C",'Mapa final'!$R$51),"")</f>
        <v/>
      </c>
      <c r="P22" s="104" t="str">
        <f ca="1">IF(AND('Mapa final'!$AB$49="Muy Alta",'Mapa final'!$AD$49="Moderado"),CONCATENATE("R17C",'Mapa final'!$R$49),"")</f>
        <v/>
      </c>
      <c r="Q22" s="42" t="str">
        <f>IF(AND('Mapa final'!$AB$50="Muy Alta",'Mapa final'!$AD$50="Moderado"),CONCATENATE("R17C",'Mapa final'!$R$50),"")</f>
        <v/>
      </c>
      <c r="R22" s="105" t="str">
        <f>IF(AND('Mapa final'!$AB$51="Muy Alta",'Mapa final'!$AD$51="Moderado"),CONCATENATE("R17C",'Mapa final'!$R$51),"")</f>
        <v/>
      </c>
      <c r="S22" s="104" t="str">
        <f ca="1">IF(AND('Mapa final'!$AB$49="Muy Alta",'Mapa final'!$AD$49="Mayor"),CONCATENATE("R17C",'Mapa final'!$R$49),"")</f>
        <v/>
      </c>
      <c r="T22" s="42" t="str">
        <f>IF(AND('Mapa final'!$AB$50="Muy Alta",'Mapa final'!$AD$50="Mayor"),CONCATENATE("R17C",'Mapa final'!$R$50),"")</f>
        <v/>
      </c>
      <c r="U22" s="105" t="str">
        <f>IF(AND('Mapa final'!$AB$51="Muy Alta",'Mapa final'!$AD$51="Mayor"),CONCATENATE("R17C",'Mapa final'!$R$51),"")</f>
        <v/>
      </c>
      <c r="V22" s="43" t="str">
        <f ca="1">IF(AND('Mapa final'!$AB$49="Muy Alta",'Mapa final'!$AD$49="Catastrófico"),CONCATENATE("R17C",'Mapa final'!$R$49),"")</f>
        <v/>
      </c>
      <c r="W22" s="44" t="str">
        <f>IF(AND('Mapa final'!$AB$50="Muy Alta",'Mapa final'!$AD$50="Catastrófico"),CONCATENATE("R17C",'Mapa final'!$R$50),"")</f>
        <v/>
      </c>
      <c r="X22" s="99" t="str">
        <f>IF(AND('Mapa final'!$AB$51="Muy Alta",'Mapa final'!$AD$51="Catastrófico"),CONCATENATE("R17C",'Mapa final'!$R$51),"")</f>
        <v/>
      </c>
      <c r="Y22" s="56"/>
      <c r="Z22" s="280"/>
      <c r="AA22" s="281"/>
      <c r="AB22" s="281"/>
      <c r="AC22" s="281"/>
      <c r="AD22" s="281"/>
      <c r="AE22" s="282"/>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row>
    <row r="23" spans="1:61" ht="15" customHeight="1" x14ac:dyDescent="0.25">
      <c r="A23" s="56"/>
      <c r="B23" s="286"/>
      <c r="C23" s="286"/>
      <c r="D23" s="287"/>
      <c r="E23" s="276"/>
      <c r="F23" s="275"/>
      <c r="G23" s="275"/>
      <c r="H23" s="275"/>
      <c r="I23" s="275"/>
      <c r="J23" s="104" t="str">
        <f ca="1">IF(AND('Mapa final'!$AB$52="Muy Alta",'Mapa final'!$AD$52="Leve"),CONCATENATE("R18C",'Mapa final'!$R$52),"")</f>
        <v/>
      </c>
      <c r="K23" s="42" t="str">
        <f>IF(AND('Mapa final'!$AB$53="Muy Alta",'Mapa final'!$AD$53="Leve"),CONCATENATE("R18C",'Mapa final'!$R$53),"")</f>
        <v/>
      </c>
      <c r="L23" s="105" t="str">
        <f>IF(AND('Mapa final'!$AB$54="Muy Alta",'Mapa final'!$AD$54="Leve"),CONCATENATE("R18C",'Mapa final'!$R$54),"")</f>
        <v/>
      </c>
      <c r="M23" s="104" t="str">
        <f ca="1">IF(AND('Mapa final'!$AB$52="Muy Alta",'Mapa final'!$AD$52="Menor"),CONCATENATE("R18C",'Mapa final'!$R$52),"")</f>
        <v/>
      </c>
      <c r="N23" s="42" t="str">
        <f>IF(AND('Mapa final'!$AB$53="Muy Alta",'Mapa final'!$AD$53="Menor"),CONCATENATE("R18C",'Mapa final'!$R$53),"")</f>
        <v/>
      </c>
      <c r="O23" s="105" t="str">
        <f>IF(AND('Mapa final'!$AB$54="Muy Alta",'Mapa final'!$AD$54="Menor"),CONCATENATE("R18C",'Mapa final'!$R$54),"")</f>
        <v/>
      </c>
      <c r="P23" s="104" t="str">
        <f ca="1">IF(AND('Mapa final'!$AB$52="Muy Alta",'Mapa final'!$AD$52="Moderado"),CONCATENATE("R18C",'Mapa final'!$R$52),"")</f>
        <v/>
      </c>
      <c r="Q23" s="42" t="str">
        <f>IF(AND('Mapa final'!$AB$53="Muy Alta",'Mapa final'!$AD$53="Moderado"),CONCATENATE("R18C",'Mapa final'!$R$53),"")</f>
        <v/>
      </c>
      <c r="R23" s="105" t="str">
        <f>IF(AND('Mapa final'!$AB$54="Muy Alta",'Mapa final'!$AD$54="Moderado"),CONCATENATE("R18C",'Mapa final'!$R$54),"")</f>
        <v/>
      </c>
      <c r="S23" s="104" t="str">
        <f ca="1">IF(AND('Mapa final'!$AB$52="Muy Alta",'Mapa final'!$AD$52="Mayor"),CONCATENATE("R18C",'Mapa final'!$R$52),"")</f>
        <v/>
      </c>
      <c r="T23" s="42" t="str">
        <f>IF(AND('Mapa final'!$AB$53="Muy Alta",'Mapa final'!$AD$53="Mayor"),CONCATENATE("R18C",'Mapa final'!$R$53),"")</f>
        <v/>
      </c>
      <c r="U23" s="105" t="str">
        <f>IF(AND('Mapa final'!$AB$54="Muy Alta",'Mapa final'!$AD$54="Mayor"),CONCATENATE("R18C",'Mapa final'!$R$54),"")</f>
        <v/>
      </c>
      <c r="V23" s="43" t="str">
        <f ca="1">IF(AND('Mapa final'!$AB$52="Muy Alta",'Mapa final'!$AD$52="Catastrófico"),CONCATENATE("R18C",'Mapa final'!$R$52),"")</f>
        <v/>
      </c>
      <c r="W23" s="44" t="str">
        <f>IF(AND('Mapa final'!$AB$53="Muy Alta",'Mapa final'!$AD$53="Catastrófico"),CONCATENATE("R18C",'Mapa final'!$R$53),"")</f>
        <v/>
      </c>
      <c r="X23" s="99" t="str">
        <f>IF(AND('Mapa final'!$AB$54="Muy Alta",'Mapa final'!$AD$54="Catastrófico"),CONCATENATE("R18C",'Mapa final'!$R$54),"")</f>
        <v/>
      </c>
      <c r="Y23" s="56"/>
      <c r="Z23" s="280"/>
      <c r="AA23" s="281"/>
      <c r="AB23" s="281"/>
      <c r="AC23" s="281"/>
      <c r="AD23" s="281"/>
      <c r="AE23" s="282"/>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row>
    <row r="24" spans="1:61" ht="15" customHeight="1" x14ac:dyDescent="0.25">
      <c r="A24" s="56"/>
      <c r="B24" s="286"/>
      <c r="C24" s="286"/>
      <c r="D24" s="287"/>
      <c r="E24" s="276"/>
      <c r="F24" s="275"/>
      <c r="G24" s="275"/>
      <c r="H24" s="275"/>
      <c r="I24" s="275"/>
      <c r="J24" s="104" t="str">
        <f ca="1">IF(AND('Mapa final'!$AB$55="Muy Alta",'Mapa final'!$AD$55="Leve"),CONCATENATE("R19C",'Mapa final'!$R$55),"")</f>
        <v/>
      </c>
      <c r="K24" s="42" t="str">
        <f>IF(AND('Mapa final'!$AB$56="Muy Alta",'Mapa final'!$AD$56="Leve"),CONCATENATE("R19C",'Mapa final'!$R$56),"")</f>
        <v/>
      </c>
      <c r="L24" s="105" t="str">
        <f>IF(AND('Mapa final'!$AB$57="Muy Alta",'Mapa final'!$AD$57="Leve"),CONCATENATE("R19C",'Mapa final'!$R$57),"")</f>
        <v/>
      </c>
      <c r="M24" s="104" t="str">
        <f ca="1">IF(AND('Mapa final'!$AB$55="Muy Alta",'Mapa final'!$AD$55="Menor"),CONCATENATE("R19C",'Mapa final'!$R$55),"")</f>
        <v/>
      </c>
      <c r="N24" s="42" t="str">
        <f>IF(AND('Mapa final'!$AB$56="Muy Alta",'Mapa final'!$AD$56="Menor"),CONCATENATE("R19C",'Mapa final'!$R$56),"")</f>
        <v/>
      </c>
      <c r="O24" s="105" t="str">
        <f>IF(AND('Mapa final'!$AB$57="Muy Alta",'Mapa final'!$AD$57="Menor"),CONCATENATE("R19C",'Mapa final'!$R$57),"")</f>
        <v/>
      </c>
      <c r="P24" s="104" t="str">
        <f ca="1">IF(AND('Mapa final'!$AB$55="Muy Alta",'Mapa final'!$AD$55="Moderado"),CONCATENATE("R19C",'Mapa final'!$R$55),"")</f>
        <v/>
      </c>
      <c r="Q24" s="42" t="str">
        <f>IF(AND('Mapa final'!$AB$56="Muy Alta",'Mapa final'!$AD$56="Moderado"),CONCATENATE("R19C",'Mapa final'!$R$56),"")</f>
        <v/>
      </c>
      <c r="R24" s="105" t="str">
        <f>IF(AND('Mapa final'!$AB$57="Muy Alta",'Mapa final'!$AD$57="Moderado"),CONCATENATE("R19C",'Mapa final'!$R$57),"")</f>
        <v/>
      </c>
      <c r="S24" s="104" t="str">
        <f ca="1">IF(AND('Mapa final'!$AB$55="Muy Alta",'Mapa final'!$AD$55="Mayor"),CONCATENATE("R19C",'Mapa final'!$R$55),"")</f>
        <v/>
      </c>
      <c r="T24" s="42" t="str">
        <f>IF(AND('Mapa final'!$AB$56="Muy Alta",'Mapa final'!$AD$56="Mayor"),CONCATENATE("R19C",'Mapa final'!$R$56),"")</f>
        <v/>
      </c>
      <c r="U24" s="105" t="str">
        <f>IF(AND('Mapa final'!$AB$57="Muy Alta",'Mapa final'!$AD$57="Mayor"),CONCATENATE("R19C",'Mapa final'!$R$57),"")</f>
        <v/>
      </c>
      <c r="V24" s="43" t="str">
        <f ca="1">IF(AND('Mapa final'!$AB$55="Muy Alta",'Mapa final'!$AD$55="Catastrófico"),CONCATENATE("R19C",'Mapa final'!$R$55),"")</f>
        <v/>
      </c>
      <c r="W24" s="44" t="str">
        <f>IF(AND('Mapa final'!$AB$56="Muy Alta",'Mapa final'!$AD$56="Catastrófico"),CONCATENATE("R19C",'Mapa final'!$R$56),"")</f>
        <v/>
      </c>
      <c r="X24" s="99" t="str">
        <f>IF(AND('Mapa final'!$AB$57="Muy Alta",'Mapa final'!$AD$57="Catastrófico"),CONCATENATE("R19C",'Mapa final'!$R$57),"")</f>
        <v/>
      </c>
      <c r="Y24" s="56"/>
      <c r="Z24" s="280"/>
      <c r="AA24" s="281"/>
      <c r="AB24" s="281"/>
      <c r="AC24" s="281"/>
      <c r="AD24" s="281"/>
      <c r="AE24" s="282"/>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row>
    <row r="25" spans="1:61" ht="15" customHeight="1" x14ac:dyDescent="0.25">
      <c r="A25" s="56"/>
      <c r="B25" s="286"/>
      <c r="C25" s="286"/>
      <c r="D25" s="287"/>
      <c r="E25" s="276"/>
      <c r="F25" s="275"/>
      <c r="G25" s="275"/>
      <c r="H25" s="275"/>
      <c r="I25" s="275"/>
      <c r="J25" s="104" t="str">
        <f ca="1">IF(AND('Mapa final'!$AB$58="Muy Alta",'Mapa final'!$AD$58="Leve"),CONCATENATE("R20C",'Mapa final'!$R$58),"")</f>
        <v/>
      </c>
      <c r="K25" s="42" t="str">
        <f>IF(AND('Mapa final'!$AB$59="Muy Alta",'Mapa final'!$AD$59="Leve"),CONCATENATE("R20C",'Mapa final'!$R$59),"")</f>
        <v/>
      </c>
      <c r="L25" s="105" t="str">
        <f>IF(AND('Mapa final'!$AB$60="Muy Alta",'Mapa final'!$AD$60="Leve"),CONCATENATE("R20C",'Mapa final'!$R$60),"")</f>
        <v/>
      </c>
      <c r="M25" s="104" t="str">
        <f ca="1">IF(AND('Mapa final'!$AB$58="Muy Alta",'Mapa final'!$AD$58="Menor"),CONCATENATE("R20C",'Mapa final'!$R$58),"")</f>
        <v/>
      </c>
      <c r="N25" s="42" t="str">
        <f>IF(AND('Mapa final'!$AB$59="Muy Alta",'Mapa final'!$AD$59="Menor"),CONCATENATE("R20C",'Mapa final'!$R$59),"")</f>
        <v/>
      </c>
      <c r="O25" s="105" t="str">
        <f>IF(AND('Mapa final'!$AB$60="Muy Alta",'Mapa final'!$AD$60="Menor"),CONCATENATE("R20C",'Mapa final'!$R$60),"")</f>
        <v/>
      </c>
      <c r="P25" s="104" t="str">
        <f ca="1">IF(AND('Mapa final'!$AB$58="Muy Alta",'Mapa final'!$AD$58="Moderado"),CONCATENATE("R20C",'Mapa final'!$R$58),"")</f>
        <v/>
      </c>
      <c r="Q25" s="42" t="str">
        <f>IF(AND('Mapa final'!$AB$59="Muy Alta",'Mapa final'!$AD$59="Moderado"),CONCATENATE("R20C",'Mapa final'!$R$59),"")</f>
        <v/>
      </c>
      <c r="R25" s="105" t="str">
        <f>IF(AND('Mapa final'!$AB$60="Muy Alta",'Mapa final'!$AD$60="Moderado"),CONCATENATE("R20C",'Mapa final'!$R$60),"")</f>
        <v/>
      </c>
      <c r="S25" s="104" t="str">
        <f ca="1">IF(AND('Mapa final'!$AB$58="Muy Alta",'Mapa final'!$AD$58="Mayor"),CONCATENATE("R20C",'Mapa final'!$R$58),"")</f>
        <v/>
      </c>
      <c r="T25" s="42" t="str">
        <f>IF(AND('Mapa final'!$AB$59="Muy Alta",'Mapa final'!$AD$59="Mayor"),CONCATENATE("R20C",'Mapa final'!$R$59),"")</f>
        <v/>
      </c>
      <c r="U25" s="105" t="str">
        <f>IF(AND('Mapa final'!$AB$60="Muy Alta",'Mapa final'!$AD$60="Mayor"),CONCATENATE("R20C",'Mapa final'!$R$60),"")</f>
        <v/>
      </c>
      <c r="V25" s="43" t="str">
        <f ca="1">IF(AND('Mapa final'!$AB$58="Muy Alta",'Mapa final'!$AD$58="Catastrófico"),CONCATENATE("R20C",'Mapa final'!$R$58),"")</f>
        <v/>
      </c>
      <c r="W25" s="44" t="str">
        <f>IF(AND('Mapa final'!$AB$59="Muy Alta",'Mapa final'!$AD$59="Catastrófico"),CONCATENATE("R20C",'Mapa final'!$R$59),"")</f>
        <v/>
      </c>
      <c r="X25" s="99" t="str">
        <f>IF(AND('Mapa final'!$AB$60="Muy Alta",'Mapa final'!$AD$60="Catastrófico"),CONCATENATE("R20C",'Mapa final'!$R$60),"")</f>
        <v/>
      </c>
      <c r="Y25" s="56"/>
      <c r="Z25" s="280"/>
      <c r="AA25" s="281"/>
      <c r="AB25" s="281"/>
      <c r="AC25" s="281"/>
      <c r="AD25" s="281"/>
      <c r="AE25" s="282"/>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row>
    <row r="26" spans="1:61" ht="15" customHeight="1" x14ac:dyDescent="0.25">
      <c r="A26" s="56"/>
      <c r="B26" s="286"/>
      <c r="C26" s="286"/>
      <c r="D26" s="287"/>
      <c r="E26" s="276"/>
      <c r="F26" s="275"/>
      <c r="G26" s="275"/>
      <c r="H26" s="275"/>
      <c r="I26" s="275"/>
      <c r="J26" s="104" t="str">
        <f ca="1">IF(AND('Mapa final'!$AB$61="Muy Alta",'Mapa final'!$AD$61="Leve"),CONCATENATE("R21C",'Mapa final'!$R$61),"")</f>
        <v/>
      </c>
      <c r="K26" s="42" t="str">
        <f>IF(AND('Mapa final'!$AB$62="Muy Alta",'Mapa final'!$AD$62="Leve"),CONCATENATE("R21C",'Mapa final'!$R$62),"")</f>
        <v/>
      </c>
      <c r="L26" s="105" t="str">
        <f>IF(AND('Mapa final'!$AB$63="Muy Alta",'Mapa final'!$AD$63="Leve"),CONCATENATE("R21C",'Mapa final'!$R$63),"")</f>
        <v/>
      </c>
      <c r="M26" s="104" t="str">
        <f ca="1">IF(AND('Mapa final'!$AB$61="Muy Alta",'Mapa final'!$AD$61="Menor"),CONCATENATE("R21C",'Mapa final'!$R$61),"")</f>
        <v/>
      </c>
      <c r="N26" s="42" t="str">
        <f>IF(AND('Mapa final'!$AB$62="Muy Alta",'Mapa final'!$AD$62="Menor"),CONCATENATE("R21C",'Mapa final'!$R$62),"")</f>
        <v/>
      </c>
      <c r="O26" s="105" t="str">
        <f>IF(AND('Mapa final'!$AB$63="Muy Alta",'Mapa final'!$AD$63="Menor"),CONCATENATE("R21C",'Mapa final'!$R$63),"")</f>
        <v/>
      </c>
      <c r="P26" s="104" t="str">
        <f ca="1">IF(AND('Mapa final'!$AB$61="Muy Alta",'Mapa final'!$AD$61="Moderado"),CONCATENATE("R21C",'Mapa final'!$R$61),"")</f>
        <v/>
      </c>
      <c r="Q26" s="42" t="str">
        <f>IF(AND('Mapa final'!$AB$62="Muy Alta",'Mapa final'!$AD$62="Moderado"),CONCATENATE("R21C",'Mapa final'!$R$62),"")</f>
        <v/>
      </c>
      <c r="R26" s="105" t="str">
        <f>IF(AND('Mapa final'!$AB$63="Muy Alta",'Mapa final'!$AD$63="Moderado"),CONCATENATE("R21C",'Mapa final'!$R$63),"")</f>
        <v/>
      </c>
      <c r="S26" s="104" t="str">
        <f ca="1">IF(AND('Mapa final'!$AB$61="Muy Alta",'Mapa final'!$AD$61="Mayor"),CONCATENATE("R21C",'Mapa final'!$R$61),"")</f>
        <v/>
      </c>
      <c r="T26" s="42" t="str">
        <f>IF(AND('Mapa final'!$AB$62="Muy Alta",'Mapa final'!$AD$62="Mayor"),CONCATENATE("R21C",'Mapa final'!$R$62),"")</f>
        <v/>
      </c>
      <c r="U26" s="105" t="str">
        <f>IF(AND('Mapa final'!$AB$63="Muy Alta",'Mapa final'!$AD$63="Mayor"),CONCATENATE("R21C",'Mapa final'!$R$63),"")</f>
        <v/>
      </c>
      <c r="V26" s="43" t="str">
        <f ca="1">IF(AND('Mapa final'!$AB$61="Muy Alta",'Mapa final'!$AD$61="Catastrófico"),CONCATENATE("R21C",'Mapa final'!$R$61),"")</f>
        <v/>
      </c>
      <c r="W26" s="44" t="str">
        <f>IF(AND('Mapa final'!$AB$62="Muy Alta",'Mapa final'!$AD$62="Catastrófico"),CONCATENATE("R21C",'Mapa final'!$R$62),"")</f>
        <v/>
      </c>
      <c r="X26" s="99" t="str">
        <f>IF(AND('Mapa final'!$AB$63="Muy Alta",'Mapa final'!$AD$63="Catastrófico"),CONCATENATE("R21C",'Mapa final'!$R$63),"")</f>
        <v/>
      </c>
      <c r="Y26" s="56"/>
      <c r="Z26" s="280"/>
      <c r="AA26" s="281"/>
      <c r="AB26" s="281"/>
      <c r="AC26" s="281"/>
      <c r="AD26" s="281"/>
      <c r="AE26" s="282"/>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row>
    <row r="27" spans="1:61" ht="15" customHeight="1" x14ac:dyDescent="0.25">
      <c r="A27" s="56"/>
      <c r="B27" s="286"/>
      <c r="C27" s="286"/>
      <c r="D27" s="287"/>
      <c r="E27" s="276"/>
      <c r="F27" s="275"/>
      <c r="G27" s="275"/>
      <c r="H27" s="275"/>
      <c r="I27" s="275"/>
      <c r="J27" s="104" t="str">
        <f ca="1">IF(AND('Mapa final'!$AB$64="Muy Alta",'Mapa final'!$AD$64="Leve"),CONCATENATE("R22C",'Mapa final'!$R$64),"")</f>
        <v/>
      </c>
      <c r="K27" s="42" t="str">
        <f>IF(AND('Mapa final'!$AB$65="Muy Alta",'Mapa final'!$AD$65="Leve"),CONCATENATE("R22C",'Mapa final'!$R$65),"")</f>
        <v/>
      </c>
      <c r="L27" s="105" t="str">
        <f>IF(AND('Mapa final'!$AB$66="Muy Alta",'Mapa final'!$AD$66="Leve"),CONCATENATE("R22C",'Mapa final'!$R$66),"")</f>
        <v/>
      </c>
      <c r="M27" s="104" t="str">
        <f ca="1">IF(AND('Mapa final'!$AB$64="Muy Alta",'Mapa final'!$AD$64="Menor"),CONCATENATE("R22C",'Mapa final'!$R$64),"")</f>
        <v/>
      </c>
      <c r="N27" s="42" t="str">
        <f>IF(AND('Mapa final'!$AB$65="Muy Alta",'Mapa final'!$AD$65="Menor"),CONCATENATE("R22C",'Mapa final'!$R$65),"")</f>
        <v/>
      </c>
      <c r="O27" s="105" t="str">
        <f>IF(AND('Mapa final'!$AB$66="Muy Alta",'Mapa final'!$AD$66="Menor"),CONCATENATE("R22C",'Mapa final'!$R$66),"")</f>
        <v/>
      </c>
      <c r="P27" s="104" t="str">
        <f ca="1">IF(AND('Mapa final'!$AB$64="Muy Alta",'Mapa final'!$AD$64="Moderado"),CONCATENATE("R22C",'Mapa final'!$R$64),"")</f>
        <v/>
      </c>
      <c r="Q27" s="42" t="str">
        <f>IF(AND('Mapa final'!$AB$65="Muy Alta",'Mapa final'!$AD$65="Moderado"),CONCATENATE("R22C",'Mapa final'!$R$65),"")</f>
        <v/>
      </c>
      <c r="R27" s="105" t="str">
        <f>IF(AND('Mapa final'!$AB$66="Muy Alta",'Mapa final'!$AD$66="Moderado"),CONCATENATE("R22C",'Mapa final'!$R$66),"")</f>
        <v/>
      </c>
      <c r="S27" s="104" t="str">
        <f ca="1">IF(AND('Mapa final'!$AB$64="Muy Alta",'Mapa final'!$AD$64="Mayor"),CONCATENATE("R22C",'Mapa final'!$R$64),"")</f>
        <v/>
      </c>
      <c r="T27" s="42" t="str">
        <f>IF(AND('Mapa final'!$AB$65="Muy Alta",'Mapa final'!$AD$65="Mayor"),CONCATENATE("R22C",'Mapa final'!$R$65),"")</f>
        <v/>
      </c>
      <c r="U27" s="105" t="str">
        <f>IF(AND('Mapa final'!$AB$66="Muy Alta",'Mapa final'!$AD$66="Mayor"),CONCATENATE("R22C",'Mapa final'!$R$66),"")</f>
        <v/>
      </c>
      <c r="V27" s="43" t="str">
        <f ca="1">IF(AND('Mapa final'!$AB$64="Muy Alta",'Mapa final'!$AD$64="Catastrófico"),CONCATENATE("R22C",'Mapa final'!$R$64),"")</f>
        <v/>
      </c>
      <c r="W27" s="44" t="str">
        <f>IF(AND('Mapa final'!$AB$65="Muy Alta",'Mapa final'!$AD$65="Catastrófico"),CONCATENATE("R22C",'Mapa final'!$R$65),"")</f>
        <v/>
      </c>
      <c r="X27" s="99" t="str">
        <f>IF(AND('Mapa final'!$AB$66="Muy Alta",'Mapa final'!$AD$66="Catastrófico"),CONCATENATE("R22C",'Mapa final'!$R$66),"")</f>
        <v/>
      </c>
      <c r="Y27" s="56"/>
      <c r="Z27" s="280"/>
      <c r="AA27" s="281"/>
      <c r="AB27" s="281"/>
      <c r="AC27" s="281"/>
      <c r="AD27" s="281"/>
      <c r="AE27" s="282"/>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row>
    <row r="28" spans="1:61" ht="15" customHeight="1" x14ac:dyDescent="0.25">
      <c r="A28" s="56"/>
      <c r="B28" s="286"/>
      <c r="C28" s="286"/>
      <c r="D28" s="287"/>
      <c r="E28" s="276"/>
      <c r="F28" s="275"/>
      <c r="G28" s="275"/>
      <c r="H28" s="275"/>
      <c r="I28" s="275"/>
      <c r="J28" s="104" t="str">
        <f ca="1">IF(AND('Mapa final'!$AB$70="Muy Alta",'Mapa final'!$AD$70="Leve"),CONCATENATE("R23C",'Mapa final'!$R$70),"")</f>
        <v/>
      </c>
      <c r="K28" s="42" t="str">
        <f>IF(AND('Mapa final'!$AB$71="Muy Alta",'Mapa final'!$AD$71="Leve"),CONCATENATE("R23C",'Mapa final'!$R$71),"")</f>
        <v/>
      </c>
      <c r="L28" s="105" t="str">
        <f>IF(AND('Mapa final'!$AB$72="Muy Alta",'Mapa final'!$AD$72="Leve"),CONCATENATE("R23C",'Mapa final'!$R$72),"")</f>
        <v/>
      </c>
      <c r="M28" s="104" t="str">
        <f ca="1">IF(AND('Mapa final'!$AB$70="Muy Alta",'Mapa final'!$AD$70="Menor"),CONCATENATE("R23C",'Mapa final'!$R$70),"")</f>
        <v/>
      </c>
      <c r="N28" s="42" t="str">
        <f>IF(AND('Mapa final'!$AB$71="Muy Alta",'Mapa final'!$AD$71="Menor"),CONCATENATE("R23C",'Mapa final'!$R$71),"")</f>
        <v/>
      </c>
      <c r="O28" s="105" t="str">
        <f>IF(AND('Mapa final'!$AB$72="Muy Alta",'Mapa final'!$AD$72="Menor"),CONCATENATE("R23C",'Mapa final'!$R$72),"")</f>
        <v/>
      </c>
      <c r="P28" s="104" t="str">
        <f ca="1">IF(AND('Mapa final'!$AB$70="Muy Alta",'Mapa final'!$AD$70="Moderado"),CONCATENATE("R23C",'Mapa final'!$R$70),"")</f>
        <v/>
      </c>
      <c r="Q28" s="42" t="str">
        <f>IF(AND('Mapa final'!$AB$71="Muy Alta",'Mapa final'!$AD$71="Moderado"),CONCATENATE("R23C",'Mapa final'!$R$71),"")</f>
        <v/>
      </c>
      <c r="R28" s="105" t="str">
        <f>IF(AND('Mapa final'!$AB$72="Muy Alta",'Mapa final'!$AD$72="Moderado"),CONCATENATE("R23C",'Mapa final'!$R$72),"")</f>
        <v/>
      </c>
      <c r="S28" s="104" t="str">
        <f ca="1">IF(AND('Mapa final'!$AB$70="Muy Alta",'Mapa final'!$AD$70="Mayor"),CONCATENATE("R23C",'Mapa final'!$R$70),"")</f>
        <v/>
      </c>
      <c r="T28" s="42" t="str">
        <f>IF(AND('Mapa final'!$AB$71="Muy Alta",'Mapa final'!$AD$71="Mayor"),CONCATENATE("R23C",'Mapa final'!$R$71),"")</f>
        <v/>
      </c>
      <c r="U28" s="105" t="str">
        <f>IF(AND('Mapa final'!$AB$72="Muy Alta",'Mapa final'!$AD$72="Mayor"),CONCATENATE("R23C",'Mapa final'!$R$72),"")</f>
        <v/>
      </c>
      <c r="V28" s="43" t="str">
        <f ca="1">IF(AND('Mapa final'!$AB$70="Muy Alta",'Mapa final'!$AD$70="Catastrófico"),CONCATENATE("R23C",'Mapa final'!$R$70),"")</f>
        <v/>
      </c>
      <c r="W28" s="44" t="str">
        <f>IF(AND('Mapa final'!$AB$71="Muy Alta",'Mapa final'!$AD$71="Catastrófico"),CONCATENATE("R23C",'Mapa final'!$R$71),"")</f>
        <v/>
      </c>
      <c r="X28" s="99" t="str">
        <f>IF(AND('Mapa final'!$AB$72="Muy Alta",'Mapa final'!$AD$72="Catastrófico"),CONCATENATE("R23C",'Mapa final'!$R$72),"")</f>
        <v/>
      </c>
      <c r="Y28" s="56"/>
      <c r="Z28" s="280"/>
      <c r="AA28" s="281"/>
      <c r="AB28" s="281"/>
      <c r="AC28" s="281"/>
      <c r="AD28" s="281"/>
      <c r="AE28" s="282"/>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row>
    <row r="29" spans="1:61" ht="15" customHeight="1" x14ac:dyDescent="0.25">
      <c r="A29" s="56"/>
      <c r="B29" s="286"/>
      <c r="C29" s="286"/>
      <c r="D29" s="287"/>
      <c r="E29" s="276"/>
      <c r="F29" s="275"/>
      <c r="G29" s="275"/>
      <c r="H29" s="275"/>
      <c r="I29" s="275"/>
      <c r="J29" s="104" t="str">
        <f ca="1">IF(AND('Mapa final'!$AB$73="Muy Alta",'Mapa final'!$AD$73="Leve"),CONCATENATE("R24C",'Mapa final'!$R$73),"")</f>
        <v/>
      </c>
      <c r="K29" s="42" t="str">
        <f>IF(AND('Mapa final'!$AB$74="Muy Alta",'Mapa final'!$AD$74="Leve"),CONCATENATE("R24C",'Mapa final'!$R$74),"")</f>
        <v/>
      </c>
      <c r="L29" s="105" t="str">
        <f>IF(AND('Mapa final'!$AB$75="Muy Alta",'Mapa final'!$AD$75="Leve"),CONCATENATE("R24C",'Mapa final'!$R$75),"")</f>
        <v/>
      </c>
      <c r="M29" s="104" t="str">
        <f ca="1">IF(AND('Mapa final'!$AB$73="Muy Alta",'Mapa final'!$AD$73="Menor"),CONCATENATE("R24C",'Mapa final'!$R$73),"")</f>
        <v/>
      </c>
      <c r="N29" s="42" t="str">
        <f>IF(AND('Mapa final'!$AB$74="Muy Alta",'Mapa final'!$AD$74="Menor"),CONCATENATE("R24C",'Mapa final'!$R$74),"")</f>
        <v/>
      </c>
      <c r="O29" s="105" t="str">
        <f>IF(AND('Mapa final'!$AB$75="Muy Alta",'Mapa final'!$AD$75="Menor"),CONCATENATE("R24C",'Mapa final'!$R$75),"")</f>
        <v/>
      </c>
      <c r="P29" s="104" t="str">
        <f ca="1">IF(AND('Mapa final'!$AB$73="Muy Alta",'Mapa final'!$AD$73="Moderado"),CONCATENATE("R24C",'Mapa final'!$R$73),"")</f>
        <v/>
      </c>
      <c r="Q29" s="42" t="str">
        <f>IF(AND('Mapa final'!$AB$74="Muy Alta",'Mapa final'!$AD$74="Moderado"),CONCATENATE("R24C",'Mapa final'!$R$74),"")</f>
        <v/>
      </c>
      <c r="R29" s="105" t="str">
        <f>IF(AND('Mapa final'!$AB$75="Muy Alta",'Mapa final'!$AD$75="Moderado"),CONCATENATE("R24C",'Mapa final'!$R$75),"")</f>
        <v/>
      </c>
      <c r="S29" s="104" t="str">
        <f ca="1">IF(AND('Mapa final'!$AB$73="Muy Alta",'Mapa final'!$AD$73="Mayor"),CONCATENATE("R24C",'Mapa final'!$R$73),"")</f>
        <v/>
      </c>
      <c r="T29" s="42" t="str">
        <f>IF(AND('Mapa final'!$AB$74="Muy Alta",'Mapa final'!$AD$74="Mayor"),CONCATENATE("R24C",'Mapa final'!$R$74),"")</f>
        <v/>
      </c>
      <c r="U29" s="105" t="str">
        <f>IF(AND('Mapa final'!$AB$75="Muy Alta",'Mapa final'!$AD$75="Mayor"),CONCATENATE("R24C",'Mapa final'!$R$75),"")</f>
        <v/>
      </c>
      <c r="V29" s="43" t="str">
        <f ca="1">IF(AND('Mapa final'!$AB$73="Muy Alta",'Mapa final'!$AD$73="Catastrófico"),CONCATENATE("R24C",'Mapa final'!$R$73),"")</f>
        <v/>
      </c>
      <c r="W29" s="44" t="str">
        <f>IF(AND('Mapa final'!$AB$74="Muy Alta",'Mapa final'!$AD$74="Catastrófico"),CONCATENATE("R24C",'Mapa final'!$R$74),"")</f>
        <v/>
      </c>
      <c r="X29" s="99" t="str">
        <f>IF(AND('Mapa final'!$AB$75="Muy Alta",'Mapa final'!$AD$75="Catastrófico"),CONCATENATE("R24C",'Mapa final'!$R$75),"")</f>
        <v/>
      </c>
      <c r="Y29" s="56"/>
      <c r="Z29" s="280"/>
      <c r="AA29" s="281"/>
      <c r="AB29" s="281"/>
      <c r="AC29" s="281"/>
      <c r="AD29" s="281"/>
      <c r="AE29" s="282"/>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row>
    <row r="30" spans="1:61" ht="15" customHeight="1" x14ac:dyDescent="0.25">
      <c r="A30" s="56"/>
      <c r="B30" s="286"/>
      <c r="C30" s="286"/>
      <c r="D30" s="287"/>
      <c r="E30" s="276"/>
      <c r="F30" s="275"/>
      <c r="G30" s="275"/>
      <c r="H30" s="275"/>
      <c r="I30" s="275"/>
      <c r="J30" s="104" t="str">
        <f ca="1">IF(AND('Mapa final'!$AB$76="Muy Alta",'Mapa final'!$AD$76="Leve"),CONCATENATE("R25C",'Mapa final'!$R$76),"")</f>
        <v/>
      </c>
      <c r="K30" s="42" t="str">
        <f>IF(AND('Mapa final'!$AB$77="Muy Alta",'Mapa final'!$AD$77="Leve"),CONCATENATE("R25C",'Mapa final'!$R$77),"")</f>
        <v/>
      </c>
      <c r="L30" s="105" t="str">
        <f>IF(AND('Mapa final'!$AB$78="Muy Alta",'Mapa final'!$AD$78="Leve"),CONCATENATE("R25C",'Mapa final'!$R$78),"")</f>
        <v/>
      </c>
      <c r="M30" s="104" t="str">
        <f ca="1">IF(AND('Mapa final'!$AB$76="Muy Alta",'Mapa final'!$AD$76="Menor"),CONCATENATE("R25C",'Mapa final'!$R$76),"")</f>
        <v/>
      </c>
      <c r="N30" s="42" t="str">
        <f>IF(AND('Mapa final'!$AB$77="Muy Alta",'Mapa final'!$AD$77="Menor"),CONCATENATE("R25C",'Mapa final'!$R$77),"")</f>
        <v/>
      </c>
      <c r="O30" s="105" t="str">
        <f>IF(AND('Mapa final'!$AB$78="Muy Alta",'Mapa final'!$AD$78="Menor"),CONCATENATE("R25C",'Mapa final'!$R$78),"")</f>
        <v/>
      </c>
      <c r="P30" s="104" t="str">
        <f ca="1">IF(AND('Mapa final'!$AB$76="Muy Alta",'Mapa final'!$AD$76="Moderado"),CONCATENATE("R25C",'Mapa final'!$R$76),"")</f>
        <v/>
      </c>
      <c r="Q30" s="42" t="str">
        <f>IF(AND('Mapa final'!$AB$77="Muy Alta",'Mapa final'!$AD$77="Moderado"),CONCATENATE("R25C",'Mapa final'!$R$77),"")</f>
        <v/>
      </c>
      <c r="R30" s="105" t="str">
        <f>IF(AND('Mapa final'!$AB$78="Muy Alta",'Mapa final'!$AD$78="Moderado"),CONCATENATE("R25C",'Mapa final'!$R$78),"")</f>
        <v/>
      </c>
      <c r="S30" s="104" t="str">
        <f ca="1">IF(AND('Mapa final'!$AB$76="Muy Alta",'Mapa final'!$AD$76="Mayor"),CONCATENATE("R25C",'Mapa final'!$R$76),"")</f>
        <v/>
      </c>
      <c r="T30" s="42" t="str">
        <f>IF(AND('Mapa final'!$AB$77="Muy Alta",'Mapa final'!$AD$77="Mayor"),CONCATENATE("R25C",'Mapa final'!$R$77),"")</f>
        <v/>
      </c>
      <c r="U30" s="105" t="str">
        <f>IF(AND('Mapa final'!$AB$78="Muy Alta",'Mapa final'!$AD$78="Mayor"),CONCATENATE("R25C",'Mapa final'!$R$78),"")</f>
        <v/>
      </c>
      <c r="V30" s="43" t="str">
        <f ca="1">IF(AND('Mapa final'!$AB$76="Muy Alta",'Mapa final'!$AD$76="Catastrófico"),CONCATENATE("R25C",'Mapa final'!$R$76),"")</f>
        <v/>
      </c>
      <c r="W30" s="44" t="str">
        <f>IF(AND('Mapa final'!$AB$77="Muy Alta",'Mapa final'!$AD$77="Catastrófico"),CONCATENATE("R25C",'Mapa final'!$R$77),"")</f>
        <v/>
      </c>
      <c r="X30" s="99" t="str">
        <f>IF(AND('Mapa final'!$AB$78="Muy Alta",'Mapa final'!$AD$78="Catastrófico"),CONCATENATE("R25C",'Mapa final'!$R$78),"")</f>
        <v/>
      </c>
      <c r="Y30" s="56"/>
      <c r="Z30" s="280"/>
      <c r="AA30" s="281"/>
      <c r="AB30" s="281"/>
      <c r="AC30" s="281"/>
      <c r="AD30" s="281"/>
      <c r="AE30" s="282"/>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row>
    <row r="31" spans="1:61" ht="15" customHeight="1" x14ac:dyDescent="0.25">
      <c r="A31" s="56"/>
      <c r="B31" s="286"/>
      <c r="C31" s="286"/>
      <c r="D31" s="287"/>
      <c r="E31" s="276"/>
      <c r="F31" s="275"/>
      <c r="G31" s="275"/>
      <c r="H31" s="275"/>
      <c r="I31" s="275"/>
      <c r="J31" s="104" t="str">
        <f ca="1">IF(AND('Mapa final'!$AB$79="Muy Alta",'Mapa final'!$AD$79="Leve"),CONCATENATE("R26C",'Mapa final'!$R$79),"")</f>
        <v/>
      </c>
      <c r="K31" s="42" t="str">
        <f ca="1">IF(AND('Mapa final'!$AB$80="Muy Alta",'Mapa final'!$AD$80="Leve"),CONCATENATE("R26C",'Mapa final'!$R$80),"")</f>
        <v/>
      </c>
      <c r="L31" s="105" t="str">
        <f ca="1">IF(AND('Mapa final'!$AB$81="Muy Alta",'Mapa final'!$AD$81="Leve"),CONCATENATE("R26C",'Mapa final'!$R$81),"")</f>
        <v/>
      </c>
      <c r="M31" s="104" t="str">
        <f ca="1">IF(AND('Mapa final'!$AB$79="Muy Alta",'Mapa final'!$AD$79="Menor"),CONCATENATE("R26C",'Mapa final'!$R$79),"")</f>
        <v/>
      </c>
      <c r="N31" s="42" t="str">
        <f ca="1">IF(AND('Mapa final'!$AB$80="Muy Alta",'Mapa final'!$AD$80="Menor"),CONCATENATE("R26C",'Mapa final'!$R$80),"")</f>
        <v/>
      </c>
      <c r="O31" s="105" t="str">
        <f ca="1">IF(AND('Mapa final'!$AB$81="Muy Alta",'Mapa final'!$AD$81="Menor"),CONCATENATE("R26C",'Mapa final'!$R$81),"")</f>
        <v/>
      </c>
      <c r="P31" s="104" t="str">
        <f ca="1">IF(AND('Mapa final'!$AB$79="Muy Alta",'Mapa final'!$AD$79="Moderado"),CONCATENATE("R26C",'Mapa final'!$R$79),"")</f>
        <v/>
      </c>
      <c r="Q31" s="42" t="str">
        <f ca="1">IF(AND('Mapa final'!$AB$80="Muy Alta",'Mapa final'!$AD$80="Moderado"),CONCATENATE("R26C",'Mapa final'!$R$80),"")</f>
        <v/>
      </c>
      <c r="R31" s="105" t="str">
        <f ca="1">IF(AND('Mapa final'!$AB$81="Muy Alta",'Mapa final'!$AD$81="Moderado"),CONCATENATE("R26C",'Mapa final'!$R$81),"")</f>
        <v/>
      </c>
      <c r="S31" s="104" t="str">
        <f ca="1">IF(AND('Mapa final'!$AB$79="Muy Alta",'Mapa final'!$AD$79="Mayor"),CONCATENATE("R26C",'Mapa final'!$R$79),"")</f>
        <v/>
      </c>
      <c r="T31" s="42" t="str">
        <f ca="1">IF(AND('Mapa final'!$AB$80="Muy Alta",'Mapa final'!$AD$80="Mayor"),CONCATENATE("R26C",'Mapa final'!$R$80),"")</f>
        <v/>
      </c>
      <c r="U31" s="105" t="str">
        <f ca="1">IF(AND('Mapa final'!$AB$81="Muy Alta",'Mapa final'!$AD$81="Mayor"),CONCATENATE("R26C",'Mapa final'!$R$81),"")</f>
        <v/>
      </c>
      <c r="V31" s="43" t="str">
        <f ca="1">IF(AND('Mapa final'!$AB$79="Muy Alta",'Mapa final'!$AD$79="Catastrófico"),CONCATENATE("R26C",'Mapa final'!$R$79),"")</f>
        <v/>
      </c>
      <c r="W31" s="44" t="str">
        <f ca="1">IF(AND('Mapa final'!$AB$80="Muy Alta",'Mapa final'!$AD$80="Catastrófico"),CONCATENATE("R26C",'Mapa final'!$R$80),"")</f>
        <v/>
      </c>
      <c r="X31" s="99" t="str">
        <f ca="1">IF(AND('Mapa final'!$AB$81="Muy Alta",'Mapa final'!$AD$81="Catastrófico"),CONCATENATE("R26C",'Mapa final'!$R$81),"")</f>
        <v/>
      </c>
      <c r="Y31" s="56"/>
      <c r="Z31" s="280"/>
      <c r="AA31" s="281"/>
      <c r="AB31" s="281"/>
      <c r="AC31" s="281"/>
      <c r="AD31" s="281"/>
      <c r="AE31" s="282"/>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row>
    <row r="32" spans="1:61" ht="15" customHeight="1" x14ac:dyDescent="0.25">
      <c r="A32" s="56"/>
      <c r="B32" s="286"/>
      <c r="C32" s="286"/>
      <c r="D32" s="287"/>
      <c r="E32" s="276"/>
      <c r="F32" s="275"/>
      <c r="G32" s="275"/>
      <c r="H32" s="275"/>
      <c r="I32" s="275"/>
      <c r="J32" s="104" t="str">
        <f ca="1">IF(AND('Mapa final'!$AB$82="Muy Alta",'Mapa final'!$AD$82="Leve"),CONCATENATE("R27C",'Mapa final'!$R$82),"")</f>
        <v/>
      </c>
      <c r="K32" s="42" t="str">
        <f>IF(AND('Mapa final'!$AB$83="Muy Alta",'Mapa final'!$AD$83="Leve"),CONCATENATE("R27C",'Mapa final'!$R$83),"")</f>
        <v/>
      </c>
      <c r="L32" s="105" t="str">
        <f>IF(AND('Mapa final'!$AB$84="Muy Alta",'Mapa final'!$AD$84="Leve"),CONCATENATE("R27C",'Mapa final'!$R$84),"")</f>
        <v/>
      </c>
      <c r="M32" s="104" t="str">
        <f ca="1">IF(AND('Mapa final'!$AB$82="Muy Alta",'Mapa final'!$AD$82="Menor"),CONCATENATE("R27C",'Mapa final'!$R$82),"")</f>
        <v/>
      </c>
      <c r="N32" s="42" t="str">
        <f>IF(AND('Mapa final'!$AB$83="Muy Alta",'Mapa final'!$AD$83="Menor"),CONCATENATE("R27C",'Mapa final'!$R$83),"")</f>
        <v/>
      </c>
      <c r="O32" s="105" t="str">
        <f>IF(AND('Mapa final'!$AB$84="Muy Alta",'Mapa final'!$AD$84="Menor"),CONCATENATE("R27C",'Mapa final'!$R$84),"")</f>
        <v/>
      </c>
      <c r="P32" s="104" t="str">
        <f ca="1">IF(AND('Mapa final'!$AB$82="Muy Alta",'Mapa final'!$AD$82="Moderado"),CONCATENATE("R27C",'Mapa final'!$R$82),"")</f>
        <v/>
      </c>
      <c r="Q32" s="42" t="str">
        <f>IF(AND('Mapa final'!$AB$83="Muy Alta",'Mapa final'!$AD$83="Moderado"),CONCATENATE("R27C",'Mapa final'!$R$83),"")</f>
        <v/>
      </c>
      <c r="R32" s="105" t="str">
        <f>IF(AND('Mapa final'!$AB$84="Muy Alta",'Mapa final'!$AD$84="Moderado"),CONCATENATE("R27C",'Mapa final'!$R$84),"")</f>
        <v/>
      </c>
      <c r="S32" s="104" t="str">
        <f ca="1">IF(AND('Mapa final'!$AB$82="Muy Alta",'Mapa final'!$AD$82="Mayor"),CONCATENATE("R27C",'Mapa final'!$R$82),"")</f>
        <v/>
      </c>
      <c r="T32" s="42" t="str">
        <f>IF(AND('Mapa final'!$AB$83="Muy Alta",'Mapa final'!$AD$83="Mayor"),CONCATENATE("R27C",'Mapa final'!$R$83),"")</f>
        <v/>
      </c>
      <c r="U32" s="105" t="str">
        <f>IF(AND('Mapa final'!$AB$84="Muy Alta",'Mapa final'!$AD$84="Mayor"),CONCATENATE("R27C",'Mapa final'!$R$84),"")</f>
        <v/>
      </c>
      <c r="V32" s="43" t="str">
        <f ca="1">IF(AND('Mapa final'!$AB$82="Muy Alta",'Mapa final'!$AD$82="Catastrófico"),CONCATENATE("R27C",'Mapa final'!$R$82),"")</f>
        <v/>
      </c>
      <c r="W32" s="44" t="str">
        <f>IF(AND('Mapa final'!$AB$83="Muy Alta",'Mapa final'!$AD$83="Catastrófico"),CONCATENATE("R27C",'Mapa final'!$R$83),"")</f>
        <v/>
      </c>
      <c r="X32" s="99" t="str">
        <f>IF(AND('Mapa final'!$AB$84="Muy Alta",'Mapa final'!$AD$84="Catastrófico"),CONCATENATE("R27C",'Mapa final'!$R$84),"")</f>
        <v/>
      </c>
      <c r="Y32" s="56"/>
      <c r="Z32" s="280"/>
      <c r="AA32" s="281"/>
      <c r="AB32" s="281"/>
      <c r="AC32" s="281"/>
      <c r="AD32" s="281"/>
      <c r="AE32" s="282"/>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row>
    <row r="33" spans="1:61" ht="15" customHeight="1" x14ac:dyDescent="0.25">
      <c r="A33" s="56"/>
      <c r="B33" s="286"/>
      <c r="C33" s="286"/>
      <c r="D33" s="287"/>
      <c r="E33" s="276"/>
      <c r="F33" s="275"/>
      <c r="G33" s="275"/>
      <c r="H33" s="275"/>
      <c r="I33" s="275"/>
      <c r="J33" s="104" t="str">
        <f ca="1">IF(AND('Mapa final'!$AB$85="Muy Alta",'Mapa final'!$AD$85="Leve"),CONCATENATE("R28C",'Mapa final'!$R$85),"")</f>
        <v/>
      </c>
      <c r="K33" s="42" t="str">
        <f>IF(AND('Mapa final'!$AB$86="Muy Alta",'Mapa final'!$AD$86="Leve"),CONCATENATE("R28C",'Mapa final'!$R$86),"")</f>
        <v/>
      </c>
      <c r="L33" s="105" t="str">
        <f>IF(AND('Mapa final'!$AB$87="Muy Alta",'Mapa final'!$AD$87="Leve"),CONCATENATE("R28C",'Mapa final'!$R$87),"")</f>
        <v/>
      </c>
      <c r="M33" s="104" t="str">
        <f ca="1">IF(AND('Mapa final'!$AB$85="Muy Alta",'Mapa final'!$AD$85="Menor"),CONCATENATE("R28C",'Mapa final'!$R$85),"")</f>
        <v/>
      </c>
      <c r="N33" s="42" t="str">
        <f>IF(AND('Mapa final'!$AB$86="Muy Alta",'Mapa final'!$AD$86="Menor"),CONCATENATE("R28C",'Mapa final'!$R$86),"")</f>
        <v/>
      </c>
      <c r="O33" s="105" t="str">
        <f>IF(AND('Mapa final'!$AB$87="Muy Alta",'Mapa final'!$AD$87="Menor"),CONCATENATE("R28C",'Mapa final'!$R$87),"")</f>
        <v/>
      </c>
      <c r="P33" s="104" t="str">
        <f ca="1">IF(AND('Mapa final'!$AB$85="Muy Alta",'Mapa final'!$AD$85="Moderado"),CONCATENATE("R28C",'Mapa final'!$R$85),"")</f>
        <v/>
      </c>
      <c r="Q33" s="42" t="str">
        <f>IF(AND('Mapa final'!$AB$86="Muy Alta",'Mapa final'!$AD$86="Moderado"),CONCATENATE("R28C",'Mapa final'!$R$86),"")</f>
        <v/>
      </c>
      <c r="R33" s="105" t="str">
        <f>IF(AND('Mapa final'!$AB$87="Muy Alta",'Mapa final'!$AD$87="Moderado"),CONCATENATE("R28C",'Mapa final'!$R$87),"")</f>
        <v/>
      </c>
      <c r="S33" s="104" t="str">
        <f ca="1">IF(AND('Mapa final'!$AB$85="Muy Alta",'Mapa final'!$AD$85="Mayor"),CONCATENATE("R28C",'Mapa final'!$R$85),"")</f>
        <v/>
      </c>
      <c r="T33" s="42" t="str">
        <f>IF(AND('Mapa final'!$AB$86="Muy Alta",'Mapa final'!$AD$86="Mayor"),CONCATENATE("R28C",'Mapa final'!$R$86),"")</f>
        <v/>
      </c>
      <c r="U33" s="105" t="str">
        <f>IF(AND('Mapa final'!$AB$87="Muy Alta",'Mapa final'!$AD$87="Mayor"),CONCATENATE("R28C",'Mapa final'!$R$87),"")</f>
        <v/>
      </c>
      <c r="V33" s="43" t="str">
        <f ca="1">IF(AND('Mapa final'!$AB$85="Muy Alta",'Mapa final'!$AD$85="Catastrófico"),CONCATENATE("R28C",'Mapa final'!$R$85),"")</f>
        <v/>
      </c>
      <c r="W33" s="44" t="str">
        <f>IF(AND('Mapa final'!$AB$86="Muy Alta",'Mapa final'!$AD$86="Catastrófico"),CONCATENATE("R28C",'Mapa final'!$R$86),"")</f>
        <v/>
      </c>
      <c r="X33" s="99" t="str">
        <f>IF(AND('Mapa final'!$AB$87="Muy Alta",'Mapa final'!$AD$87="Catastrófico"),CONCATENATE("R28C",'Mapa final'!$R$87),"")</f>
        <v/>
      </c>
      <c r="Y33" s="56"/>
      <c r="Z33" s="280"/>
      <c r="AA33" s="281"/>
      <c r="AB33" s="281"/>
      <c r="AC33" s="281"/>
      <c r="AD33" s="281"/>
      <c r="AE33" s="282"/>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row>
    <row r="34" spans="1:61" ht="15" customHeight="1" x14ac:dyDescent="0.25">
      <c r="A34" s="56"/>
      <c r="B34" s="286"/>
      <c r="C34" s="286"/>
      <c r="D34" s="287"/>
      <c r="E34" s="276"/>
      <c r="F34" s="275"/>
      <c r="G34" s="275"/>
      <c r="H34" s="275"/>
      <c r="I34" s="275"/>
      <c r="J34" s="104" t="str">
        <f ca="1">IF(AND('Mapa final'!$AB$88="Muy Alta",'Mapa final'!$AD$88="Leve"),CONCATENATE("R29C",'Mapa final'!$R$88),"")</f>
        <v/>
      </c>
      <c r="K34" s="42" t="str">
        <f>IF(AND('Mapa final'!$AB$89="Muy Alta",'Mapa final'!$AD$89="Leve"),CONCATENATE("R29C",'Mapa final'!$R$89),"")</f>
        <v/>
      </c>
      <c r="L34" s="105" t="str">
        <f>IF(AND('Mapa final'!$AB$90="Muy Alta",'Mapa final'!$AD$90="Leve"),CONCATENATE("R29C",'Mapa final'!$R$90),"")</f>
        <v/>
      </c>
      <c r="M34" s="104" t="str">
        <f ca="1">IF(AND('Mapa final'!$AB$88="Muy Alta",'Mapa final'!$AD$88="Menor"),CONCATENATE("R29C",'Mapa final'!$R$88),"")</f>
        <v/>
      </c>
      <c r="N34" s="42" t="str">
        <f>IF(AND('Mapa final'!$AB$89="Muy Alta",'Mapa final'!$AD$89="Menor"),CONCATENATE("R29C",'Mapa final'!$R$89),"")</f>
        <v/>
      </c>
      <c r="O34" s="105" t="str">
        <f>IF(AND('Mapa final'!$AB$90="Muy Alta",'Mapa final'!$AD$90="Menor"),CONCATENATE("R29C",'Mapa final'!$R$90),"")</f>
        <v/>
      </c>
      <c r="P34" s="104" t="str">
        <f ca="1">IF(AND('Mapa final'!$AB$88="Muy Alta",'Mapa final'!$AD$88="Moderado"),CONCATENATE("R29C",'Mapa final'!$R$88),"")</f>
        <v/>
      </c>
      <c r="Q34" s="42" t="str">
        <f>IF(AND('Mapa final'!$AB$89="Muy Alta",'Mapa final'!$AD$89="Moderado"),CONCATENATE("R29C",'Mapa final'!$R$89),"")</f>
        <v/>
      </c>
      <c r="R34" s="105" t="str">
        <f>IF(AND('Mapa final'!$AB$90="Muy Alta",'Mapa final'!$AD$90="Moderado"),CONCATENATE("R29C",'Mapa final'!$R$90),"")</f>
        <v/>
      </c>
      <c r="S34" s="104" t="str">
        <f ca="1">IF(AND('Mapa final'!$AB$88="Muy Alta",'Mapa final'!$AD$88="Mayor"),CONCATENATE("R29C",'Mapa final'!$R$88),"")</f>
        <v/>
      </c>
      <c r="T34" s="42" t="str">
        <f>IF(AND('Mapa final'!$AB$89="Muy Alta",'Mapa final'!$AD$89="Mayor"),CONCATENATE("R29C",'Mapa final'!$R$89),"")</f>
        <v/>
      </c>
      <c r="U34" s="105" t="str">
        <f>IF(AND('Mapa final'!$AB$90="Muy Alta",'Mapa final'!$AD$90="Mayor"),CONCATENATE("R29C",'Mapa final'!$R$90),"")</f>
        <v/>
      </c>
      <c r="V34" s="43" t="str">
        <f ca="1">IF(AND('Mapa final'!$AB$88="Muy Alta",'Mapa final'!$AD$88="Catastrófico"),CONCATENATE("R29C",'Mapa final'!$R$88),"")</f>
        <v/>
      </c>
      <c r="W34" s="44" t="str">
        <f>IF(AND('Mapa final'!$AB$89="Muy Alta",'Mapa final'!$AD$89="Catastrófico"),CONCATENATE("R29C",'Mapa final'!$R$89),"")</f>
        <v/>
      </c>
      <c r="X34" s="99" t="str">
        <f>IF(AND('Mapa final'!$AB$90="Muy Alta",'Mapa final'!$AD$90="Catastrófico"),CONCATENATE("R29C",'Mapa final'!$R$90),"")</f>
        <v/>
      </c>
      <c r="Y34" s="56"/>
      <c r="Z34" s="280"/>
      <c r="AA34" s="281"/>
      <c r="AB34" s="281"/>
      <c r="AC34" s="281"/>
      <c r="AD34" s="281"/>
      <c r="AE34" s="282"/>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row>
    <row r="35" spans="1:61" ht="15" customHeight="1" x14ac:dyDescent="0.25">
      <c r="A35" s="56"/>
      <c r="B35" s="286"/>
      <c r="C35" s="286"/>
      <c r="D35" s="287"/>
      <c r="E35" s="276"/>
      <c r="F35" s="275"/>
      <c r="G35" s="275"/>
      <c r="H35" s="275"/>
      <c r="I35" s="275"/>
      <c r="J35" s="104" t="str">
        <f ca="1">IF(AND('Mapa final'!$AB$91="Muy Alta",'Mapa final'!$AD$91="Leve"),CONCATENATE("R30C",'Mapa final'!$R$91),"")</f>
        <v/>
      </c>
      <c r="K35" s="42" t="str">
        <f>IF(AND('Mapa final'!$AB$92="Muy Alta",'Mapa final'!$AD$92="Leve"),CONCATENATE("R30C",'Mapa final'!$R$92),"")</f>
        <v/>
      </c>
      <c r="L35" s="105" t="str">
        <f>IF(AND('Mapa final'!$AB$93="Muy Alta",'Mapa final'!$AD$93="Leve"),CONCATENATE("R30C",'Mapa final'!$R$93),"")</f>
        <v/>
      </c>
      <c r="M35" s="104" t="str">
        <f ca="1">IF(AND('Mapa final'!$AB$91="Muy Alta",'Mapa final'!$AD$91="Menor"),CONCATENATE("R30C",'Mapa final'!$R$91),"")</f>
        <v/>
      </c>
      <c r="N35" s="42" t="str">
        <f>IF(AND('Mapa final'!$AB$92="Muy Alta",'Mapa final'!$AD$92="Menor"),CONCATENATE("R30C",'Mapa final'!$R$92),"")</f>
        <v/>
      </c>
      <c r="O35" s="105" t="str">
        <f>IF(AND('Mapa final'!$AB$93="Muy Alta",'Mapa final'!$AD$93="Menor"),CONCATENATE("R30C",'Mapa final'!$R$93),"")</f>
        <v/>
      </c>
      <c r="P35" s="104" t="str">
        <f ca="1">IF(AND('Mapa final'!$AB$91="Muy Alta",'Mapa final'!$AD$91="Moderado"),CONCATENATE("R30C",'Mapa final'!$R$91),"")</f>
        <v/>
      </c>
      <c r="Q35" s="42" t="str">
        <f>IF(AND('Mapa final'!$AB$92="Muy Alta",'Mapa final'!$AD$92="Moderado"),CONCATENATE("R30C",'Mapa final'!$R$92),"")</f>
        <v/>
      </c>
      <c r="R35" s="105" t="str">
        <f>IF(AND('Mapa final'!$AB$93="Muy Alta",'Mapa final'!$AD$93="Moderado"),CONCATENATE("R30C",'Mapa final'!$R$93),"")</f>
        <v/>
      </c>
      <c r="S35" s="104" t="str">
        <f ca="1">IF(AND('Mapa final'!$AB$91="Muy Alta",'Mapa final'!$AD$91="Mayor"),CONCATENATE("R30C",'Mapa final'!$R$91),"")</f>
        <v/>
      </c>
      <c r="T35" s="42" t="str">
        <f>IF(AND('Mapa final'!$AB$92="Muy Alta",'Mapa final'!$AD$92="Mayor"),CONCATENATE("R30C",'Mapa final'!$R$92),"")</f>
        <v/>
      </c>
      <c r="U35" s="105" t="str">
        <f>IF(AND('Mapa final'!$AB$93="Muy Alta",'Mapa final'!$AD$93="Mayor"),CONCATENATE("R30C",'Mapa final'!$R$93),"")</f>
        <v/>
      </c>
      <c r="V35" s="43" t="str">
        <f ca="1">IF(AND('Mapa final'!$AB$91="Muy Alta",'Mapa final'!$AD$91="Catastrófico"),CONCATENATE("R30C",'Mapa final'!$R$91),"")</f>
        <v/>
      </c>
      <c r="W35" s="44" t="str">
        <f>IF(AND('Mapa final'!$AB$92="Muy Alta",'Mapa final'!$AD$92="Catastrófico"),CONCATENATE("R30C",'Mapa final'!$R$92),"")</f>
        <v/>
      </c>
      <c r="X35" s="99" t="str">
        <f>IF(AND('Mapa final'!$AB$93="Muy Alta",'Mapa final'!$AD$93="Catastrófico"),CONCATENATE("R30C",'Mapa final'!$R$93),"")</f>
        <v/>
      </c>
      <c r="Y35" s="56"/>
      <c r="Z35" s="280"/>
      <c r="AA35" s="281"/>
      <c r="AB35" s="281"/>
      <c r="AC35" s="281"/>
      <c r="AD35" s="281"/>
      <c r="AE35" s="282"/>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row>
    <row r="36" spans="1:61" ht="15" customHeight="1" x14ac:dyDescent="0.25">
      <c r="A36" s="56"/>
      <c r="B36" s="286"/>
      <c r="C36" s="286"/>
      <c r="D36" s="287"/>
      <c r="E36" s="276"/>
      <c r="F36" s="275"/>
      <c r="G36" s="275"/>
      <c r="H36" s="275"/>
      <c r="I36" s="275"/>
      <c r="J36" s="104" t="str">
        <f ca="1">IF(AND('Mapa final'!$AB$94="Muy Alta",'Mapa final'!$AD$94="Leve"),CONCATENATE("R31C",'Mapa final'!$R$94),"")</f>
        <v/>
      </c>
      <c r="K36" s="42" t="str">
        <f>IF(AND('Mapa final'!$AB$95="Muy Alta",'Mapa final'!$AD$95="Leve"),CONCATENATE("R31C",'Mapa final'!$R$95),"")</f>
        <v/>
      </c>
      <c r="L36" s="105" t="str">
        <f>IF(AND('Mapa final'!$AB$96="Muy Alta",'Mapa final'!$AD$96="Leve"),CONCATENATE("R31C",'Mapa final'!$R$96),"")</f>
        <v/>
      </c>
      <c r="M36" s="104" t="str">
        <f ca="1">IF(AND('Mapa final'!$AB$94="Muy Alta",'Mapa final'!$AD$94="Menor"),CONCATENATE("R31C",'Mapa final'!$R$94),"")</f>
        <v/>
      </c>
      <c r="N36" s="42" t="str">
        <f>IF(AND('Mapa final'!$AB$95="Muy Alta",'Mapa final'!$AD$95="Menor"),CONCATENATE("R31C",'Mapa final'!$R$95),"")</f>
        <v/>
      </c>
      <c r="O36" s="105" t="str">
        <f>IF(AND('Mapa final'!$AB$96="Muy Alta",'Mapa final'!$AD$96="Menor"),CONCATENATE("R31C",'Mapa final'!$R$96),"")</f>
        <v/>
      </c>
      <c r="P36" s="104" t="str">
        <f ca="1">IF(AND('Mapa final'!$AB$94="Muy Alta",'Mapa final'!$AD$94="Moderado"),CONCATENATE("R31C",'Mapa final'!$R$94),"")</f>
        <v/>
      </c>
      <c r="Q36" s="42" t="str">
        <f>IF(AND('Mapa final'!$AB$95="Muy Alta",'Mapa final'!$AD$95="Moderado"),CONCATENATE("R31C",'Mapa final'!$R$95),"")</f>
        <v/>
      </c>
      <c r="R36" s="105" t="str">
        <f>IF(AND('Mapa final'!$AB$96="Muy Alta",'Mapa final'!$AD$96="Moderado"),CONCATENATE("R31C",'Mapa final'!$R$96),"")</f>
        <v/>
      </c>
      <c r="S36" s="104" t="str">
        <f ca="1">IF(AND('Mapa final'!$AB$94="Muy Alta",'Mapa final'!$AD$94="Mayor"),CONCATENATE("R31C",'Mapa final'!$R$94),"")</f>
        <v/>
      </c>
      <c r="T36" s="42" t="str">
        <f>IF(AND('Mapa final'!$AB$95="Muy Alta",'Mapa final'!$AD$95="Mayor"),CONCATENATE("R31C",'Mapa final'!$R$95),"")</f>
        <v/>
      </c>
      <c r="U36" s="105" t="str">
        <f>IF(AND('Mapa final'!$AB$96="Muy Alta",'Mapa final'!$AD$96="Mayor"),CONCATENATE("R31C",'Mapa final'!$R$96),"")</f>
        <v/>
      </c>
      <c r="V36" s="43" t="str">
        <f ca="1">IF(AND('Mapa final'!$AB$94="Muy Alta",'Mapa final'!$AD$94="Catastrófico"),CONCATENATE("R31C",'Mapa final'!$R$94),"")</f>
        <v/>
      </c>
      <c r="W36" s="44" t="str">
        <f>IF(AND('Mapa final'!$AB$95="Muy Alta",'Mapa final'!$AD$95="Catastrófico"),CONCATENATE("R31C",'Mapa final'!$R$95),"")</f>
        <v/>
      </c>
      <c r="X36" s="99" t="str">
        <f>IF(AND('Mapa final'!$AB$96="Muy Alta",'Mapa final'!$AD$96="Catastrófico"),CONCATENATE("R31C",'Mapa final'!$R$96),"")</f>
        <v/>
      </c>
      <c r="Y36" s="56"/>
      <c r="Z36" s="280"/>
      <c r="AA36" s="281"/>
      <c r="AB36" s="281"/>
      <c r="AC36" s="281"/>
      <c r="AD36" s="281"/>
      <c r="AE36" s="282"/>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row>
    <row r="37" spans="1:61" ht="15" customHeight="1" x14ac:dyDescent="0.25">
      <c r="A37" s="56"/>
      <c r="B37" s="286"/>
      <c r="C37" s="286"/>
      <c r="D37" s="287"/>
      <c r="E37" s="276"/>
      <c r="F37" s="275"/>
      <c r="G37" s="275"/>
      <c r="H37" s="275"/>
      <c r="I37" s="275"/>
      <c r="J37" s="104" t="e">
        <f>IF(AND('Mapa final'!#REF!="Muy Alta",'Mapa final'!#REF!="Leve"),CONCATENATE("R32C",'Mapa final'!#REF!),"")</f>
        <v>#REF!</v>
      </c>
      <c r="K37" s="42" t="e">
        <f>IF(AND('Mapa final'!#REF!="Muy Alta",'Mapa final'!#REF!="Leve"),CONCATENATE("R32C",'Mapa final'!#REF!),"")</f>
        <v>#REF!</v>
      </c>
      <c r="L37" s="42" t="e">
        <f>IF(AND('Mapa final'!#REF!="Muy Alta",'Mapa final'!#REF!="Leve"),CONCATENATE("R32C",'Mapa final'!#REF!),"")</f>
        <v>#REF!</v>
      </c>
      <c r="M37" s="104" t="e">
        <f>IF(AND('Mapa final'!#REF!="Muy Alta",'Mapa final'!#REF!="Menor"),CONCATENATE("R32C",'Mapa final'!#REF!),"")</f>
        <v>#REF!</v>
      </c>
      <c r="N37" s="42" t="e">
        <f>IF(AND('Mapa final'!#REF!="Muy Alta",'Mapa final'!#REF!="Menor"),CONCATENATE("R32C",'Mapa final'!#REF!),"")</f>
        <v>#REF!</v>
      </c>
      <c r="O37" s="42" t="e">
        <f>IF(AND('Mapa final'!#REF!="Muy Alta",'Mapa final'!#REF!="Menor"),CONCATENATE("R32C",'Mapa final'!#REF!),"")</f>
        <v>#REF!</v>
      </c>
      <c r="P37" s="104" t="e">
        <f>IF(AND('Mapa final'!#REF!="Muy Alta",'Mapa final'!#REF!="Moderado"),CONCATENATE("R32C",'Mapa final'!#REF!),"")</f>
        <v>#REF!</v>
      </c>
      <c r="Q37" s="42" t="e">
        <f>IF(AND('Mapa final'!#REF!="Muy Alta",'Mapa final'!#REF!="Moderado"),CONCATENATE("R32C",'Mapa final'!#REF!),"")</f>
        <v>#REF!</v>
      </c>
      <c r="R37" s="42" t="e">
        <f>IF(AND('Mapa final'!#REF!="Muy Alta",'Mapa final'!#REF!="Moderado"),CONCATENATE("R32C",'Mapa final'!#REF!),"")</f>
        <v>#REF!</v>
      </c>
      <c r="S37" s="104" t="e">
        <f>IF(AND('Mapa final'!#REF!="Muy Alta",'Mapa final'!#REF!="Mayor"),CONCATENATE("R32C",'Mapa final'!#REF!),"")</f>
        <v>#REF!</v>
      </c>
      <c r="T37" s="42" t="e">
        <f>IF(AND('Mapa final'!#REF!="Muy Alta",'Mapa final'!#REF!="Mayor"),CONCATENATE("R32C",'Mapa final'!#REF!),"")</f>
        <v>#REF!</v>
      </c>
      <c r="U37" s="105" t="e">
        <f>IF(AND('Mapa final'!#REF!="Muy Alta",'Mapa final'!#REF!="Mayor"),CONCATENATE("R32C",'Mapa final'!#REF!),"")</f>
        <v>#REF!</v>
      </c>
      <c r="V37" s="43" t="e">
        <f>IF(AND('Mapa final'!#REF!="Muy Alta",'Mapa final'!#REF!="Catastrófico"),CONCATENATE("R32C",'Mapa final'!#REF!),"")</f>
        <v>#REF!</v>
      </c>
      <c r="W37" s="44" t="e">
        <f>IF(AND('Mapa final'!#REF!="Muy Alta",'Mapa final'!#REF!="Catastrófico"),CONCATENATE("R32C",'Mapa final'!#REF!),"")</f>
        <v>#REF!</v>
      </c>
      <c r="X37" s="99" t="e">
        <f>IF(AND('Mapa final'!#REF!="Muy Alta",'Mapa final'!#REF!="Catastrófico"),CONCATENATE("R32C",'Mapa final'!#REF!),"")</f>
        <v>#REF!</v>
      </c>
      <c r="Y37" s="56"/>
      <c r="Z37" s="280"/>
      <c r="AA37" s="281"/>
      <c r="AB37" s="281"/>
      <c r="AC37" s="281"/>
      <c r="AD37" s="281"/>
      <c r="AE37" s="282"/>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row>
    <row r="38" spans="1:61" ht="15" customHeight="1" x14ac:dyDescent="0.25">
      <c r="A38" s="56"/>
      <c r="B38" s="286"/>
      <c r="C38" s="286"/>
      <c r="D38" s="287"/>
      <c r="E38" s="276"/>
      <c r="F38" s="275"/>
      <c r="G38" s="275"/>
      <c r="H38" s="275"/>
      <c r="I38" s="275"/>
      <c r="J38" s="104" t="str">
        <f>IF(AND('Mapa final'!$AB$97="Muy Alta",'Mapa final'!$AD$97="Leve"),CONCATENATE("R33C",'Mapa final'!$R$97),"")</f>
        <v/>
      </c>
      <c r="K38" s="42" t="str">
        <f>IF(AND('Mapa final'!$AB$98="Muy Alta",'Mapa final'!$AD$98="Leve"),CONCATENATE("R33C",'Mapa final'!$R$98),"")</f>
        <v/>
      </c>
      <c r="L38" s="42" t="str">
        <f>IF(AND('Mapa final'!$AB$99="Muy Alta",'Mapa final'!$AD$99="Leve"),CONCATENATE("R33C",'Mapa final'!$R$99),"")</f>
        <v/>
      </c>
      <c r="M38" s="104" t="str">
        <f>IF(AND('Mapa final'!$AB$97="Muy Alta",'Mapa final'!$AD$97="Menor"),CONCATENATE("R33C",'Mapa final'!$R$97),"")</f>
        <v/>
      </c>
      <c r="N38" s="42" t="str">
        <f>IF(AND('Mapa final'!$AB$98="Muy Alta",'Mapa final'!$AD$98="Menor"),CONCATENATE("R33C",'Mapa final'!$R$98),"")</f>
        <v/>
      </c>
      <c r="O38" s="42" t="str">
        <f>IF(AND('Mapa final'!$AB$99="Muy Alta",'Mapa final'!$AD$99="Menor"),CONCATENATE("R33C",'Mapa final'!$R$99),"")</f>
        <v/>
      </c>
      <c r="P38" s="104" t="str">
        <f>IF(AND('Mapa final'!$AB$97="Muy Alta",'Mapa final'!$AD$97="Moderado"),CONCATENATE("R33C",'Mapa final'!$R$97),"")</f>
        <v/>
      </c>
      <c r="Q38" s="42" t="str">
        <f>IF(AND('Mapa final'!$AB$98="Muy Alta",'Mapa final'!$AD$98="Moderado"),CONCATENATE("R33C",'Mapa final'!$R$98),"")</f>
        <v/>
      </c>
      <c r="R38" s="42" t="str">
        <f>IF(AND('Mapa final'!$AB$99="Muy Alta",'Mapa final'!$AD$99="Moderado"),CONCATENATE("R33C",'Mapa final'!$R$99),"")</f>
        <v/>
      </c>
      <c r="S38" s="104" t="str">
        <f>IF(AND('Mapa final'!$AB$97="Muy Alta",'Mapa final'!$AD$97="Mayor"),CONCATENATE("R33C",'Mapa final'!$R$97),"")</f>
        <v/>
      </c>
      <c r="T38" s="42" t="str">
        <f>IF(AND('Mapa final'!$AB$98="Muy Alta",'Mapa final'!$AD$98="Mayor"),CONCATENATE("R33C",'Mapa final'!$R$98),"")</f>
        <v/>
      </c>
      <c r="U38" s="105" t="str">
        <f>IF(AND('Mapa final'!$AB$99="Muy Alta",'Mapa final'!$AD$99="Mayor"),CONCATENATE("R33C",'Mapa final'!$R$99),"")</f>
        <v/>
      </c>
      <c r="V38" s="43" t="str">
        <f>IF(AND('Mapa final'!$AB$97="Muy Alta",'Mapa final'!$AD$97="Catastrófico"),CONCATENATE("R33C",'Mapa final'!$R$97),"")</f>
        <v/>
      </c>
      <c r="W38" s="44" t="str">
        <f>IF(AND('Mapa final'!$AB$98="Muy Alta",'Mapa final'!$AD$98="Catastrófico"),CONCATENATE("R33C",'Mapa final'!$R$98),"")</f>
        <v/>
      </c>
      <c r="X38" s="99" t="str">
        <f>IF(AND('Mapa final'!$AB$99="Muy Alta",'Mapa final'!$AD$99="Catastrófico"),CONCATENATE("R33C",'Mapa final'!$R$99),"")</f>
        <v/>
      </c>
      <c r="Y38" s="56"/>
      <c r="Z38" s="280"/>
      <c r="AA38" s="281"/>
      <c r="AB38" s="281"/>
      <c r="AC38" s="281"/>
      <c r="AD38" s="281"/>
      <c r="AE38" s="282"/>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row>
    <row r="39" spans="1:61" ht="15" customHeight="1" x14ac:dyDescent="0.25">
      <c r="A39" s="56"/>
      <c r="B39" s="286"/>
      <c r="C39" s="286"/>
      <c r="D39" s="287"/>
      <c r="E39" s="276"/>
      <c r="F39" s="275"/>
      <c r="G39" s="275"/>
      <c r="H39" s="275"/>
      <c r="I39" s="275"/>
      <c r="J39" s="104" t="str">
        <f ca="1">IF(AND('Mapa final'!$AB$100="Muy Alta",'Mapa final'!$AD$100="Leve"),CONCATENATE("R34C",'Mapa final'!$R$100),"")</f>
        <v/>
      </c>
      <c r="K39" s="42" t="str">
        <f>IF(AND('Mapa final'!$AB$101="Muy Alta",'Mapa final'!$AD$101="Leve"),CONCATENATE("R34C",'Mapa final'!$R$101),"")</f>
        <v/>
      </c>
      <c r="L39" s="105" t="str">
        <f>IF(AND('Mapa final'!$AB$102="Muy Alta",'Mapa final'!$AD$102="Leve"),CONCATENATE("R34C",'Mapa final'!$R$102),"")</f>
        <v/>
      </c>
      <c r="M39" s="104" t="str">
        <f ca="1">IF(AND('Mapa final'!$AB$100="Muy Alta",'Mapa final'!$AD$100="Menor"),CONCATENATE("R34C",'Mapa final'!$R$100),"")</f>
        <v/>
      </c>
      <c r="N39" s="42" t="str">
        <f>IF(AND('Mapa final'!$AB$101="Muy Alta",'Mapa final'!$AD$101="Menor"),CONCATENATE("R34C",'Mapa final'!$R$101),"")</f>
        <v/>
      </c>
      <c r="O39" s="105" t="str">
        <f>IF(AND('Mapa final'!$AB$102="Muy Alta",'Mapa final'!$AD$102="Menor"),CONCATENATE("R34C",'Mapa final'!$R$102),"")</f>
        <v/>
      </c>
      <c r="P39" s="104" t="str">
        <f ca="1">IF(AND('Mapa final'!$AB$100="Muy Alta",'Mapa final'!$AD$100="Moderado"),CONCATENATE("R34C",'Mapa final'!$R$100),"")</f>
        <v/>
      </c>
      <c r="Q39" s="42" t="str">
        <f>IF(AND('Mapa final'!$AB$101="Muy Alta",'Mapa final'!$AD$101="Moderado"),CONCATENATE("R34C",'Mapa final'!$R$101),"")</f>
        <v/>
      </c>
      <c r="R39" s="105" t="str">
        <f>IF(AND('Mapa final'!$AB$102="Muy Alta",'Mapa final'!$AD$102="Moderado"),CONCATENATE("R34C",'Mapa final'!$R$102),"")</f>
        <v/>
      </c>
      <c r="S39" s="104" t="str">
        <f ca="1">IF(AND('Mapa final'!$AB$100="Muy Alta",'Mapa final'!$AD$100="Mayor"),CONCATENATE("R34C",'Mapa final'!$R$100),"")</f>
        <v/>
      </c>
      <c r="T39" s="42" t="str">
        <f>IF(AND('Mapa final'!$AB$101="Muy Alta",'Mapa final'!$AD$101="Mayor"),CONCATENATE("R34C",'Mapa final'!$R$101),"")</f>
        <v/>
      </c>
      <c r="U39" s="105" t="str">
        <f>IF(AND('Mapa final'!$AB$102="Muy Alta",'Mapa final'!$AD$102="Mayor"),CONCATENATE("R34C",'Mapa final'!$R$102),"")</f>
        <v/>
      </c>
      <c r="V39" s="43" t="str">
        <f ca="1">IF(AND('Mapa final'!$AB$100="Muy Alta",'Mapa final'!$AD$100="Catastrófico"),CONCATENATE("R34C",'Mapa final'!$R$100),"")</f>
        <v/>
      </c>
      <c r="W39" s="44" t="str">
        <f>IF(AND('Mapa final'!$AB$101="Muy Alta",'Mapa final'!$AD$101="Catastrófico"),CONCATENATE("R34C",'Mapa final'!$R$101),"")</f>
        <v/>
      </c>
      <c r="X39" s="99" t="str">
        <f>IF(AND('Mapa final'!$AB$102="Muy Alta",'Mapa final'!$AD$102="Catastrófico"),CONCATENATE("R34C",'Mapa final'!$R$102),"")</f>
        <v/>
      </c>
      <c r="Y39" s="56"/>
      <c r="Z39" s="280"/>
      <c r="AA39" s="281"/>
      <c r="AB39" s="281"/>
      <c r="AC39" s="281"/>
      <c r="AD39" s="281"/>
      <c r="AE39" s="282"/>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row>
    <row r="40" spans="1:61" ht="15" customHeight="1" x14ac:dyDescent="0.25">
      <c r="A40" s="56"/>
      <c r="B40" s="286"/>
      <c r="C40" s="286"/>
      <c r="D40" s="287"/>
      <c r="E40" s="276"/>
      <c r="F40" s="275"/>
      <c r="G40" s="275"/>
      <c r="H40" s="275"/>
      <c r="I40" s="275"/>
      <c r="J40" s="104" t="str">
        <f ca="1">IF(AND('Mapa final'!$AB$103="Muy Alta",'Mapa final'!$AD$103="Leve"),CONCATENATE("R35C",'Mapa final'!$R$103),"")</f>
        <v/>
      </c>
      <c r="K40" s="42" t="str">
        <f>IF(AND('Mapa final'!$AB$104="Muy Alta",'Mapa final'!$AD$104="Leve"),CONCATENATE("R35C",'Mapa final'!$R$104),"")</f>
        <v/>
      </c>
      <c r="L40" s="105" t="str">
        <f>IF(AND('Mapa final'!$AB$105="Muy Alta",'Mapa final'!$AD$105="Leve"),CONCATENATE("R35C",'Mapa final'!$R$105),"")</f>
        <v/>
      </c>
      <c r="M40" s="104" t="str">
        <f ca="1">IF(AND('Mapa final'!$AB$103="Muy Alta",'Mapa final'!$AD$103="Menor"),CONCATENATE("R35C",'Mapa final'!$R$103),"")</f>
        <v/>
      </c>
      <c r="N40" s="42" t="str">
        <f>IF(AND('Mapa final'!$AB$104="Muy Alta",'Mapa final'!$AD$104="Menor"),CONCATENATE("R35C",'Mapa final'!$R$104),"")</f>
        <v/>
      </c>
      <c r="O40" s="105" t="str">
        <f>IF(AND('Mapa final'!$AB$105="Muy Alta",'Mapa final'!$AD$105="Menor"),CONCATENATE("R35C",'Mapa final'!$R$105),"")</f>
        <v/>
      </c>
      <c r="P40" s="104" t="str">
        <f ca="1">IF(AND('Mapa final'!$AB$103="Muy Alta",'Mapa final'!$AD$103="Moderado"),CONCATENATE("R35C",'Mapa final'!$R$103),"")</f>
        <v/>
      </c>
      <c r="Q40" s="42" t="str">
        <f>IF(AND('Mapa final'!$AB$104="Muy Alta",'Mapa final'!$AD$104="Moderado"),CONCATENATE("R35C",'Mapa final'!$R$104),"")</f>
        <v/>
      </c>
      <c r="R40" s="105" t="str">
        <f>IF(AND('Mapa final'!$AB$105="Muy Alta",'Mapa final'!$AD$105="Moderado"),CONCATENATE("R35C",'Mapa final'!$R$105),"")</f>
        <v/>
      </c>
      <c r="S40" s="104" t="str">
        <f ca="1">IF(AND('Mapa final'!$AB$103="Muy Alta",'Mapa final'!$AD$103="Mayor"),CONCATENATE("R35C",'Mapa final'!$R$103),"")</f>
        <v/>
      </c>
      <c r="T40" s="42" t="str">
        <f>IF(AND('Mapa final'!$AB$104="Muy Alta",'Mapa final'!$AD$104="Mayor"),CONCATENATE("R35C",'Mapa final'!$R$104),"")</f>
        <v/>
      </c>
      <c r="U40" s="105" t="str">
        <f>IF(AND('Mapa final'!$AB$105="Muy Alta",'Mapa final'!$AD$105="Mayor"),CONCATENATE("R35C",'Mapa final'!$R$105),"")</f>
        <v/>
      </c>
      <c r="V40" s="43" t="str">
        <f ca="1">IF(AND('Mapa final'!$AB$103="Muy Alta",'Mapa final'!$AD$103="Catastrófico"),CONCATENATE("R35C",'Mapa final'!$R$103),"")</f>
        <v/>
      </c>
      <c r="W40" s="44" t="str">
        <f>IF(AND('Mapa final'!$AB$104="Muy Alta",'Mapa final'!$AD$104="Catastrófico"),CONCATENATE("R35C",'Mapa final'!$R$104),"")</f>
        <v/>
      </c>
      <c r="X40" s="99" t="str">
        <f>IF(AND('Mapa final'!$AB$105="Muy Alta",'Mapa final'!$AD$105="Catastrófico"),CONCATENATE("R35C",'Mapa final'!$R$105),"")</f>
        <v/>
      </c>
      <c r="Y40" s="56"/>
      <c r="Z40" s="280"/>
      <c r="AA40" s="281"/>
      <c r="AB40" s="281"/>
      <c r="AC40" s="281"/>
      <c r="AD40" s="281"/>
      <c r="AE40" s="282"/>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row>
    <row r="41" spans="1:61" ht="15" customHeight="1" x14ac:dyDescent="0.25">
      <c r="A41" s="56"/>
      <c r="B41" s="286"/>
      <c r="C41" s="286"/>
      <c r="D41" s="287"/>
      <c r="E41" s="276"/>
      <c r="F41" s="275"/>
      <c r="G41" s="275"/>
      <c r="H41" s="275"/>
      <c r="I41" s="275"/>
      <c r="J41" s="104" t="str">
        <f ca="1">IF(AND('Mapa final'!$AB$106="Muy Alta",'Mapa final'!$AD$106="Leve"),CONCATENATE("R36C",'Mapa final'!$R$106),"")</f>
        <v/>
      </c>
      <c r="K41" s="42" t="str">
        <f>IF(AND('Mapa final'!$AB$107="Muy Alta",'Mapa final'!$AD$107="Leve"),CONCATENATE("R36C",'Mapa final'!$R$107),"")</f>
        <v/>
      </c>
      <c r="L41" s="105" t="str">
        <f>IF(AND('Mapa final'!$AB$108="Muy Alta",'Mapa final'!$AD$108="Leve"),CONCATENATE("R36C",'Mapa final'!$R$108),"")</f>
        <v/>
      </c>
      <c r="M41" s="104" t="str">
        <f ca="1">IF(AND('Mapa final'!$AB$106="Muy Alta",'Mapa final'!$AD$106="Menor"),CONCATENATE("R36C",'Mapa final'!$R$106),"")</f>
        <v/>
      </c>
      <c r="N41" s="42" t="str">
        <f>IF(AND('Mapa final'!$AB$107="Muy Alta",'Mapa final'!$AD$107="Menor"),CONCATENATE("R36C",'Mapa final'!$R$107),"")</f>
        <v/>
      </c>
      <c r="O41" s="105" t="str">
        <f>IF(AND('Mapa final'!$AB$108="Muy Alta",'Mapa final'!$AD$108="Menor"),CONCATENATE("R36C",'Mapa final'!$R$108),"")</f>
        <v/>
      </c>
      <c r="P41" s="104" t="str">
        <f ca="1">IF(AND('Mapa final'!$AB$106="Muy Alta",'Mapa final'!$AD$106="Moderado"),CONCATENATE("R36C",'Mapa final'!$R$106),"")</f>
        <v/>
      </c>
      <c r="Q41" s="42" t="str">
        <f>IF(AND('Mapa final'!$AB$107="Muy Alta",'Mapa final'!$AD$107="Moderado"),CONCATENATE("R36C",'Mapa final'!$R$107),"")</f>
        <v/>
      </c>
      <c r="R41" s="105" t="str">
        <f>IF(AND('Mapa final'!$AB$108="Muy Alta",'Mapa final'!$AD$108="Moderado"),CONCATENATE("R36C",'Mapa final'!$R$108),"")</f>
        <v/>
      </c>
      <c r="S41" s="104" t="str">
        <f ca="1">IF(AND('Mapa final'!$AB$106="Muy Alta",'Mapa final'!$AD$106="Mayor"),CONCATENATE("R36C",'Mapa final'!$R$106),"")</f>
        <v/>
      </c>
      <c r="T41" s="42" t="str">
        <f>IF(AND('Mapa final'!$AB$107="Muy Alta",'Mapa final'!$AD$107="Mayor"),CONCATENATE("R36C",'Mapa final'!$R$107),"")</f>
        <v/>
      </c>
      <c r="U41" s="105" t="str">
        <f>IF(AND('Mapa final'!$AB$108="Muy Alta",'Mapa final'!$AD$108="Mayor"),CONCATENATE("R36C",'Mapa final'!$R$108),"")</f>
        <v/>
      </c>
      <c r="V41" s="43" t="str">
        <f ca="1">IF(AND('Mapa final'!$AB$106="Muy Alta",'Mapa final'!$AD$106="Catastrófico"),CONCATENATE("R36C",'Mapa final'!$R$106),"")</f>
        <v/>
      </c>
      <c r="W41" s="44" t="str">
        <f>IF(AND('Mapa final'!$AB$107="Muy Alta",'Mapa final'!$AD$107="Catastrófico"),CONCATENATE("R36C",'Mapa final'!$R$107),"")</f>
        <v/>
      </c>
      <c r="X41" s="99" t="str">
        <f>IF(AND('Mapa final'!$AB$108="Muy Alta",'Mapa final'!$AD$108="Catastrófico"),CONCATENATE("R36C",'Mapa final'!$R$108),"")</f>
        <v/>
      </c>
      <c r="Y41" s="56"/>
      <c r="Z41" s="280"/>
      <c r="AA41" s="281"/>
      <c r="AB41" s="281"/>
      <c r="AC41" s="281"/>
      <c r="AD41" s="281"/>
      <c r="AE41" s="282"/>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row>
    <row r="42" spans="1:61" ht="15" customHeight="1" x14ac:dyDescent="0.25">
      <c r="A42" s="56"/>
      <c r="B42" s="286"/>
      <c r="C42" s="286"/>
      <c r="D42" s="287"/>
      <c r="E42" s="276"/>
      <c r="F42" s="275"/>
      <c r="G42" s="275"/>
      <c r="H42" s="275"/>
      <c r="I42" s="275"/>
      <c r="J42" s="104" t="str">
        <f ca="1">IF(AND('Mapa final'!$AB$109="Muy Alta",'Mapa final'!$AD$109="Leve"),CONCATENATE("R37C",'Mapa final'!$R$109),"")</f>
        <v/>
      </c>
      <c r="K42" s="42" t="str">
        <f>IF(AND('Mapa final'!$AB$110="Muy Alta",'Mapa final'!$AD$110="Leve"),CONCATENATE("R37C",'Mapa final'!$R$110),"")</f>
        <v/>
      </c>
      <c r="L42" s="105" t="str">
        <f>IF(AND('Mapa final'!$AB$111="Muy Alta",'Mapa final'!$AD$111="Leve"),CONCATENATE("R37C",'Mapa final'!$R$111),"")</f>
        <v/>
      </c>
      <c r="M42" s="104" t="str">
        <f ca="1">IF(AND('Mapa final'!$AB$109="Muy Alta",'Mapa final'!$AD$109="Menor"),CONCATENATE("R37C",'Mapa final'!$R$109),"")</f>
        <v/>
      </c>
      <c r="N42" s="42" t="str">
        <f>IF(AND('Mapa final'!$AB$110="Muy Alta",'Mapa final'!$AD$110="Menor"),CONCATENATE("R37C",'Mapa final'!$R$110),"")</f>
        <v/>
      </c>
      <c r="O42" s="105" t="str">
        <f>IF(AND('Mapa final'!$AB$111="Muy Alta",'Mapa final'!$AD$111="Menor"),CONCATENATE("R37C",'Mapa final'!$R$111),"")</f>
        <v/>
      </c>
      <c r="P42" s="104" t="str">
        <f ca="1">IF(AND('Mapa final'!$AB$109="Muy Alta",'Mapa final'!$AD$109="Moderado"),CONCATENATE("R37C",'Mapa final'!$R$109),"")</f>
        <v/>
      </c>
      <c r="Q42" s="42" t="str">
        <f>IF(AND('Mapa final'!$AB$110="Muy Alta",'Mapa final'!$AD$110="Moderado"),CONCATENATE("R37C",'Mapa final'!$R$110),"")</f>
        <v/>
      </c>
      <c r="R42" s="105" t="str">
        <f>IF(AND('Mapa final'!$AB$111="Muy Alta",'Mapa final'!$AD$111="Moderado"),CONCATENATE("R37C",'Mapa final'!$R$111),"")</f>
        <v/>
      </c>
      <c r="S42" s="104" t="str">
        <f ca="1">IF(AND('Mapa final'!$AB$109="Muy Alta",'Mapa final'!$AD$109="Mayor"),CONCATENATE("R37C",'Mapa final'!$R$109),"")</f>
        <v/>
      </c>
      <c r="T42" s="42" t="str">
        <f>IF(AND('Mapa final'!$AB$110="Muy Alta",'Mapa final'!$AD$110="Mayor"),CONCATENATE("R37C",'Mapa final'!$R$110),"")</f>
        <v/>
      </c>
      <c r="U42" s="105" t="str">
        <f>IF(AND('Mapa final'!$AB$111="Muy Alta",'Mapa final'!$AD$111="Mayor"),CONCATENATE("R37C",'Mapa final'!$R$111),"")</f>
        <v/>
      </c>
      <c r="V42" s="43" t="str">
        <f ca="1">IF(AND('Mapa final'!$AB$109="Muy Alta",'Mapa final'!$AD$109="Catastrófico"),CONCATENATE("R37C",'Mapa final'!$R$109),"")</f>
        <v/>
      </c>
      <c r="W42" s="44" t="str">
        <f>IF(AND('Mapa final'!$AB$110="Muy Alta",'Mapa final'!$AD$110="Catastrófico"),CONCATENATE("R37C",'Mapa final'!$R$110),"")</f>
        <v/>
      </c>
      <c r="X42" s="99" t="str">
        <f>IF(AND('Mapa final'!$AB$111="Muy Alta",'Mapa final'!$AD$111="Catastrófico"),CONCATENATE("R37C",'Mapa final'!$R$111),"")</f>
        <v/>
      </c>
      <c r="Y42" s="56"/>
      <c r="Z42" s="280"/>
      <c r="AA42" s="281"/>
      <c r="AB42" s="281"/>
      <c r="AC42" s="281"/>
      <c r="AD42" s="281"/>
      <c r="AE42" s="282"/>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row>
    <row r="43" spans="1:61" ht="15" customHeight="1" x14ac:dyDescent="0.25">
      <c r="A43" s="56"/>
      <c r="B43" s="286"/>
      <c r="C43" s="286"/>
      <c r="D43" s="287"/>
      <c r="E43" s="276"/>
      <c r="F43" s="275"/>
      <c r="G43" s="275"/>
      <c r="H43" s="275"/>
      <c r="I43" s="275"/>
      <c r="J43" s="104" t="str">
        <f ca="1">IF(AND('Mapa final'!$AB$112="Muy Alta",'Mapa final'!$AD$112="Leve"),CONCATENATE("R38C",'Mapa final'!$R$112),"")</f>
        <v/>
      </c>
      <c r="K43" s="42" t="str">
        <f>IF(AND('Mapa final'!$AB$113="Muy Alta",'Mapa final'!$AD$113="Leve"),CONCATENATE("R38C",'Mapa final'!$R$113),"")</f>
        <v/>
      </c>
      <c r="L43" s="105" t="str">
        <f>IF(AND('Mapa final'!$AB$114="Muy Alta",'Mapa final'!$AD$114="Leve"),CONCATENATE("R38C",'Mapa final'!$R$114),"")</f>
        <v/>
      </c>
      <c r="M43" s="104" t="str">
        <f ca="1">IF(AND('Mapa final'!$AB$112="Muy Alta",'Mapa final'!$AD$112="Menor"),CONCATENATE("R38C",'Mapa final'!$R$112),"")</f>
        <v/>
      </c>
      <c r="N43" s="42" t="str">
        <f>IF(AND('Mapa final'!$AB$113="Muy Alta",'Mapa final'!$AD$113="Menor"),CONCATENATE("R38C",'Mapa final'!$R$113),"")</f>
        <v/>
      </c>
      <c r="O43" s="105" t="str">
        <f>IF(AND('Mapa final'!$AB$114="Muy Alta",'Mapa final'!$AD$114="Menor"),CONCATENATE("R38C",'Mapa final'!$R$114),"")</f>
        <v/>
      </c>
      <c r="P43" s="104" t="str">
        <f ca="1">IF(AND('Mapa final'!$AB$112="Muy Alta",'Mapa final'!$AD$112="Moderado"),CONCATENATE("R38C",'Mapa final'!$R$112),"")</f>
        <v/>
      </c>
      <c r="Q43" s="42" t="str">
        <f>IF(AND('Mapa final'!$AB$113="Muy Alta",'Mapa final'!$AD$113="Moderado"),CONCATENATE("R38C",'Mapa final'!$R$113),"")</f>
        <v/>
      </c>
      <c r="R43" s="105" t="str">
        <f>IF(AND('Mapa final'!$AB$114="Muy Alta",'Mapa final'!$AD$114="Moderado"),CONCATENATE("R38C",'Mapa final'!$R$114),"")</f>
        <v/>
      </c>
      <c r="S43" s="104" t="str">
        <f ca="1">IF(AND('Mapa final'!$AB$112="Muy Alta",'Mapa final'!$AD$112="Mayor"),CONCATENATE("R38C",'Mapa final'!$R$112),"")</f>
        <v/>
      </c>
      <c r="T43" s="42" t="str">
        <f>IF(AND('Mapa final'!$AB$113="Muy Alta",'Mapa final'!$AD$113="Mayor"),CONCATENATE("R38C",'Mapa final'!$R$113),"")</f>
        <v/>
      </c>
      <c r="U43" s="105" t="str">
        <f>IF(AND('Mapa final'!$AB$114="Muy Alta",'Mapa final'!$AD$114="Mayor"),CONCATENATE("R38C",'Mapa final'!$R$114),"")</f>
        <v/>
      </c>
      <c r="V43" s="43" t="str">
        <f ca="1">IF(AND('Mapa final'!$AB$112="Muy Alta",'Mapa final'!$AD$112="Catastrófico"),CONCATENATE("R38C",'Mapa final'!$R$112),"")</f>
        <v/>
      </c>
      <c r="W43" s="44" t="str">
        <f>IF(AND('Mapa final'!$AB$113="Muy Alta",'Mapa final'!$AD$113="Catastrófico"),CONCATENATE("R38C",'Mapa final'!$R$113),"")</f>
        <v/>
      </c>
      <c r="X43" s="99" t="str">
        <f>IF(AND('Mapa final'!$AB$114="Muy Alta",'Mapa final'!$AD$114="Catastrófico"),CONCATENATE("R38C",'Mapa final'!$R$114),"")</f>
        <v/>
      </c>
      <c r="Y43" s="56"/>
      <c r="Z43" s="280"/>
      <c r="AA43" s="281"/>
      <c r="AB43" s="281"/>
      <c r="AC43" s="281"/>
      <c r="AD43" s="281"/>
      <c r="AE43" s="282"/>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row>
    <row r="44" spans="1:61" ht="15" customHeight="1" x14ac:dyDescent="0.25">
      <c r="A44" s="56"/>
      <c r="B44" s="286"/>
      <c r="C44" s="286"/>
      <c r="D44" s="287"/>
      <c r="E44" s="276"/>
      <c r="F44" s="275"/>
      <c r="G44" s="275"/>
      <c r="H44" s="275"/>
      <c r="I44" s="275"/>
      <c r="J44" s="104" t="str">
        <f ca="1">IF(AND('Mapa final'!$AB$115="Muy Alta",'Mapa final'!$AD$115="Leve"),CONCATENATE("R39C",'Mapa final'!$R$115),"")</f>
        <v/>
      </c>
      <c r="K44" s="42" t="str">
        <f>IF(AND('Mapa final'!$AB$116="Muy Alta",'Mapa final'!$AD$116="Leve"),CONCATENATE("R39C",'Mapa final'!$R$116),"")</f>
        <v/>
      </c>
      <c r="L44" s="105" t="str">
        <f>IF(AND('Mapa final'!$AB$117="Muy Alta",'Mapa final'!$AD$117="Leve"),CONCATENATE("R39C",'Mapa final'!$R$117),"")</f>
        <v/>
      </c>
      <c r="M44" s="104" t="str">
        <f ca="1">IF(AND('Mapa final'!$AB$115="Muy Alta",'Mapa final'!$AD$115="Menor"),CONCATENATE("R39C",'Mapa final'!$R$115),"")</f>
        <v/>
      </c>
      <c r="N44" s="42" t="str">
        <f>IF(AND('Mapa final'!$AB$116="Muy Alta",'Mapa final'!$AD$116="Menor"),CONCATENATE("R39C",'Mapa final'!$R$116),"")</f>
        <v/>
      </c>
      <c r="O44" s="105" t="str">
        <f>IF(AND('Mapa final'!$AB$117="Muy Alta",'Mapa final'!$AD$117="Menor"),CONCATENATE("R39C",'Mapa final'!$R$117),"")</f>
        <v/>
      </c>
      <c r="P44" s="104" t="str">
        <f ca="1">IF(AND('Mapa final'!$AB$115="Muy Alta",'Mapa final'!$AD$115="Moderado"),CONCATENATE("R39C",'Mapa final'!$R$115),"")</f>
        <v/>
      </c>
      <c r="Q44" s="42" t="str">
        <f>IF(AND('Mapa final'!$AB$116="Muy Alta",'Mapa final'!$AD$116="Moderado"),CONCATENATE("R39C",'Mapa final'!$R$116),"")</f>
        <v/>
      </c>
      <c r="R44" s="105" t="str">
        <f>IF(AND('Mapa final'!$AB$117="Muy Alta",'Mapa final'!$AD$117="Moderado"),CONCATENATE("R39C",'Mapa final'!$R$117),"")</f>
        <v/>
      </c>
      <c r="S44" s="104" t="str">
        <f ca="1">IF(AND('Mapa final'!$AB$115="Muy Alta",'Mapa final'!$AD$115="Mayor"),CONCATENATE("R39C",'Mapa final'!$R$115),"")</f>
        <v/>
      </c>
      <c r="T44" s="42" t="str">
        <f>IF(AND('Mapa final'!$AB$116="Muy Alta",'Mapa final'!$AD$116="Mayor"),CONCATENATE("R39C",'Mapa final'!$R$116),"")</f>
        <v/>
      </c>
      <c r="U44" s="105" t="str">
        <f>IF(AND('Mapa final'!$AB$117="Muy Alta",'Mapa final'!$AD$117="Mayor"),CONCATENATE("R39C",'Mapa final'!$R$117),"")</f>
        <v/>
      </c>
      <c r="V44" s="43" t="str">
        <f ca="1">IF(AND('Mapa final'!$AB$115="Muy Alta",'Mapa final'!$AD$115="Catastrófico"),CONCATENATE("R39C",'Mapa final'!$R$115),"")</f>
        <v/>
      </c>
      <c r="W44" s="44" t="str">
        <f>IF(AND('Mapa final'!$AB$116="Muy Alta",'Mapa final'!$AD$116="Catastrófico"),CONCATENATE("R39C",'Mapa final'!$R$116),"")</f>
        <v/>
      </c>
      <c r="X44" s="99" t="str">
        <f>IF(AND('Mapa final'!$AB$117="Muy Alta",'Mapa final'!$AD$117="Catastrófico"),CONCATENATE("R39C",'Mapa final'!$R$117),"")</f>
        <v/>
      </c>
      <c r="Y44" s="56"/>
      <c r="Z44" s="280"/>
      <c r="AA44" s="281"/>
      <c r="AB44" s="281"/>
      <c r="AC44" s="281"/>
      <c r="AD44" s="281"/>
      <c r="AE44" s="282"/>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row>
    <row r="45" spans="1:61" ht="15" customHeight="1" x14ac:dyDescent="0.25">
      <c r="A45" s="56"/>
      <c r="B45" s="286"/>
      <c r="C45" s="286"/>
      <c r="D45" s="287"/>
      <c r="E45" s="276"/>
      <c r="F45" s="275"/>
      <c r="G45" s="275"/>
      <c r="H45" s="275"/>
      <c r="I45" s="275"/>
      <c r="J45" s="104" t="str">
        <f ca="1">IF(AND('Mapa final'!$AB$118="Muy Alta",'Mapa final'!$AD$118="Leve"),CONCATENATE("R40C",'Mapa final'!$R$118),"")</f>
        <v/>
      </c>
      <c r="K45" s="42" t="str">
        <f>IF(AND('Mapa final'!$AB$119="Muy Alta",'Mapa final'!$AD$119="Leve"),CONCATENATE("R40C",'Mapa final'!$R$119),"")</f>
        <v/>
      </c>
      <c r="L45" s="105" t="str">
        <f>IF(AND('Mapa final'!$AB$120="Muy Alta",'Mapa final'!$AD$120="Leve"),CONCATENATE("R40C",'Mapa final'!$R$120),"")</f>
        <v/>
      </c>
      <c r="M45" s="104" t="str">
        <f ca="1">IF(AND('Mapa final'!$AB$118="Muy Alta",'Mapa final'!$AD$118="Menor"),CONCATENATE("R40C",'Mapa final'!$R$118),"")</f>
        <v/>
      </c>
      <c r="N45" s="42" t="str">
        <f>IF(AND('Mapa final'!$AB$119="Muy Alta",'Mapa final'!$AD$119="Menor"),CONCATENATE("R40C",'Mapa final'!$R$119),"")</f>
        <v/>
      </c>
      <c r="O45" s="105" t="str">
        <f>IF(AND('Mapa final'!$AB$120="Muy Alta",'Mapa final'!$AD$120="Menor"),CONCATENATE("R40C",'Mapa final'!$R$120),"")</f>
        <v/>
      </c>
      <c r="P45" s="104" t="str">
        <f ca="1">IF(AND('Mapa final'!$AB$118="Muy Alta",'Mapa final'!$AD$118="Moderado"),CONCATENATE("R40C",'Mapa final'!$R$118),"")</f>
        <v/>
      </c>
      <c r="Q45" s="42" t="str">
        <f>IF(AND('Mapa final'!$AB$119="Muy Alta",'Mapa final'!$AD$119="Moderado"),CONCATENATE("R40C",'Mapa final'!$R$119),"")</f>
        <v/>
      </c>
      <c r="R45" s="105" t="str">
        <f>IF(AND('Mapa final'!$AB$120="Muy Alta",'Mapa final'!$AD$120="Moderado"),CONCATENATE("R40C",'Mapa final'!$R$120),"")</f>
        <v/>
      </c>
      <c r="S45" s="104" t="str">
        <f ca="1">IF(AND('Mapa final'!$AB$118="Muy Alta",'Mapa final'!$AD$118="Mayor"),CONCATENATE("R40C",'Mapa final'!$R$118),"")</f>
        <v/>
      </c>
      <c r="T45" s="42" t="str">
        <f>IF(AND('Mapa final'!$AB$119="Muy Alta",'Mapa final'!$AD$119="Mayor"),CONCATENATE("R40C",'Mapa final'!$R$119),"")</f>
        <v/>
      </c>
      <c r="U45" s="105" t="str">
        <f>IF(AND('Mapa final'!$AB$120="Muy Alta",'Mapa final'!$AD$120="Mayor"),CONCATENATE("R40C",'Mapa final'!$R$120),"")</f>
        <v/>
      </c>
      <c r="V45" s="43" t="str">
        <f ca="1">IF(AND('Mapa final'!$AB$118="Muy Alta",'Mapa final'!$AD$118="Catastrófico"),CONCATENATE("R40C",'Mapa final'!$R$118),"")</f>
        <v/>
      </c>
      <c r="W45" s="44" t="str">
        <f>IF(AND('Mapa final'!$AB$119="Muy Alta",'Mapa final'!$AD$119="Catastrófico"),CONCATENATE("R40C",'Mapa final'!$R$119),"")</f>
        <v/>
      </c>
      <c r="X45" s="99" t="str">
        <f>IF(AND('Mapa final'!$AB$120="Muy Alta",'Mapa final'!$AD$120="Catastrófico"),CONCATENATE("R40C",'Mapa final'!$R$120),"")</f>
        <v/>
      </c>
      <c r="Y45" s="56"/>
      <c r="Z45" s="280"/>
      <c r="AA45" s="281"/>
      <c r="AB45" s="281"/>
      <c r="AC45" s="281"/>
      <c r="AD45" s="281"/>
      <c r="AE45" s="282"/>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row>
    <row r="46" spans="1:61" ht="15" customHeight="1" x14ac:dyDescent="0.25">
      <c r="A46" s="56"/>
      <c r="B46" s="286"/>
      <c r="C46" s="286"/>
      <c r="D46" s="287"/>
      <c r="E46" s="276"/>
      <c r="F46" s="275"/>
      <c r="G46" s="275"/>
      <c r="H46" s="275"/>
      <c r="I46" s="275"/>
      <c r="J46" s="104" t="str">
        <f ca="1">IF(AND('Mapa final'!$AB$121="Muy Alta",'Mapa final'!$AD$121="Leve"),CONCATENATE("R41C",'Mapa final'!$R$121),"")</f>
        <v/>
      </c>
      <c r="K46" s="42" t="str">
        <f>IF(AND('Mapa final'!$AB$122="Muy Alta",'Mapa final'!$AD$122="Leve"),CONCATENATE("R41C",'Mapa final'!$R$122),"")</f>
        <v/>
      </c>
      <c r="L46" s="105" t="str">
        <f>IF(AND('Mapa final'!$AB$123="Muy Alta",'Mapa final'!$AD$123="Leve"),CONCATENATE("R41C",'Mapa final'!$R$123),"")</f>
        <v/>
      </c>
      <c r="M46" s="104" t="str">
        <f ca="1">IF(AND('Mapa final'!$AB$121="Muy Alta",'Mapa final'!$AD$121="Menor"),CONCATENATE("R41C",'Mapa final'!$R$121),"")</f>
        <v/>
      </c>
      <c r="N46" s="42" t="str">
        <f>IF(AND('Mapa final'!$AB$122="Muy Alta",'Mapa final'!$AD$122="Menor"),CONCATENATE("R41C",'Mapa final'!$R$122),"")</f>
        <v/>
      </c>
      <c r="O46" s="105" t="str">
        <f>IF(AND('Mapa final'!$AB$123="Muy Alta",'Mapa final'!$AD$123="Menor"),CONCATENATE("R41C",'Mapa final'!$R$123),"")</f>
        <v/>
      </c>
      <c r="P46" s="104" t="str">
        <f ca="1">IF(AND('Mapa final'!$AB$121="Muy Alta",'Mapa final'!$AD$121="Moderado"),CONCATENATE("R41C",'Mapa final'!$R$121),"")</f>
        <v/>
      </c>
      <c r="Q46" s="42" t="str">
        <f>IF(AND('Mapa final'!$AB$122="Muy Alta",'Mapa final'!$AD$122="Moderado"),CONCATENATE("R41C",'Mapa final'!$R$122),"")</f>
        <v/>
      </c>
      <c r="R46" s="105" t="str">
        <f>IF(AND('Mapa final'!$AB$123="Muy Alta",'Mapa final'!$AD$123="Moderado"),CONCATENATE("R41C",'Mapa final'!$R$123),"")</f>
        <v/>
      </c>
      <c r="S46" s="104" t="str">
        <f ca="1">IF(AND('Mapa final'!$AB$121="Muy Alta",'Mapa final'!$AD$121="Mayor"),CONCATENATE("R41C",'Mapa final'!$R$121),"")</f>
        <v/>
      </c>
      <c r="T46" s="42" t="str">
        <f>IF(AND('Mapa final'!$AB$122="Muy Alta",'Mapa final'!$AD$122="Mayor"),CONCATENATE("R41C",'Mapa final'!$R$122),"")</f>
        <v/>
      </c>
      <c r="U46" s="105" t="str">
        <f>IF(AND('Mapa final'!$AB$123="Muy Alta",'Mapa final'!$AD$123="Mayor"),CONCATENATE("R41C",'Mapa final'!$R$123),"")</f>
        <v/>
      </c>
      <c r="V46" s="43" t="str">
        <f ca="1">IF(AND('Mapa final'!$AB$121="Muy Alta",'Mapa final'!$AD$121="Catastrófico"),CONCATENATE("R41C",'Mapa final'!$R$121),"")</f>
        <v/>
      </c>
      <c r="W46" s="44" t="str">
        <f>IF(AND('Mapa final'!$AB$122="Muy Alta",'Mapa final'!$AD$122="Catastrófico"),CONCATENATE("R41C",'Mapa final'!$R$122),"")</f>
        <v/>
      </c>
      <c r="X46" s="99" t="str">
        <f>IF(AND('Mapa final'!$AB$123="Muy Alta",'Mapa final'!$AD$123="Catastrófico"),CONCATENATE("R41C",'Mapa final'!$R$123),"")</f>
        <v/>
      </c>
      <c r="Y46" s="56"/>
      <c r="Z46" s="280"/>
      <c r="AA46" s="281"/>
      <c r="AB46" s="281"/>
      <c r="AC46" s="281"/>
      <c r="AD46" s="281"/>
      <c r="AE46" s="282"/>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row>
    <row r="47" spans="1:61" ht="15" customHeight="1" x14ac:dyDescent="0.25">
      <c r="A47" s="56"/>
      <c r="B47" s="286"/>
      <c r="C47" s="286"/>
      <c r="D47" s="287"/>
      <c r="E47" s="276"/>
      <c r="F47" s="275"/>
      <c r="G47" s="275"/>
      <c r="H47" s="275"/>
      <c r="I47" s="275"/>
      <c r="J47" s="104" t="str">
        <f ca="1">IF(AND('Mapa final'!$AB$124="Muy Alta",'Mapa final'!$AD$124="Leve"),CONCATENATE("R42C",'Mapa final'!$R$124),"")</f>
        <v/>
      </c>
      <c r="K47" s="42" t="str">
        <f>IF(AND('Mapa final'!$AB$125="Muy Alta",'Mapa final'!$AD$125="Leve"),CONCATENATE("R42C",'Mapa final'!$R$125),"")</f>
        <v/>
      </c>
      <c r="L47" s="105" t="str">
        <f>IF(AND('Mapa final'!$AB$126="Muy Alta",'Mapa final'!$AD$126="Leve"),CONCATENATE("R42C",'Mapa final'!$R$126),"")</f>
        <v/>
      </c>
      <c r="M47" s="104" t="str">
        <f ca="1">IF(AND('Mapa final'!$AB$124="Muy Alta",'Mapa final'!$AD$124="Menor"),CONCATENATE("R42C",'Mapa final'!$R$124),"")</f>
        <v/>
      </c>
      <c r="N47" s="42" t="str">
        <f>IF(AND('Mapa final'!$AB$125="Muy Alta",'Mapa final'!$AD$125="Menor"),CONCATENATE("R42C",'Mapa final'!$R$125),"")</f>
        <v/>
      </c>
      <c r="O47" s="105" t="str">
        <f>IF(AND('Mapa final'!$AB$126="Muy Alta",'Mapa final'!$AD$126="Menor"),CONCATENATE("R42C",'Mapa final'!$R$126),"")</f>
        <v/>
      </c>
      <c r="P47" s="104" t="str">
        <f ca="1">IF(AND('Mapa final'!$AB$124="Muy Alta",'Mapa final'!$AD$124="Moderado"),CONCATENATE("R42C",'Mapa final'!$R$124),"")</f>
        <v/>
      </c>
      <c r="Q47" s="42" t="str">
        <f>IF(AND('Mapa final'!$AB$125="Muy Alta",'Mapa final'!$AD$125="Moderado"),CONCATENATE("R42C",'Mapa final'!$R$125),"")</f>
        <v/>
      </c>
      <c r="R47" s="105" t="str">
        <f>IF(AND('Mapa final'!$AB$126="Muy Alta",'Mapa final'!$AD$126="Moderado"),CONCATENATE("R42C",'Mapa final'!$R$126),"")</f>
        <v/>
      </c>
      <c r="S47" s="104" t="str">
        <f ca="1">IF(AND('Mapa final'!$AB$124="Muy Alta",'Mapa final'!$AD$124="Mayor"),CONCATENATE("R42C",'Mapa final'!$R$124),"")</f>
        <v/>
      </c>
      <c r="T47" s="42" t="str">
        <f>IF(AND('Mapa final'!$AB$125="Muy Alta",'Mapa final'!$AD$125="Mayor"),CONCATENATE("R42C",'Mapa final'!$R$125),"")</f>
        <v/>
      </c>
      <c r="U47" s="105" t="str">
        <f>IF(AND('Mapa final'!$AB$126="Muy Alta",'Mapa final'!$AD$126="Mayor"),CONCATENATE("R42C",'Mapa final'!$R$126),"")</f>
        <v/>
      </c>
      <c r="V47" s="43" t="str">
        <f ca="1">IF(AND('Mapa final'!$AB$124="Muy Alta",'Mapa final'!$AD$124="Catastrófico"),CONCATENATE("R42C",'Mapa final'!$R$124),"")</f>
        <v/>
      </c>
      <c r="W47" s="44" t="str">
        <f>IF(AND('Mapa final'!$AB$125="Muy Alta",'Mapa final'!$AD$125="Catastrófico"),CONCATENATE("R42C",'Mapa final'!$R$125),"")</f>
        <v/>
      </c>
      <c r="X47" s="99" t="str">
        <f>IF(AND('Mapa final'!$AB$126="Muy Alta",'Mapa final'!$AD$126="Catastrófico"),CONCATENATE("R42C",'Mapa final'!$R$126),"")</f>
        <v/>
      </c>
      <c r="Y47" s="56"/>
      <c r="Z47" s="280"/>
      <c r="AA47" s="281"/>
      <c r="AB47" s="281"/>
      <c r="AC47" s="281"/>
      <c r="AD47" s="281"/>
      <c r="AE47" s="282"/>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row>
    <row r="48" spans="1:61" ht="15" customHeight="1" x14ac:dyDescent="0.25">
      <c r="A48" s="56"/>
      <c r="B48" s="286"/>
      <c r="C48" s="286"/>
      <c r="D48" s="287"/>
      <c r="E48" s="276"/>
      <c r="F48" s="275"/>
      <c r="G48" s="275"/>
      <c r="H48" s="275"/>
      <c r="I48" s="275"/>
      <c r="J48" s="104" t="str">
        <f ca="1">IF(AND('Mapa final'!$AB$127="Muy Alta",'Mapa final'!$AD$127="Leve"),CONCATENATE("R43C",'Mapa final'!$R$127),"")</f>
        <v/>
      </c>
      <c r="K48" s="42" t="str">
        <f>IF(AND('Mapa final'!$AB$128="Muy Alta",'Mapa final'!$AD$128="Leve"),CONCATENATE("R43C",'Mapa final'!$R$128),"")</f>
        <v/>
      </c>
      <c r="L48" s="105" t="str">
        <f>IF(AND('Mapa final'!$AB$129="Muy Alta",'Mapa final'!$AD$129="Leve"),CONCATENATE("R43C",'Mapa final'!$R$129),"")</f>
        <v/>
      </c>
      <c r="M48" s="104" t="str">
        <f ca="1">IF(AND('Mapa final'!$AB$127="Muy Alta",'Mapa final'!$AD$127="Menor"),CONCATENATE("R43C",'Mapa final'!$R$127),"")</f>
        <v/>
      </c>
      <c r="N48" s="42" t="str">
        <f>IF(AND('Mapa final'!$AB$128="Muy Alta",'Mapa final'!$AD$128="Menor"),CONCATENATE("R43C",'Mapa final'!$R$128),"")</f>
        <v/>
      </c>
      <c r="O48" s="105" t="str">
        <f>IF(AND('Mapa final'!$AB$129="Muy Alta",'Mapa final'!$AD$129="Menor"),CONCATENATE("R43C",'Mapa final'!$R$129),"")</f>
        <v/>
      </c>
      <c r="P48" s="104" t="str">
        <f ca="1">IF(AND('Mapa final'!$AB$127="Muy Alta",'Mapa final'!$AD$127="Moderado"),CONCATENATE("R43C",'Mapa final'!$R$127),"")</f>
        <v/>
      </c>
      <c r="Q48" s="42" t="str">
        <f>IF(AND('Mapa final'!$AB$128="Muy Alta",'Mapa final'!$AD$128="Moderado"),CONCATENATE("R43C",'Mapa final'!$R$128),"")</f>
        <v/>
      </c>
      <c r="R48" s="105" t="str">
        <f>IF(AND('Mapa final'!$AB$129="Muy Alta",'Mapa final'!$AD$129="Moderado"),CONCATENATE("R43C",'Mapa final'!$R$129),"")</f>
        <v/>
      </c>
      <c r="S48" s="104" t="str">
        <f ca="1">IF(AND('Mapa final'!$AB$127="Muy Alta",'Mapa final'!$AD$127="Mayor"),CONCATENATE("R43C",'Mapa final'!$R$127),"")</f>
        <v/>
      </c>
      <c r="T48" s="42" t="str">
        <f>IF(AND('Mapa final'!$AB$128="Muy Alta",'Mapa final'!$AD$128="Mayor"),CONCATENATE("R43C",'Mapa final'!$R$128),"")</f>
        <v/>
      </c>
      <c r="U48" s="105" t="str">
        <f>IF(AND('Mapa final'!$AB$129="Muy Alta",'Mapa final'!$AD$129="Mayor"),CONCATENATE("R43C",'Mapa final'!$R$129),"")</f>
        <v/>
      </c>
      <c r="V48" s="43" t="str">
        <f ca="1">IF(AND('Mapa final'!$AB$127="Muy Alta",'Mapa final'!$AD$127="Catastrófico"),CONCATENATE("R43C",'Mapa final'!$R$127),"")</f>
        <v/>
      </c>
      <c r="W48" s="44" t="str">
        <f>IF(AND('Mapa final'!$AB$128="Muy Alta",'Mapa final'!$AD$128="Catastrófico"),CONCATENATE("R43C",'Mapa final'!$R$128),"")</f>
        <v/>
      </c>
      <c r="X48" s="99" t="str">
        <f>IF(AND('Mapa final'!$AB$129="Muy Alta",'Mapa final'!$AD$129="Catastrófico"),CONCATENATE("R43C",'Mapa final'!$R$129),"")</f>
        <v/>
      </c>
      <c r="Y48" s="56"/>
      <c r="Z48" s="280"/>
      <c r="AA48" s="281"/>
      <c r="AB48" s="281"/>
      <c r="AC48" s="281"/>
      <c r="AD48" s="281"/>
      <c r="AE48" s="282"/>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row>
    <row r="49" spans="1:61" ht="15" customHeight="1" x14ac:dyDescent="0.25">
      <c r="A49" s="56"/>
      <c r="B49" s="286"/>
      <c r="C49" s="286"/>
      <c r="D49" s="287"/>
      <c r="E49" s="276"/>
      <c r="F49" s="275"/>
      <c r="G49" s="275"/>
      <c r="H49" s="275"/>
      <c r="I49" s="275"/>
      <c r="J49" s="104" t="str">
        <f ca="1">IF(AND('Mapa final'!$AB$130="Muy Alta",'Mapa final'!$AD$130="Leve"),CONCATENATE("R44C",'Mapa final'!$R$130),"")</f>
        <v/>
      </c>
      <c r="K49" s="42" t="str">
        <f>IF(AND('Mapa final'!$AB$131="Muy Alta",'Mapa final'!$AD$131="Leve"),CONCATENATE("R44C",'Mapa final'!$R$131),"")</f>
        <v/>
      </c>
      <c r="L49" s="105" t="str">
        <f>IF(AND('Mapa final'!$AB$132="Muy Alta",'Mapa final'!$AD$132="Leve"),CONCATENATE("R44C",'Mapa final'!$R$132),"")</f>
        <v/>
      </c>
      <c r="M49" s="104" t="str">
        <f ca="1">IF(AND('Mapa final'!$AB$130="Muy Alta",'Mapa final'!$AD$130="Menor"),CONCATENATE("R44C",'Mapa final'!$R$130),"")</f>
        <v/>
      </c>
      <c r="N49" s="42" t="str">
        <f>IF(AND('Mapa final'!$AB$131="Muy Alta",'Mapa final'!$AD$131="Menor"),CONCATENATE("R44C",'Mapa final'!$R$131),"")</f>
        <v/>
      </c>
      <c r="O49" s="105" t="str">
        <f>IF(AND('Mapa final'!$AB$132="Muy Alta",'Mapa final'!$AD$132="Menor"),CONCATENATE("R44C",'Mapa final'!$R$132),"")</f>
        <v/>
      </c>
      <c r="P49" s="104" t="str">
        <f ca="1">IF(AND('Mapa final'!$AB$130="Muy Alta",'Mapa final'!$AD$130="Moderado"),CONCATENATE("R44C",'Mapa final'!$R$130),"")</f>
        <v/>
      </c>
      <c r="Q49" s="42" t="str">
        <f>IF(AND('Mapa final'!$AB$131="Muy Alta",'Mapa final'!$AD$131="Moderado"),CONCATENATE("R44C",'Mapa final'!$R$131),"")</f>
        <v/>
      </c>
      <c r="R49" s="105" t="str">
        <f>IF(AND('Mapa final'!$AB$132="Muy Alta",'Mapa final'!$AD$132="Moderado"),CONCATENATE("R44C",'Mapa final'!$R$132),"")</f>
        <v/>
      </c>
      <c r="S49" s="104" t="str">
        <f ca="1">IF(AND('Mapa final'!$AB$130="Muy Alta",'Mapa final'!$AD$130="Mayor"),CONCATENATE("R44C",'Mapa final'!$R$130),"")</f>
        <v/>
      </c>
      <c r="T49" s="42" t="str">
        <f>IF(AND('Mapa final'!$AB$131="Muy Alta",'Mapa final'!$AD$131="Mayor"),CONCATENATE("R44C",'Mapa final'!$R$131),"")</f>
        <v/>
      </c>
      <c r="U49" s="105" t="str">
        <f>IF(AND('Mapa final'!$AB$132="Muy Alta",'Mapa final'!$AD$132="Mayor"),CONCATENATE("R44C",'Mapa final'!$R$132),"")</f>
        <v/>
      </c>
      <c r="V49" s="43" t="str">
        <f ca="1">IF(AND('Mapa final'!$AB$130="Muy Alta",'Mapa final'!$AD$130="Catastrófico"),CONCATENATE("R44C",'Mapa final'!$R$130),"")</f>
        <v/>
      </c>
      <c r="W49" s="44" t="str">
        <f>IF(AND('Mapa final'!$AB$131="Muy Alta",'Mapa final'!$AD$131="Catastrófico"),CONCATENATE("R44C",'Mapa final'!$R$131),"")</f>
        <v/>
      </c>
      <c r="X49" s="99" t="str">
        <f>IF(AND('Mapa final'!$AB$132="Muy Alta",'Mapa final'!$AD$132="Catastrófico"),CONCATENATE("R44C",'Mapa final'!$R$132),"")</f>
        <v/>
      </c>
      <c r="Y49" s="56"/>
      <c r="Z49" s="280"/>
      <c r="AA49" s="281"/>
      <c r="AB49" s="281"/>
      <c r="AC49" s="281"/>
      <c r="AD49" s="281"/>
      <c r="AE49" s="282"/>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row>
    <row r="50" spans="1:61" ht="15" customHeight="1" x14ac:dyDescent="0.25">
      <c r="A50" s="56"/>
      <c r="B50" s="286"/>
      <c r="C50" s="286"/>
      <c r="D50" s="287"/>
      <c r="E50" s="276"/>
      <c r="F50" s="275"/>
      <c r="G50" s="275"/>
      <c r="H50" s="275"/>
      <c r="I50" s="275"/>
      <c r="J50" s="104" t="str">
        <f ca="1">IF(AND('Mapa final'!$AB$133="Muy Alta",'Mapa final'!$AD$133="Leve"),CONCATENATE("R45C",'Mapa final'!$R$133),"")</f>
        <v/>
      </c>
      <c r="K50" s="42" t="str">
        <f>IF(AND('Mapa final'!$AB$134="Muy Alta",'Mapa final'!$AD$134="Leve"),CONCATENATE("R45C",'Mapa final'!$R$134),"")</f>
        <v/>
      </c>
      <c r="L50" s="105" t="str">
        <f>IF(AND('Mapa final'!$AB$135="Muy Alta",'Mapa final'!$AD$135="Leve"),CONCATENATE("R45C",'Mapa final'!$R$135),"")</f>
        <v/>
      </c>
      <c r="M50" s="104" t="str">
        <f ca="1">IF(AND('Mapa final'!$AB$133="Muy Alta",'Mapa final'!$AD$133="Menor"),CONCATENATE("R45C",'Mapa final'!$R$133),"")</f>
        <v/>
      </c>
      <c r="N50" s="42" t="str">
        <f>IF(AND('Mapa final'!$AB$134="Muy Alta",'Mapa final'!$AD$134="Menor"),CONCATENATE("R45C",'Mapa final'!$R$134),"")</f>
        <v/>
      </c>
      <c r="O50" s="105" t="str">
        <f>IF(AND('Mapa final'!$AB$135="Muy Alta",'Mapa final'!$AD$135="Menor"),CONCATENATE("R45C",'Mapa final'!$R$135),"")</f>
        <v/>
      </c>
      <c r="P50" s="104" t="str">
        <f ca="1">IF(AND('Mapa final'!$AB$133="Muy Alta",'Mapa final'!$AD$133="Moderado"),CONCATENATE("R45C",'Mapa final'!$R$133),"")</f>
        <v/>
      </c>
      <c r="Q50" s="42" t="str">
        <f>IF(AND('Mapa final'!$AB$134="Muy Alta",'Mapa final'!$AD$134="Moderado"),CONCATENATE("R45C",'Mapa final'!$R$134),"")</f>
        <v/>
      </c>
      <c r="R50" s="105" t="str">
        <f>IF(AND('Mapa final'!$AB$135="Muy Alta",'Mapa final'!$AD$135="Moderado"),CONCATENATE("R45C",'Mapa final'!$R$135),"")</f>
        <v/>
      </c>
      <c r="S50" s="104" t="str">
        <f ca="1">IF(AND('Mapa final'!$AB$133="Muy Alta",'Mapa final'!$AD$133="Mayor"),CONCATENATE("R45C",'Mapa final'!$R$133),"")</f>
        <v/>
      </c>
      <c r="T50" s="42" t="str">
        <f>IF(AND('Mapa final'!$AB$134="Muy Alta",'Mapa final'!$AD$134="Mayor"),CONCATENATE("R45C",'Mapa final'!$R$134),"")</f>
        <v/>
      </c>
      <c r="U50" s="105" t="str">
        <f>IF(AND('Mapa final'!$AB$135="Muy Alta",'Mapa final'!$AD$135="Mayor"),CONCATENATE("R45C",'Mapa final'!$R$135),"")</f>
        <v/>
      </c>
      <c r="V50" s="43" t="str">
        <f ca="1">IF(AND('Mapa final'!$AB$133="Muy Alta",'Mapa final'!$AD$133="Catastrófico"),CONCATENATE("R45C",'Mapa final'!$R$133),"")</f>
        <v/>
      </c>
      <c r="W50" s="44" t="str">
        <f>IF(AND('Mapa final'!$AB$134="Muy Alta",'Mapa final'!$AD$134="Catastrófico"),CONCATENATE("R45C",'Mapa final'!$R$134),"")</f>
        <v/>
      </c>
      <c r="X50" s="99" t="str">
        <f>IF(AND('Mapa final'!$AB$135="Muy Alta",'Mapa final'!$AD$135="Catastrófico"),CONCATENATE("R45C",'Mapa final'!$R$135),"")</f>
        <v/>
      </c>
      <c r="Y50" s="56"/>
      <c r="Z50" s="280"/>
      <c r="AA50" s="281"/>
      <c r="AB50" s="281"/>
      <c r="AC50" s="281"/>
      <c r="AD50" s="281"/>
      <c r="AE50" s="282"/>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row>
    <row r="51" spans="1:61" ht="15" customHeight="1" x14ac:dyDescent="0.25">
      <c r="A51" s="56"/>
      <c r="B51" s="286"/>
      <c r="C51" s="286"/>
      <c r="D51" s="287"/>
      <c r="E51" s="276"/>
      <c r="F51" s="275"/>
      <c r="G51" s="275"/>
      <c r="H51" s="275"/>
      <c r="I51" s="275"/>
      <c r="J51" s="104" t="str">
        <f ca="1">IF(AND('Mapa final'!$AB$136="Muy Alta",'Mapa final'!$AD$136="Leve"),CONCATENATE("R46C",'Mapa final'!$R$136),"")</f>
        <v/>
      </c>
      <c r="K51" s="42" t="str">
        <f>IF(AND('Mapa final'!$AB$137="Muy Alta",'Mapa final'!$AD$137="Leve"),CONCATENATE("R46C",'Mapa final'!$R$137),"")</f>
        <v/>
      </c>
      <c r="L51" s="105" t="str">
        <f>IF(AND('Mapa final'!$AB$138="Muy Alta",'Mapa final'!$AD$138="Leve"),CONCATENATE("R46C",'Mapa final'!$R$138),"")</f>
        <v/>
      </c>
      <c r="M51" s="104" t="str">
        <f ca="1">IF(AND('Mapa final'!$AB$136="Muy Alta",'Mapa final'!$AD$136="Menor"),CONCATENATE("R46C",'Mapa final'!$R$136),"")</f>
        <v/>
      </c>
      <c r="N51" s="42" t="str">
        <f>IF(AND('Mapa final'!$AB$137="Muy Alta",'Mapa final'!$AD$137="Menor"),CONCATENATE("R46C",'Mapa final'!$R$137),"")</f>
        <v/>
      </c>
      <c r="O51" s="105" t="str">
        <f>IF(AND('Mapa final'!$AB$138="Muy Alta",'Mapa final'!$AD$138="Menor"),CONCATENATE("R46C",'Mapa final'!$R$138),"")</f>
        <v/>
      </c>
      <c r="P51" s="104" t="str">
        <f ca="1">IF(AND('Mapa final'!$AB$136="Muy Alta",'Mapa final'!$AD$136="Moderado"),CONCATENATE("R46C",'Mapa final'!$R$136),"")</f>
        <v/>
      </c>
      <c r="Q51" s="42" t="str">
        <f>IF(AND('Mapa final'!$AB$137="Muy Alta",'Mapa final'!$AD$137="Moderado"),CONCATENATE("R46C",'Mapa final'!$R$137),"")</f>
        <v/>
      </c>
      <c r="R51" s="105" t="str">
        <f>IF(AND('Mapa final'!$AB$138="Muy Alta",'Mapa final'!$AD$138="Moderado"),CONCATENATE("R46C",'Mapa final'!$R$138),"")</f>
        <v/>
      </c>
      <c r="S51" s="104" t="str">
        <f ca="1">IF(AND('Mapa final'!$AB$136="Muy Alta",'Mapa final'!$AD$136="Mayor"),CONCATENATE("R46C",'Mapa final'!$R$136),"")</f>
        <v/>
      </c>
      <c r="T51" s="42" t="str">
        <f>IF(AND('Mapa final'!$AB$137="Muy Alta",'Mapa final'!$AD$137="Mayor"),CONCATENATE("R46C",'Mapa final'!$R$137),"")</f>
        <v/>
      </c>
      <c r="U51" s="105" t="str">
        <f>IF(AND('Mapa final'!$AB$138="Muy Alta",'Mapa final'!$AD$138="Mayor"),CONCATENATE("R46C",'Mapa final'!$R$138),"")</f>
        <v/>
      </c>
      <c r="V51" s="43" t="str">
        <f ca="1">IF(AND('Mapa final'!$AB$136="Muy Alta",'Mapa final'!$AD$136="Catastrófico"),CONCATENATE("R46C",'Mapa final'!$R$136),"")</f>
        <v/>
      </c>
      <c r="W51" s="44" t="str">
        <f>IF(AND('Mapa final'!$AB$137="Muy Alta",'Mapa final'!$AD$137="Catastrófico"),CONCATENATE("R46C",'Mapa final'!$R$137),"")</f>
        <v/>
      </c>
      <c r="X51" s="99" t="str">
        <f>IF(AND('Mapa final'!$AB$138="Muy Alta",'Mapa final'!$AD$138="Catastrófico"),CONCATENATE("R46C",'Mapa final'!$R$138),"")</f>
        <v/>
      </c>
      <c r="Y51" s="56"/>
      <c r="Z51" s="280"/>
      <c r="AA51" s="281"/>
      <c r="AB51" s="281"/>
      <c r="AC51" s="281"/>
      <c r="AD51" s="281"/>
      <c r="AE51" s="282"/>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row>
    <row r="52" spans="1:61" ht="15" customHeight="1" x14ac:dyDescent="0.25">
      <c r="A52" s="56"/>
      <c r="B52" s="286"/>
      <c r="C52" s="286"/>
      <c r="D52" s="287"/>
      <c r="E52" s="276"/>
      <c r="F52" s="275"/>
      <c r="G52" s="275"/>
      <c r="H52" s="275"/>
      <c r="I52" s="275"/>
      <c r="J52" s="104" t="str">
        <f ca="1">IF(AND('Mapa final'!$AB$139="Muy Alta",'Mapa final'!$AD$139="Leve"),CONCATENATE("R47C",'Mapa final'!$R$139),"")</f>
        <v/>
      </c>
      <c r="K52" s="42" t="str">
        <f>IF(AND('Mapa final'!$AB$140="Muy Alta",'Mapa final'!$AD$140="Leve"),CONCATENATE("R47C",'Mapa final'!$R$140),"")</f>
        <v/>
      </c>
      <c r="L52" s="105" t="str">
        <f>IF(AND('Mapa final'!$AB$141="Muy Alta",'Mapa final'!$AD$141="Leve"),CONCATENATE("R47C",'Mapa final'!$R$141),"")</f>
        <v/>
      </c>
      <c r="M52" s="104" t="str">
        <f ca="1">IF(AND('Mapa final'!$AB$139="Muy Alta",'Mapa final'!$AD$139="Menor"),CONCATENATE("R47C",'Mapa final'!$R$139),"")</f>
        <v/>
      </c>
      <c r="N52" s="42" t="str">
        <f>IF(AND('Mapa final'!$AB$140="Muy Alta",'Mapa final'!$AD$140="Menor"),CONCATENATE("R47C",'Mapa final'!$R$140),"")</f>
        <v/>
      </c>
      <c r="O52" s="105" t="str">
        <f>IF(AND('Mapa final'!$AB$141="Muy Alta",'Mapa final'!$AD$141="Menor"),CONCATENATE("R47C",'Mapa final'!$R$141),"")</f>
        <v/>
      </c>
      <c r="P52" s="104" t="str">
        <f ca="1">IF(AND('Mapa final'!$AB$139="Muy Alta",'Mapa final'!$AD$139="Moderado"),CONCATENATE("R47C",'Mapa final'!$R$139),"")</f>
        <v/>
      </c>
      <c r="Q52" s="42" t="str">
        <f>IF(AND('Mapa final'!$AB$140="Muy Alta",'Mapa final'!$AD$140="Moderado"),CONCATENATE("R47C",'Mapa final'!$R$140),"")</f>
        <v/>
      </c>
      <c r="R52" s="105" t="str">
        <f>IF(AND('Mapa final'!$AB$141="Muy Alta",'Mapa final'!$AD$141="Moderado"),CONCATENATE("R47C",'Mapa final'!$R$141),"")</f>
        <v/>
      </c>
      <c r="S52" s="104" t="str">
        <f ca="1">IF(AND('Mapa final'!$AB$139="Muy Alta",'Mapa final'!$AD$139="Mayor"),CONCATENATE("R47C",'Mapa final'!$R$139),"")</f>
        <v/>
      </c>
      <c r="T52" s="42" t="str">
        <f>IF(AND('Mapa final'!$AB$140="Muy Alta",'Mapa final'!$AD$140="Mayor"),CONCATENATE("R47C",'Mapa final'!$R$140),"")</f>
        <v/>
      </c>
      <c r="U52" s="105" t="str">
        <f>IF(AND('Mapa final'!$AB$141="Muy Alta",'Mapa final'!$AD$141="Mayor"),CONCATENATE("R47C",'Mapa final'!$R$141),"")</f>
        <v/>
      </c>
      <c r="V52" s="43" t="str">
        <f ca="1">IF(AND('Mapa final'!$AB$139="Muy Alta",'Mapa final'!$AD$139="Catastrófico"),CONCATENATE("R47C",'Mapa final'!$R$139),"")</f>
        <v/>
      </c>
      <c r="W52" s="44" t="str">
        <f>IF(AND('Mapa final'!$AB$140="Muy Alta",'Mapa final'!$AD$140="Catastrófico"),CONCATENATE("R47C",'Mapa final'!$R$140),"")</f>
        <v/>
      </c>
      <c r="X52" s="99" t="str">
        <f>IF(AND('Mapa final'!$AB$141="Muy Alta",'Mapa final'!$AD$141="Catastrófico"),CONCATENATE("R47C",'Mapa final'!$R$141),"")</f>
        <v/>
      </c>
      <c r="Y52" s="56"/>
      <c r="Z52" s="280"/>
      <c r="AA52" s="281"/>
      <c r="AB52" s="281"/>
      <c r="AC52" s="281"/>
      <c r="AD52" s="281"/>
      <c r="AE52" s="282"/>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row>
    <row r="53" spans="1:61" ht="15" customHeight="1" x14ac:dyDescent="0.25">
      <c r="A53" s="56"/>
      <c r="B53" s="286"/>
      <c r="C53" s="286"/>
      <c r="D53" s="287"/>
      <c r="E53" s="276"/>
      <c r="F53" s="275"/>
      <c r="G53" s="275"/>
      <c r="H53" s="275"/>
      <c r="I53" s="275"/>
      <c r="J53" s="104" t="str">
        <f>IF(AND('Mapa final'!$AB$142="Muy Alta",'Mapa final'!$AD$142="Leve"),CONCATENATE("R48C",'Mapa final'!$R$142),"")</f>
        <v/>
      </c>
      <c r="K53" s="42" t="str">
        <f>IF(AND('Mapa final'!$AB$143="Muy Alta",'Mapa final'!$AD$143="Leve"),CONCATENATE("R48C",'Mapa final'!$R$143),"")</f>
        <v/>
      </c>
      <c r="L53" s="105" t="str">
        <f>IF(AND('Mapa final'!$AB$144="Muy Alta",'Mapa final'!$AD$144="Leve"),CONCATENATE("R48C",'Mapa final'!$R$144),"")</f>
        <v/>
      </c>
      <c r="M53" s="104" t="str">
        <f>IF(AND('Mapa final'!$AB$142="Muy Alta",'Mapa final'!$AD$142="Menor"),CONCATENATE("R48C",'Mapa final'!$R$142),"")</f>
        <v/>
      </c>
      <c r="N53" s="42" t="str">
        <f>IF(AND('Mapa final'!$AB$143="Muy Alta",'Mapa final'!$AD$143="Menor"),CONCATENATE("R48C",'Mapa final'!$R$143),"")</f>
        <v/>
      </c>
      <c r="O53" s="105" t="str">
        <f>IF(AND('Mapa final'!$AB$144="Muy Alta",'Mapa final'!$AD$144="Menor"),CONCATENATE("R48C",'Mapa final'!$R$144),"")</f>
        <v/>
      </c>
      <c r="P53" s="104" t="str">
        <f>IF(AND('Mapa final'!$AB$142="Muy Alta",'Mapa final'!$AD$142="Moderado"),CONCATENATE("R48C",'Mapa final'!$R$142),"")</f>
        <v/>
      </c>
      <c r="Q53" s="42" t="str">
        <f>IF(AND('Mapa final'!$AB$143="Muy Alta",'Mapa final'!$AD$143="Moderado"),CONCATENATE("R48C",'Mapa final'!$R$143),"")</f>
        <v/>
      </c>
      <c r="R53" s="105" t="str">
        <f>IF(AND('Mapa final'!$AB$144="Muy Alta",'Mapa final'!$AD$144="Moderado"),CONCATENATE("R48C",'Mapa final'!$R$144),"")</f>
        <v/>
      </c>
      <c r="S53" s="104" t="str">
        <f>IF(AND('Mapa final'!$AB$142="Muy Alta",'Mapa final'!$AD$142="Mayor"),CONCATENATE("R48C",'Mapa final'!$R$142),"")</f>
        <v/>
      </c>
      <c r="T53" s="42" t="str">
        <f>IF(AND('Mapa final'!$AB$143="Muy Alta",'Mapa final'!$AD$143="Mayor"),CONCATENATE("R48C",'Mapa final'!$R$143),"")</f>
        <v/>
      </c>
      <c r="U53" s="105" t="str">
        <f>IF(AND('Mapa final'!$AB$144="Muy Alta",'Mapa final'!$AD$144="Mayor"),CONCATENATE("R48C",'Mapa final'!$R$144),"")</f>
        <v/>
      </c>
      <c r="V53" s="43" t="str">
        <f>IF(AND('Mapa final'!$AB$142="Muy Alta",'Mapa final'!$AD$142="Catastrófico"),CONCATENATE("R48C",'Mapa final'!$R$142),"")</f>
        <v/>
      </c>
      <c r="W53" s="44" t="str">
        <f>IF(AND('Mapa final'!$AB$143="Muy Alta",'Mapa final'!$AD$143="Catastrófico"),CONCATENATE("R48C",'Mapa final'!$R$143),"")</f>
        <v/>
      </c>
      <c r="X53" s="99" t="str">
        <f>IF(AND('Mapa final'!$AB$144="Muy Alta",'Mapa final'!$AD$144="Catastrófico"),CONCATENATE("R48C",'Mapa final'!$R$144),"")</f>
        <v/>
      </c>
      <c r="Y53" s="56"/>
      <c r="Z53" s="280"/>
      <c r="AA53" s="281"/>
      <c r="AB53" s="281"/>
      <c r="AC53" s="281"/>
      <c r="AD53" s="281"/>
      <c r="AE53" s="282"/>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row>
    <row r="54" spans="1:61" ht="15" customHeight="1" x14ac:dyDescent="0.25">
      <c r="A54" s="56"/>
      <c r="B54" s="286"/>
      <c r="C54" s="286"/>
      <c r="D54" s="287"/>
      <c r="E54" s="276"/>
      <c r="F54" s="275"/>
      <c r="G54" s="275"/>
      <c r="H54" s="275"/>
      <c r="I54" s="275"/>
      <c r="J54" s="104" t="str">
        <f>IF(AND('Mapa final'!$AB$145="Muy Alta",'Mapa final'!$AD$145="Leve"),CONCATENATE("R49C",'Mapa final'!$R$145),"")</f>
        <v/>
      </c>
      <c r="K54" s="42" t="str">
        <f>IF(AND('Mapa final'!$AB$146="Muy Alta",'Mapa final'!$AD$146="Leve"),CONCATENATE("R49C",'Mapa final'!$R$146),"")</f>
        <v/>
      </c>
      <c r="L54" s="105" t="str">
        <f>IF(AND('Mapa final'!$AB$147="Muy Alta",'Mapa final'!$AD$147="Leve"),CONCATENATE("R49C",'Mapa final'!$R$147),"")</f>
        <v/>
      </c>
      <c r="M54" s="104" t="str">
        <f>IF(AND('Mapa final'!$AB$145="Muy Alta",'Mapa final'!$AD$145="Menor"),CONCATENATE("R49C",'Mapa final'!$R$145),"")</f>
        <v/>
      </c>
      <c r="N54" s="42" t="str">
        <f>IF(AND('Mapa final'!$AB$146="Muy Alta",'Mapa final'!$AD$146="Menor"),CONCATENATE("R49C",'Mapa final'!$R$146),"")</f>
        <v/>
      </c>
      <c r="O54" s="105" t="str">
        <f>IF(AND('Mapa final'!$AB$147="Muy Alta",'Mapa final'!$AD$147="Menor"),CONCATENATE("R49C",'Mapa final'!$R$147),"")</f>
        <v/>
      </c>
      <c r="P54" s="104" t="str">
        <f>IF(AND('Mapa final'!$AB$145="Muy Alta",'Mapa final'!$AD$145="Moderado"),CONCATENATE("R49C",'Mapa final'!$R$145),"")</f>
        <v/>
      </c>
      <c r="Q54" s="42" t="str">
        <f>IF(AND('Mapa final'!$AB$146="Muy Alta",'Mapa final'!$AD$146="Moderado"),CONCATENATE("R49C",'Mapa final'!$R$146),"")</f>
        <v/>
      </c>
      <c r="R54" s="105" t="str">
        <f>IF(AND('Mapa final'!$AB$147="Muy Alta",'Mapa final'!$AD$147="Moderado"),CONCATENATE("R49C",'Mapa final'!$R$147),"")</f>
        <v/>
      </c>
      <c r="S54" s="104" t="str">
        <f>IF(AND('Mapa final'!$AB$145="Muy Alta",'Mapa final'!$AD$145="Mayor"),CONCATENATE("R49C",'Mapa final'!$R$145),"")</f>
        <v/>
      </c>
      <c r="T54" s="42" t="str">
        <f>IF(AND('Mapa final'!$AB$146="Muy Alta",'Mapa final'!$AD$146="Mayor"),CONCATENATE("R49C",'Mapa final'!$R$146),"")</f>
        <v/>
      </c>
      <c r="U54" s="105" t="str">
        <f>IF(AND('Mapa final'!$AB$147="Muy Alta",'Mapa final'!$AD$147="Mayor"),CONCATENATE("R49C",'Mapa final'!$R$147),"")</f>
        <v/>
      </c>
      <c r="V54" s="43" t="str">
        <f>IF(AND('Mapa final'!$AB$145="Muy Alta",'Mapa final'!$AD$145="Catastrófico"),CONCATENATE("R49C",'Mapa final'!$R$145),"")</f>
        <v/>
      </c>
      <c r="W54" s="44" t="str">
        <f>IF(AND('Mapa final'!$AB$146="Muy Alta",'Mapa final'!$AD$146="Catastrófico"),CONCATENATE("R49C",'Mapa final'!$R$146),"")</f>
        <v/>
      </c>
      <c r="X54" s="99" t="str">
        <f>IF(AND('Mapa final'!$AB$147="Muy Alta",'Mapa final'!$AD$147="Catastrófico"),CONCATENATE("R49C",'Mapa final'!$R$147),"")</f>
        <v/>
      </c>
      <c r="Y54" s="56"/>
      <c r="Z54" s="280"/>
      <c r="AA54" s="281"/>
      <c r="AB54" s="281"/>
      <c r="AC54" s="281"/>
      <c r="AD54" s="281"/>
      <c r="AE54" s="282"/>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row>
    <row r="55" spans="1:61" ht="15" customHeight="1" thickBot="1" x14ac:dyDescent="0.3">
      <c r="A55" s="56"/>
      <c r="B55" s="286"/>
      <c r="C55" s="286"/>
      <c r="D55" s="287"/>
      <c r="E55" s="276"/>
      <c r="F55" s="275"/>
      <c r="G55" s="275"/>
      <c r="H55" s="275"/>
      <c r="I55" s="275"/>
      <c r="J55" s="104" t="str">
        <f>IF(AND('Mapa final'!$AB$148="Muy Alta",'Mapa final'!$AD$148="Leve"),CONCATENATE("R50C",'Mapa final'!$R$148),"")</f>
        <v/>
      </c>
      <c r="K55" s="42" t="str">
        <f>IF(AND('Mapa final'!$AB$149="Muy Alta",'Mapa final'!$AD$149="Leve"),CONCATENATE("R50C",'Mapa final'!$R$149),"")</f>
        <v/>
      </c>
      <c r="L55" s="105" t="str">
        <f>IF(AND('Mapa final'!$AB$150="Muy Alta",'Mapa final'!$AD$150="Leve"),CONCATENATE("R50C",'Mapa final'!$R$150),"")</f>
        <v/>
      </c>
      <c r="M55" s="104" t="str">
        <f>IF(AND('Mapa final'!$AB$148="Muy Alta",'Mapa final'!$AD$148="Menor"),CONCATENATE("R50C",'Mapa final'!$R$148),"")</f>
        <v/>
      </c>
      <c r="N55" s="42" t="str">
        <f>IF(AND('Mapa final'!$AB$149="Muy Alta",'Mapa final'!$AD$149="Menor"),CONCATENATE("R50C",'Mapa final'!$R$149),"")</f>
        <v/>
      </c>
      <c r="O55" s="105" t="str">
        <f>IF(AND('Mapa final'!$AB$150="Muy Alta",'Mapa final'!$AD$150="Menor"),CONCATENATE("R50C",'Mapa final'!$R$150),"")</f>
        <v/>
      </c>
      <c r="P55" s="104" t="str">
        <f>IF(AND('Mapa final'!$AB$148="Muy Alta",'Mapa final'!$AD$148="Moderado"),CONCATENATE("R50C",'Mapa final'!$R$148),"")</f>
        <v/>
      </c>
      <c r="Q55" s="42" t="str">
        <f>IF(AND('Mapa final'!$AB$149="Muy Alta",'Mapa final'!$AD$149="Moderado"),CONCATENATE("R50C",'Mapa final'!$R$149),"")</f>
        <v/>
      </c>
      <c r="R55" s="105" t="str">
        <f>IF(AND('Mapa final'!$AB$150="Muy Alta",'Mapa final'!$AD$150="Moderado"),CONCATENATE("R50C",'Mapa final'!$R$150),"")</f>
        <v/>
      </c>
      <c r="S55" s="106" t="str">
        <f>IF(AND('Mapa final'!$AB$148="Muy Alta",'Mapa final'!$AD$148="Mayor"),CONCATENATE("R50C",'Mapa final'!$R$148),"")</f>
        <v/>
      </c>
      <c r="T55" s="107" t="str">
        <f>IF(AND('Mapa final'!$AB$149="Muy Alta",'Mapa final'!$AD$149="Mayor"),CONCATENATE("R50C",'Mapa final'!$R$149),"")</f>
        <v/>
      </c>
      <c r="U55" s="108" t="str">
        <f>IF(AND('Mapa final'!$AB$150="Muy Alta",'Mapa final'!$AD$150="Mayor"),CONCATENATE("R50C",'Mapa final'!$R$150),"")</f>
        <v/>
      </c>
      <c r="V55" s="45" t="str">
        <f>IF(AND('Mapa final'!$AB$148="Muy Alta",'Mapa final'!$AD$148="Catastrófico"),CONCATENATE("R50C",'Mapa final'!$R$148),"")</f>
        <v/>
      </c>
      <c r="W55" s="46" t="str">
        <f>IF(AND('Mapa final'!$AB$149="Muy Alta",'Mapa final'!$AD$149="Catastrófico"),CONCATENATE("R50C",'Mapa final'!$R$149),"")</f>
        <v/>
      </c>
      <c r="X55" s="100" t="str">
        <f>IF(AND('Mapa final'!$AB$150="Muy Alta",'Mapa final'!$AD$150="Catastrófico"),CONCATENATE("R50C",'Mapa final'!$R$150),"")</f>
        <v/>
      </c>
      <c r="Y55" s="56"/>
      <c r="Z55" s="280"/>
      <c r="AA55" s="281"/>
      <c r="AB55" s="281"/>
      <c r="AC55" s="281"/>
      <c r="AD55" s="281"/>
      <c r="AE55" s="282"/>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row>
    <row r="56" spans="1:61" ht="15" customHeight="1" x14ac:dyDescent="0.25">
      <c r="A56" s="56"/>
      <c r="B56" s="286"/>
      <c r="C56" s="286"/>
      <c r="D56" s="287"/>
      <c r="E56" s="272" t="s">
        <v>106</v>
      </c>
      <c r="F56" s="273"/>
      <c r="G56" s="273"/>
      <c r="H56" s="273"/>
      <c r="I56" s="273"/>
      <c r="J56" s="47" t="str">
        <f ca="1">IF(AND('Mapa final'!$AB$7="Alta",'Mapa final'!$AD$7="Leve"),CONCATENATE("R1C",'Mapa final'!$R$7),"")</f>
        <v/>
      </c>
      <c r="K56" s="48" t="str">
        <f>IF(AND('Mapa final'!$AB$8="Alta",'Mapa final'!$AD$8="Leve"),CONCATENATE("R1C",'Mapa final'!$R$8),"")</f>
        <v/>
      </c>
      <c r="L56" s="109" t="str">
        <f>IF(AND('Mapa final'!$AB$9="Alta",'Mapa final'!$AD$9="Leve"),CONCATENATE("R1C",'Mapa final'!$R$9),"")</f>
        <v/>
      </c>
      <c r="M56" s="47" t="str">
        <f ca="1">IF(AND('Mapa final'!$AB$7="Alta",'Mapa final'!$AD$7="Menor"),CONCATENATE("R1C",'Mapa final'!$R$7),"")</f>
        <v/>
      </c>
      <c r="N56" s="48" t="str">
        <f>IF(AND('Mapa final'!$AB$8="Alta",'Mapa final'!$AD$8="Menor"),CONCATENATE("R1C",'Mapa final'!$R$8),"")</f>
        <v/>
      </c>
      <c r="O56" s="109" t="str">
        <f>IF(AND('Mapa final'!$AB$9="Alta",'Mapa final'!$AD$9="Menor"),CONCATENATE("R1C",'Mapa final'!$R$9),"")</f>
        <v/>
      </c>
      <c r="P56" s="101" t="str">
        <f ca="1">IF(AND('Mapa final'!$AB$7="Alta",'Mapa final'!$AD$7="Moderado"),CONCATENATE("R1C",'Mapa final'!$R$7),"")</f>
        <v/>
      </c>
      <c r="Q56" s="102" t="str">
        <f>IF(AND('Mapa final'!$AB$8="Alta",'Mapa final'!$AD$8="Moderado"),CONCATENATE("R1C",'Mapa final'!$R$8),"")</f>
        <v/>
      </c>
      <c r="R56" s="103" t="str">
        <f>IF(AND('Mapa final'!$AB$9="Alta",'Mapa final'!$AD$9="Moderado"),CONCATENATE("R1C",'Mapa final'!$R$9),"")</f>
        <v/>
      </c>
      <c r="S56" s="101" t="str">
        <f ca="1">IF(AND('Mapa final'!$AB$7="Alta",'Mapa final'!$AD$7="Mayor"),CONCATENATE("R1C",'Mapa final'!$R$7),"")</f>
        <v/>
      </c>
      <c r="T56" s="102" t="str">
        <f>IF(AND('Mapa final'!$AB$8="Alta",'Mapa final'!$AD$8="Mayor"),CONCATENATE("R1C",'Mapa final'!$R$8),"")</f>
        <v/>
      </c>
      <c r="U56" s="103" t="str">
        <f>IF(AND('Mapa final'!$AB$9="Alta",'Mapa final'!$AD$9="Mayor"),CONCATENATE("R1C",'Mapa final'!$R$9),"")</f>
        <v/>
      </c>
      <c r="V56" s="40" t="str">
        <f ca="1">IF(AND('Mapa final'!$AB$7="Alta",'Mapa final'!$AD$7="Catastrófico"),CONCATENATE("R1C",'Mapa final'!$R$7),"")</f>
        <v/>
      </c>
      <c r="W56" s="41" t="str">
        <f>IF(AND('Mapa final'!$AB$8="Alta",'Mapa final'!$AD$8="Catastrófico"),CONCATENATE("R1C",'Mapa final'!$R$8),"")</f>
        <v/>
      </c>
      <c r="X56" s="98" t="str">
        <f>IF(AND('Mapa final'!$AB$9="Alta",'Mapa final'!$AD$9="Catastrófico"),CONCATENATE("R1C",'Mapa final'!$R$9),"")</f>
        <v/>
      </c>
      <c r="Y56" s="56"/>
      <c r="Z56" s="266" t="s">
        <v>74</v>
      </c>
      <c r="AA56" s="267"/>
      <c r="AB56" s="267"/>
      <c r="AC56" s="267"/>
      <c r="AD56" s="267"/>
      <c r="AE56" s="268"/>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row>
    <row r="57" spans="1:61" ht="15" customHeight="1" x14ac:dyDescent="0.25">
      <c r="A57" s="56"/>
      <c r="B57" s="286"/>
      <c r="C57" s="286"/>
      <c r="D57" s="287"/>
      <c r="E57" s="274"/>
      <c r="F57" s="275"/>
      <c r="G57" s="275"/>
      <c r="H57" s="275"/>
      <c r="I57" s="275"/>
      <c r="J57" s="49" t="str">
        <f ca="1">IF(AND('Mapa final'!$AB$10="Alta",'Mapa final'!$AD$10="Leve"),CONCATENATE("R2C",'Mapa final'!$R$10),"")</f>
        <v/>
      </c>
      <c r="K57" s="50" t="str">
        <f>IF(AND('Mapa final'!$AB$11="Alta",'Mapa final'!$AD$11="Leve"),CONCATENATE("R2C",'Mapa final'!$R$11),"")</f>
        <v/>
      </c>
      <c r="L57" s="110" t="str">
        <f>IF(AND('Mapa final'!$AB$12="Alta",'Mapa final'!$AD$12="Leve"),CONCATENATE("R2C",'Mapa final'!$R$12),"")</f>
        <v/>
      </c>
      <c r="M57" s="49" t="str">
        <f ca="1">IF(AND('Mapa final'!$AB$10="Alta",'Mapa final'!$AD$10="Menor"),CONCATENATE("R2C",'Mapa final'!$R$10),"")</f>
        <v/>
      </c>
      <c r="N57" s="50" t="str">
        <f>IF(AND('Mapa final'!$AB$11="Alta",'Mapa final'!$AD$11="Menor"),CONCATENATE("R2C",'Mapa final'!$R$11),"")</f>
        <v/>
      </c>
      <c r="O57" s="110" t="str">
        <f>IF(AND('Mapa final'!$AB$12="Alta",'Mapa final'!$AD$12="Menor"),CONCATENATE("R2C",'Mapa final'!$R$12),"")</f>
        <v/>
      </c>
      <c r="P57" s="104" t="str">
        <f ca="1">IF(AND('Mapa final'!$AB$10="Alta",'Mapa final'!$AD$10="Moderado"),CONCATENATE("R2C",'Mapa final'!$R$10),"")</f>
        <v/>
      </c>
      <c r="Q57" s="42" t="str">
        <f>IF(AND('Mapa final'!$AB$11="Alta",'Mapa final'!$AD$11="Moderado"),CONCATENATE("R2C",'Mapa final'!$R$11),"")</f>
        <v/>
      </c>
      <c r="R57" s="105" t="str">
        <f>IF(AND('Mapa final'!$AB$12="Alta",'Mapa final'!$AD$12="Moderado"),CONCATENATE("R2C",'Mapa final'!$R$12),"")</f>
        <v/>
      </c>
      <c r="S57" s="104" t="str">
        <f ca="1">IF(AND('Mapa final'!$AB$10="Alta",'Mapa final'!$AD$10="Mayor"),CONCATENATE("R2C",'Mapa final'!$R$10),"")</f>
        <v/>
      </c>
      <c r="T57" s="42" t="str">
        <f>IF(AND('Mapa final'!$AB$11="Alta",'Mapa final'!$AD$11="Mayor"),CONCATENATE("R2C",'Mapa final'!$R$11),"")</f>
        <v/>
      </c>
      <c r="U57" s="105" t="str">
        <f>IF(AND('Mapa final'!$AB$12="Alta",'Mapa final'!$AD$12="Mayor"),CONCATENATE("R2C",'Mapa final'!$R$12),"")</f>
        <v/>
      </c>
      <c r="V57" s="43" t="str">
        <f ca="1">IF(AND('Mapa final'!$AB$10="Alta",'Mapa final'!$AD$10="Catastrófico"),CONCATENATE("R2C",'Mapa final'!$R$10),"")</f>
        <v/>
      </c>
      <c r="W57" s="44" t="str">
        <f>IF(AND('Mapa final'!$AB$11="Alta",'Mapa final'!$AD$11="Catastrófico"),CONCATENATE("R2C",'Mapa final'!$R$11),"")</f>
        <v/>
      </c>
      <c r="X57" s="99" t="str">
        <f>IF(AND('Mapa final'!$AB$12="Alta",'Mapa final'!$AD$12="Catastrófico"),CONCATENATE("R2C",'Mapa final'!$R$12),"")</f>
        <v/>
      </c>
      <c r="Y57" s="56"/>
      <c r="Z57" s="269"/>
      <c r="AA57" s="270"/>
      <c r="AB57" s="270"/>
      <c r="AC57" s="270"/>
      <c r="AD57" s="270"/>
      <c r="AE57" s="271"/>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row>
    <row r="58" spans="1:61" ht="15" customHeight="1" x14ac:dyDescent="0.25">
      <c r="A58" s="56"/>
      <c r="B58" s="286"/>
      <c r="C58" s="286"/>
      <c r="D58" s="287"/>
      <c r="E58" s="276"/>
      <c r="F58" s="275"/>
      <c r="G58" s="275"/>
      <c r="H58" s="275"/>
      <c r="I58" s="275"/>
      <c r="J58" s="49" t="str">
        <f ca="1">IF(AND('Mapa final'!$AB$13="Alta",'Mapa final'!$AD$13="Leve"),CONCATENATE("R3C",'Mapa final'!$R$13),"")</f>
        <v/>
      </c>
      <c r="K58" s="50" t="str">
        <f>IF(AND('Mapa final'!$AB$14="Alta",'Mapa final'!$AD$14="Leve"),CONCATENATE("R3C",'Mapa final'!$R$14),"")</f>
        <v/>
      </c>
      <c r="L58" s="110" t="str">
        <f>IF(AND('Mapa final'!$AB$15="Alta",'Mapa final'!$AD$15="Leve"),CONCATENATE("R3C",'Mapa final'!$R$15),"")</f>
        <v/>
      </c>
      <c r="M58" s="49" t="str">
        <f ca="1">IF(AND('Mapa final'!$AB$13="Alta",'Mapa final'!$AD$13="Menor"),CONCATENATE("R3C",'Mapa final'!$R$13),"")</f>
        <v/>
      </c>
      <c r="N58" s="50" t="str">
        <f>IF(AND('Mapa final'!$AB$14="Alta",'Mapa final'!$AD$14="Menor"),CONCATENATE("R3C",'Mapa final'!$R$14),"")</f>
        <v/>
      </c>
      <c r="O58" s="110" t="str">
        <f>IF(AND('Mapa final'!$AB$15="Alta",'Mapa final'!$AD$15="Menor"),CONCATENATE("R3C",'Mapa final'!$R$15),"")</f>
        <v/>
      </c>
      <c r="P58" s="104" t="str">
        <f ca="1">IF(AND('Mapa final'!$AB$13="Alta",'Mapa final'!$AD$13="Moderado"),CONCATENATE("R3C",'Mapa final'!$R$13),"")</f>
        <v/>
      </c>
      <c r="Q58" s="42" t="str">
        <f>IF(AND('Mapa final'!$AB$14="Alta",'Mapa final'!$AD$14="Moderado"),CONCATENATE("R3C",'Mapa final'!$R$14),"")</f>
        <v/>
      </c>
      <c r="R58" s="105" t="str">
        <f>IF(AND('Mapa final'!$AB$15="Alta",'Mapa final'!$AD$15="Moderado"),CONCATENATE("R3C",'Mapa final'!$R$15),"")</f>
        <v/>
      </c>
      <c r="S58" s="104" t="str">
        <f ca="1">IF(AND('Mapa final'!$AB$13="Alta",'Mapa final'!$AD$13="Mayor"),CONCATENATE("R3C",'Mapa final'!$R$13),"")</f>
        <v/>
      </c>
      <c r="T58" s="42" t="str">
        <f>IF(AND('Mapa final'!$AB$14="Alta",'Mapa final'!$AD$14="Mayor"),CONCATENATE("R3C",'Mapa final'!$R$14),"")</f>
        <v/>
      </c>
      <c r="U58" s="105" t="str">
        <f>IF(AND('Mapa final'!$AB$15="Alta",'Mapa final'!$AD$15="Mayor"),CONCATENATE("R3C",'Mapa final'!$R$15),"")</f>
        <v/>
      </c>
      <c r="V58" s="43" t="str">
        <f ca="1">IF(AND('Mapa final'!$AB$13="Alta",'Mapa final'!$AD$13="Catastrófico"),CONCATENATE("R3C",'Mapa final'!$R$13),"")</f>
        <v/>
      </c>
      <c r="W58" s="44" t="str">
        <f>IF(AND('Mapa final'!$AB$14="Alta",'Mapa final'!$AD$14="Catastrófico"),CONCATENATE("R3C",'Mapa final'!$R$14),"")</f>
        <v/>
      </c>
      <c r="X58" s="99" t="str">
        <f>IF(AND('Mapa final'!$AB$15="Alta",'Mapa final'!$AD$15="Catastrófico"),CONCATENATE("R3C",'Mapa final'!$R$15),"")</f>
        <v/>
      </c>
      <c r="Y58" s="56"/>
      <c r="Z58" s="269"/>
      <c r="AA58" s="270"/>
      <c r="AB58" s="270"/>
      <c r="AC58" s="270"/>
      <c r="AD58" s="270"/>
      <c r="AE58" s="271"/>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row>
    <row r="59" spans="1:61" ht="15" customHeight="1" x14ac:dyDescent="0.25">
      <c r="A59" s="56"/>
      <c r="B59" s="286"/>
      <c r="C59" s="286"/>
      <c r="D59" s="287"/>
      <c r="E59" s="276"/>
      <c r="F59" s="275"/>
      <c r="G59" s="275"/>
      <c r="H59" s="275"/>
      <c r="I59" s="275"/>
      <c r="J59" s="49" t="e">
        <f>IF(AND('Mapa final'!#REF!="Alta",'Mapa final'!#REF!="Leve"),CONCATENATE("R4C",'Mapa final'!#REF!),"")</f>
        <v>#REF!</v>
      </c>
      <c r="K59" s="50" t="e">
        <f>IF(AND('Mapa final'!#REF!="Alta",'Mapa final'!#REF!="Leve"),CONCATENATE("R4C",'Mapa final'!#REF!),"")</f>
        <v>#REF!</v>
      </c>
      <c r="L59" s="110" t="e">
        <f>IF(AND('Mapa final'!#REF!="Alta",'Mapa final'!#REF!="Leve"),CONCATENATE("R4C",'Mapa final'!#REF!),"")</f>
        <v>#REF!</v>
      </c>
      <c r="M59" s="49" t="e">
        <f>IF(AND('Mapa final'!#REF!="Alta",'Mapa final'!#REF!="Menor"),CONCATENATE("R4C",'Mapa final'!#REF!),"")</f>
        <v>#REF!</v>
      </c>
      <c r="N59" s="50" t="e">
        <f>IF(AND('Mapa final'!#REF!="Alta",'Mapa final'!#REF!="Menor"),CONCATENATE("R4C",'Mapa final'!#REF!),"")</f>
        <v>#REF!</v>
      </c>
      <c r="O59" s="110" t="e">
        <f>IF(AND('Mapa final'!#REF!="Alta",'Mapa final'!#REF!="Menor"),CONCATENATE("R4C",'Mapa final'!#REF!),"")</f>
        <v>#REF!</v>
      </c>
      <c r="P59" s="104" t="e">
        <f>IF(AND('Mapa final'!#REF!="Alta",'Mapa final'!#REF!="Moderado"),CONCATENATE("R4C",'Mapa final'!#REF!),"")</f>
        <v>#REF!</v>
      </c>
      <c r="Q59" s="42" t="e">
        <f>IF(AND('Mapa final'!#REF!="Alta",'Mapa final'!#REF!="Moderado"),CONCATENATE("R4C",'Mapa final'!#REF!),"")</f>
        <v>#REF!</v>
      </c>
      <c r="R59" s="105" t="e">
        <f>IF(AND('Mapa final'!#REF!="Alta",'Mapa final'!#REF!="Moderado"),CONCATENATE("R4C",'Mapa final'!#REF!),"")</f>
        <v>#REF!</v>
      </c>
      <c r="S59" s="104" t="e">
        <f>IF(AND('Mapa final'!#REF!="Alta",'Mapa final'!#REF!="Mayor"),CONCATENATE("R4C",'Mapa final'!#REF!),"")</f>
        <v>#REF!</v>
      </c>
      <c r="T59" s="42" t="e">
        <f>IF(AND('Mapa final'!#REF!="Alta",'Mapa final'!#REF!="Mayor"),CONCATENATE("R4C",'Mapa final'!#REF!),"")</f>
        <v>#REF!</v>
      </c>
      <c r="U59" s="105" t="e">
        <f>IF(AND('Mapa final'!#REF!="Alta",'Mapa final'!#REF!="Mayor"),CONCATENATE("R4C",'Mapa final'!#REF!),"")</f>
        <v>#REF!</v>
      </c>
      <c r="V59" s="43" t="e">
        <f>IF(AND('Mapa final'!#REF!="Alta",'Mapa final'!#REF!="Catastrófico"),CONCATENATE("R4C",'Mapa final'!#REF!),"")</f>
        <v>#REF!</v>
      </c>
      <c r="W59" s="44" t="e">
        <f>IF(AND('Mapa final'!#REF!="Alta",'Mapa final'!#REF!="Catastrófico"),CONCATENATE("R4C",'Mapa final'!#REF!),"")</f>
        <v>#REF!</v>
      </c>
      <c r="X59" s="99" t="e">
        <f>IF(AND('Mapa final'!#REF!="Alta",'Mapa final'!#REF!="Catastrófico"),CONCATENATE("R4C",'Mapa final'!#REF!),"")</f>
        <v>#REF!</v>
      </c>
      <c r="Y59" s="56"/>
      <c r="Z59" s="269"/>
      <c r="AA59" s="270"/>
      <c r="AB59" s="270"/>
      <c r="AC59" s="270"/>
      <c r="AD59" s="270"/>
      <c r="AE59" s="271"/>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row>
    <row r="60" spans="1:61" ht="12" customHeight="1" x14ac:dyDescent="0.25">
      <c r="A60" s="56"/>
      <c r="B60" s="286"/>
      <c r="C60" s="286"/>
      <c r="D60" s="287"/>
      <c r="E60" s="276"/>
      <c r="F60" s="275"/>
      <c r="G60" s="275"/>
      <c r="H60" s="275"/>
      <c r="I60" s="275"/>
      <c r="J60" s="49" t="e">
        <f>IF(AND('Mapa final'!#REF!="Alta",'Mapa final'!#REF!="Leve"),CONCATENATE("R5C",'Mapa final'!#REF!),"")</f>
        <v>#REF!</v>
      </c>
      <c r="K60" s="50" t="e">
        <f>IF(AND('Mapa final'!#REF!="Alta",'Mapa final'!#REF!="Leve"),CONCATENATE("R5C",'Mapa final'!#REF!),"")</f>
        <v>#REF!</v>
      </c>
      <c r="L60" s="110" t="e">
        <f>IF(AND('Mapa final'!#REF!="Alta",'Mapa final'!#REF!="Leve"),CONCATENATE("R5C",'Mapa final'!#REF!),"")</f>
        <v>#REF!</v>
      </c>
      <c r="M60" s="49" t="e">
        <f>IF(AND('Mapa final'!#REF!="Alta",'Mapa final'!#REF!="Menor"),CONCATENATE("R5C",'Mapa final'!#REF!),"")</f>
        <v>#REF!</v>
      </c>
      <c r="N60" s="50" t="e">
        <f>IF(AND('Mapa final'!#REF!="Alta",'Mapa final'!#REF!="Menor"),CONCATENATE("R5C",'Mapa final'!#REF!),"")</f>
        <v>#REF!</v>
      </c>
      <c r="O60" s="110" t="e">
        <f>IF(AND('Mapa final'!#REF!="Alta",'Mapa final'!#REF!="Menor"),CONCATENATE("R5C",'Mapa final'!#REF!),"")</f>
        <v>#REF!</v>
      </c>
      <c r="P60" s="104" t="e">
        <f>IF(AND('Mapa final'!#REF!="Alta",'Mapa final'!#REF!="Moderado"),CONCATENATE("R5C",'Mapa final'!#REF!),"")</f>
        <v>#REF!</v>
      </c>
      <c r="Q60" s="42" t="e">
        <f>IF(AND('Mapa final'!#REF!="Alta",'Mapa final'!#REF!="Moderado"),CONCATENATE("R5C",'Mapa final'!#REF!),"")</f>
        <v>#REF!</v>
      </c>
      <c r="R60" s="105" t="e">
        <f>IF(AND('Mapa final'!#REF!="Alta",'Mapa final'!#REF!="Moderado"),CONCATENATE("R5C",'Mapa final'!#REF!),"")</f>
        <v>#REF!</v>
      </c>
      <c r="S60" s="104" t="e">
        <f>IF(AND('Mapa final'!#REF!="Alta",'Mapa final'!#REF!="Mayor"),CONCATENATE("R5C",'Mapa final'!#REF!),"")</f>
        <v>#REF!</v>
      </c>
      <c r="T60" s="42" t="e">
        <f>IF(AND('Mapa final'!#REF!="Alta",'Mapa final'!#REF!="Mayor"),CONCATENATE("R5C",'Mapa final'!#REF!),"")</f>
        <v>#REF!</v>
      </c>
      <c r="U60" s="105" t="e">
        <f>IF(AND('Mapa final'!#REF!="Alta",'Mapa final'!#REF!="Mayor"),CONCATENATE("R5C",'Mapa final'!#REF!),"")</f>
        <v>#REF!</v>
      </c>
      <c r="V60" s="43" t="e">
        <f>IF(AND('Mapa final'!#REF!="Alta",'Mapa final'!#REF!="Catastrófico"),CONCATENATE("R5C",'Mapa final'!#REF!),"")</f>
        <v>#REF!</v>
      </c>
      <c r="W60" s="44" t="e">
        <f>IF(AND('Mapa final'!#REF!="Alta",'Mapa final'!#REF!="Catastrófico"),CONCATENATE("R5C",'Mapa final'!#REF!),"")</f>
        <v>#REF!</v>
      </c>
      <c r="X60" s="99" t="e">
        <f>IF(AND('Mapa final'!#REF!="Alta",'Mapa final'!#REF!="Catastrófico"),CONCATENATE("R5C",'Mapa final'!#REF!),"")</f>
        <v>#REF!</v>
      </c>
      <c r="Y60" s="56"/>
      <c r="Z60" s="269"/>
      <c r="AA60" s="270"/>
      <c r="AB60" s="270"/>
      <c r="AC60" s="270"/>
      <c r="AD60" s="270"/>
      <c r="AE60" s="271"/>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row>
    <row r="61" spans="1:61" ht="12" customHeight="1" x14ac:dyDescent="0.25">
      <c r="A61" s="56"/>
      <c r="B61" s="286"/>
      <c r="C61" s="286"/>
      <c r="D61" s="287"/>
      <c r="E61" s="276"/>
      <c r="F61" s="275"/>
      <c r="G61" s="275"/>
      <c r="H61" s="275"/>
      <c r="I61" s="275"/>
      <c r="J61" s="49" t="str">
        <f ca="1">IF(AND('Mapa final'!$AB$16="Alta",'Mapa final'!$AD$16="Leve"),CONCATENATE("R6C",'Mapa final'!$R$16),"")</f>
        <v/>
      </c>
      <c r="K61" s="50" t="str">
        <f>IF(AND('Mapa final'!$AB$17="Alta",'Mapa final'!$AD$17="Leve"),CONCATENATE("R6C",'Mapa final'!$R$17),"")</f>
        <v/>
      </c>
      <c r="L61" s="110" t="str">
        <f>IF(AND('Mapa final'!$AB$18="Alta",'Mapa final'!$AD$18="Leve"),CONCATENATE("R6C",'Mapa final'!$R$18),"")</f>
        <v/>
      </c>
      <c r="M61" s="49" t="str">
        <f ca="1">IF(AND('Mapa final'!$AB$16="Alta",'Mapa final'!$AD$16="Menor"),CONCATENATE("R6C",'Mapa final'!$R$16),"")</f>
        <v/>
      </c>
      <c r="N61" s="50" t="str">
        <f>IF(AND('Mapa final'!$AB$17="Alta",'Mapa final'!$AD$17="Menor"),CONCATENATE("R6C",'Mapa final'!$R$17),"")</f>
        <v/>
      </c>
      <c r="O61" s="110" t="str">
        <f>IF(AND('Mapa final'!$AB$18="Alta",'Mapa final'!$AD$18="Menor"),CONCATENATE("R6C",'Mapa final'!$R$18),"")</f>
        <v/>
      </c>
      <c r="P61" s="104" t="str">
        <f ca="1">IF(AND('Mapa final'!$AB$16="Alta",'Mapa final'!$AD$16="Moderado"),CONCATENATE("R6C",'Mapa final'!$R$16),"")</f>
        <v/>
      </c>
      <c r="Q61" s="42" t="str">
        <f>IF(AND('Mapa final'!$AB$17="Alta",'Mapa final'!$AD$17="Moderado"),CONCATENATE("R6C",'Mapa final'!$R$17),"")</f>
        <v/>
      </c>
      <c r="R61" s="105" t="str">
        <f>IF(AND('Mapa final'!$AB$18="Alta",'Mapa final'!$AD$18="Moderado"),CONCATENATE("R6C",'Mapa final'!$R$18),"")</f>
        <v/>
      </c>
      <c r="S61" s="104" t="str">
        <f ca="1">IF(AND('Mapa final'!$AB$16="Alta",'Mapa final'!$AD$16="Mayor"),CONCATENATE("R6C",'Mapa final'!$R$16),"")</f>
        <v/>
      </c>
      <c r="T61" s="42" t="str">
        <f>IF(AND('Mapa final'!$AB$17="Alta",'Mapa final'!$AD$17="Mayor"),CONCATENATE("R6C",'Mapa final'!$R$17),"")</f>
        <v/>
      </c>
      <c r="U61" s="105" t="str">
        <f>IF(AND('Mapa final'!$AB$18="Alta",'Mapa final'!$AD$18="Mayor"),CONCATENATE("R6C",'Mapa final'!$R$18),"")</f>
        <v/>
      </c>
      <c r="V61" s="43" t="str">
        <f ca="1">IF(AND('Mapa final'!$AB$16="Alta",'Mapa final'!$AD$16="Catastrófico"),CONCATENATE("R6C",'Mapa final'!$R$16),"")</f>
        <v/>
      </c>
      <c r="W61" s="44" t="str">
        <f>IF(AND('Mapa final'!$AB$17="Alta",'Mapa final'!$AD$17="Catastrófico"),CONCATENATE("R6C",'Mapa final'!$R$17),"")</f>
        <v/>
      </c>
      <c r="X61" s="99" t="str">
        <f>IF(AND('Mapa final'!$AB$18="Alta",'Mapa final'!$AD$18="Catastrófico"),CONCATENATE("R6C",'Mapa final'!$R$18),"")</f>
        <v/>
      </c>
      <c r="Y61" s="56"/>
      <c r="Z61" s="269"/>
      <c r="AA61" s="270"/>
      <c r="AB61" s="270"/>
      <c r="AC61" s="270"/>
      <c r="AD61" s="270"/>
      <c r="AE61" s="271"/>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row>
    <row r="62" spans="1:61" ht="12" customHeight="1" x14ac:dyDescent="0.25">
      <c r="A62" s="56"/>
      <c r="B62" s="286"/>
      <c r="C62" s="286"/>
      <c r="D62" s="287"/>
      <c r="E62" s="276"/>
      <c r="F62" s="275"/>
      <c r="G62" s="275"/>
      <c r="H62" s="275"/>
      <c r="I62" s="275"/>
      <c r="J62" s="49" t="str">
        <f ca="1">IF(AND('Mapa final'!$AB$19="Alta",'Mapa final'!$AD$19="Leve"),CONCATENATE("R7C",'Mapa final'!$R$19),"")</f>
        <v/>
      </c>
      <c r="K62" s="50" t="str">
        <f>IF(AND('Mapa final'!$AB$20="Alta",'Mapa final'!$AD$20="Leve"),CONCATENATE("R7C",'Mapa final'!$R$20),"")</f>
        <v/>
      </c>
      <c r="L62" s="110" t="str">
        <f>IF(AND('Mapa final'!$AB$21="Alta",'Mapa final'!$AD$21="Leve"),CONCATENATE("R7C",'Mapa final'!$R$21),"")</f>
        <v/>
      </c>
      <c r="M62" s="49" t="str">
        <f ca="1">IF(AND('Mapa final'!$AB$19="Alta",'Mapa final'!$AD$19="Menor"),CONCATENATE("R7C",'Mapa final'!$R$19),"")</f>
        <v/>
      </c>
      <c r="N62" s="50" t="str">
        <f>IF(AND('Mapa final'!$AB$20="Alta",'Mapa final'!$AD$20="Menor"),CONCATENATE("R7C",'Mapa final'!$R$20),"")</f>
        <v/>
      </c>
      <c r="O62" s="110" t="str">
        <f>IF(AND('Mapa final'!$AB$21="Alta",'Mapa final'!$AD$21="Menor"),CONCATENATE("R7C",'Mapa final'!$R$21),"")</f>
        <v/>
      </c>
      <c r="P62" s="104" t="str">
        <f ca="1">IF(AND('Mapa final'!$AB$19="Alta",'Mapa final'!$AD$19="Moderado"),CONCATENATE("R7C",'Mapa final'!$R$19),"")</f>
        <v/>
      </c>
      <c r="Q62" s="42" t="str">
        <f>IF(AND('Mapa final'!$AB$20="Alta",'Mapa final'!$AD$20="Moderado"),CONCATENATE("R7C",'Mapa final'!$R$20),"")</f>
        <v/>
      </c>
      <c r="R62" s="105" t="str">
        <f>IF(AND('Mapa final'!$AB$21="Alta",'Mapa final'!$AD$21="Moderado"),CONCATENATE("R7C",'Mapa final'!$R$21),"")</f>
        <v/>
      </c>
      <c r="S62" s="104" t="str">
        <f ca="1">IF(AND('Mapa final'!$AB$19="Alta",'Mapa final'!$AD$19="Mayor"),CONCATENATE("R7C",'Mapa final'!$R$19),"")</f>
        <v/>
      </c>
      <c r="T62" s="42" t="str">
        <f>IF(AND('Mapa final'!$AB$20="Alta",'Mapa final'!$AD$20="Mayor"),CONCATENATE("R7C",'Mapa final'!$R$20),"")</f>
        <v/>
      </c>
      <c r="U62" s="105" t="str">
        <f>IF(AND('Mapa final'!$AB$21="Alta",'Mapa final'!$AD$21="Mayor"),CONCATENATE("R7C",'Mapa final'!$R$21),"")</f>
        <v/>
      </c>
      <c r="V62" s="43" t="str">
        <f ca="1">IF(AND('Mapa final'!$AB$19="Alta",'Mapa final'!$AD$19="Catastrófico"),CONCATENATE("R7C",'Mapa final'!$R$19),"")</f>
        <v/>
      </c>
      <c r="W62" s="44" t="str">
        <f>IF(AND('Mapa final'!$AB$20="Alta",'Mapa final'!$AD$20="Catastrófico"),CONCATENATE("R7C",'Mapa final'!$R$20),"")</f>
        <v/>
      </c>
      <c r="X62" s="99" t="str">
        <f>IF(AND('Mapa final'!$AB$21="Alta",'Mapa final'!$AD$21="Catastrófico"),CONCATENATE("R7C",'Mapa final'!$R$21),"")</f>
        <v/>
      </c>
      <c r="Y62" s="56"/>
      <c r="Z62" s="269"/>
      <c r="AA62" s="270"/>
      <c r="AB62" s="270"/>
      <c r="AC62" s="270"/>
      <c r="AD62" s="270"/>
      <c r="AE62" s="271"/>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row>
    <row r="63" spans="1:61" ht="12" customHeight="1" x14ac:dyDescent="0.25">
      <c r="A63" s="56"/>
      <c r="B63" s="286"/>
      <c r="C63" s="286"/>
      <c r="D63" s="287"/>
      <c r="E63" s="276"/>
      <c r="F63" s="275"/>
      <c r="G63" s="275"/>
      <c r="H63" s="275"/>
      <c r="I63" s="275"/>
      <c r="J63" s="49" t="str">
        <f ca="1">IF(AND('Mapa final'!$AB$22="Alta",'Mapa final'!$AD$22="Leve"),CONCATENATE("R8C",'Mapa final'!$R$22),"")</f>
        <v/>
      </c>
      <c r="K63" s="50" t="str">
        <f>IF(AND('Mapa final'!$AB$23="Alta",'Mapa final'!$AD$23="Leve"),CONCATENATE("R8C",'Mapa final'!$R$23),"")</f>
        <v/>
      </c>
      <c r="L63" s="110" t="str">
        <f>IF(AND('Mapa final'!$AB$24="Alta",'Mapa final'!$AD$24="Leve"),CONCATENATE("R8C",'Mapa final'!$R$24),"")</f>
        <v/>
      </c>
      <c r="M63" s="49" t="str">
        <f ca="1">IF(AND('Mapa final'!$AB$22="Alta",'Mapa final'!$AD$22="Menor"),CONCATENATE("R8C",'Mapa final'!$R$22),"")</f>
        <v/>
      </c>
      <c r="N63" s="50" t="str">
        <f>IF(AND('Mapa final'!$AB$23="Alta",'Mapa final'!$AD$23="Menor"),CONCATENATE("R8C",'Mapa final'!$R$23),"")</f>
        <v/>
      </c>
      <c r="O63" s="110" t="str">
        <f>IF(AND('Mapa final'!$AB$24="Alta",'Mapa final'!$AD$24="Menor"),CONCATENATE("R8C",'Mapa final'!$R$24),"")</f>
        <v/>
      </c>
      <c r="P63" s="104" t="str">
        <f ca="1">IF(AND('Mapa final'!$AB$22="Alta",'Mapa final'!$AD$22="Moderado"),CONCATENATE("R8C",'Mapa final'!$R$22),"")</f>
        <v/>
      </c>
      <c r="Q63" s="42" t="str">
        <f>IF(AND('Mapa final'!$AB$23="Alta",'Mapa final'!$AD$23="Moderado"),CONCATENATE("R8C",'Mapa final'!$R$23),"")</f>
        <v/>
      </c>
      <c r="R63" s="105" t="str">
        <f>IF(AND('Mapa final'!$AB$24="Alta",'Mapa final'!$AD$24="Moderado"),CONCATENATE("R8C",'Mapa final'!$R$24),"")</f>
        <v/>
      </c>
      <c r="S63" s="104" t="str">
        <f ca="1">IF(AND('Mapa final'!$AB$22="Alta",'Mapa final'!$AD$22="Mayor"),CONCATENATE("R8C",'Mapa final'!$R$22),"")</f>
        <v/>
      </c>
      <c r="T63" s="42" t="str">
        <f>IF(AND('Mapa final'!$AB$23="Alta",'Mapa final'!$AD$23="Mayor"),CONCATENATE("R8C",'Mapa final'!$R$23),"")</f>
        <v/>
      </c>
      <c r="U63" s="105" t="str">
        <f>IF(AND('Mapa final'!$AB$24="Alta",'Mapa final'!$AD$24="Mayor"),CONCATENATE("R8C",'Mapa final'!$R$24),"")</f>
        <v/>
      </c>
      <c r="V63" s="43" t="str">
        <f ca="1">IF(AND('Mapa final'!$AB$22="Alta",'Mapa final'!$AD$22="Catastrófico"),CONCATENATE("R8C",'Mapa final'!$R$22),"")</f>
        <v/>
      </c>
      <c r="W63" s="44" t="str">
        <f>IF(AND('Mapa final'!$AB$23="Alta",'Mapa final'!$AD$23="Catastrófico"),CONCATENATE("R8C",'Mapa final'!$R$23),"")</f>
        <v/>
      </c>
      <c r="X63" s="99" t="str">
        <f>IF(AND('Mapa final'!$AB$24="Alta",'Mapa final'!$AD$24="Catastrófico"),CONCATENATE("R8C",'Mapa final'!$R$24),"")</f>
        <v/>
      </c>
      <c r="Y63" s="56"/>
      <c r="Z63" s="269"/>
      <c r="AA63" s="270"/>
      <c r="AB63" s="270"/>
      <c r="AC63" s="270"/>
      <c r="AD63" s="270"/>
      <c r="AE63" s="271"/>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row>
    <row r="64" spans="1:61" ht="12" customHeight="1" x14ac:dyDescent="0.25">
      <c r="A64" s="56"/>
      <c r="B64" s="286"/>
      <c r="C64" s="286"/>
      <c r="D64" s="287"/>
      <c r="E64" s="276"/>
      <c r="F64" s="275"/>
      <c r="G64" s="275"/>
      <c r="H64" s="275"/>
      <c r="I64" s="275"/>
      <c r="J64" s="49" t="str">
        <f ca="1">IF(AND('Mapa final'!$AB$25="Alta",'Mapa final'!$AD$25="Leve"),CONCATENATE("R9C",'Mapa final'!$R$25),"")</f>
        <v/>
      </c>
      <c r="K64" s="50" t="str">
        <f>IF(AND('Mapa final'!$AB$26="Alta",'Mapa final'!$AD$26="Leve"),CONCATENATE("R9C",'Mapa final'!$R$26),"")</f>
        <v/>
      </c>
      <c r="L64" s="110" t="str">
        <f>IF(AND('Mapa final'!$AB$27="Alta",'Mapa final'!$AD$27="Leve"),CONCATENATE("R9C",'Mapa final'!$R$27),"")</f>
        <v/>
      </c>
      <c r="M64" s="49" t="str">
        <f ca="1">IF(AND('Mapa final'!$AB$25="Alta",'Mapa final'!$AD$25="Menor"),CONCATENATE("R9C",'Mapa final'!$R$25),"")</f>
        <v/>
      </c>
      <c r="N64" s="50" t="str">
        <f>IF(AND('Mapa final'!$AB$26="Alta",'Mapa final'!$AD$26="Menor"),CONCATENATE("R9C",'Mapa final'!$R$26),"")</f>
        <v/>
      </c>
      <c r="O64" s="110" t="str">
        <f>IF(AND('Mapa final'!$AB$27="Alta",'Mapa final'!$AD$27="Menor"),CONCATENATE("R9C",'Mapa final'!$R$27),"")</f>
        <v/>
      </c>
      <c r="P64" s="104" t="str">
        <f ca="1">IF(AND('Mapa final'!$AB$25="Alta",'Mapa final'!$AD$25="Moderado"),CONCATENATE("R9C",'Mapa final'!$R$25),"")</f>
        <v/>
      </c>
      <c r="Q64" s="42" t="str">
        <f>IF(AND('Mapa final'!$AB$26="Alta",'Mapa final'!$AD$26="Moderado"),CONCATENATE("R9C",'Mapa final'!$R$26),"")</f>
        <v/>
      </c>
      <c r="R64" s="105" t="str">
        <f>IF(AND('Mapa final'!$AB$27="Alta",'Mapa final'!$AD$27="Moderado"),CONCATENATE("R9C",'Mapa final'!$R$27),"")</f>
        <v/>
      </c>
      <c r="S64" s="104" t="str">
        <f ca="1">IF(AND('Mapa final'!$AB$25="Alta",'Mapa final'!$AD$25="Mayor"),CONCATENATE("R9C",'Mapa final'!$R$25),"")</f>
        <v/>
      </c>
      <c r="T64" s="42" t="str">
        <f>IF(AND('Mapa final'!$AB$26="Alta",'Mapa final'!$AD$26="Mayor"),CONCATENATE("R9C",'Mapa final'!$R$26),"")</f>
        <v/>
      </c>
      <c r="U64" s="105" t="str">
        <f>IF(AND('Mapa final'!$AB$27="Alta",'Mapa final'!$AD$27="Mayor"),CONCATENATE("R9C",'Mapa final'!$R$27),"")</f>
        <v/>
      </c>
      <c r="V64" s="43" t="str">
        <f ca="1">IF(AND('Mapa final'!$AB$25="Alta",'Mapa final'!$AD$25="Catastrófico"),CONCATENATE("R9C",'Mapa final'!$R$25),"")</f>
        <v/>
      </c>
      <c r="W64" s="44" t="str">
        <f>IF(AND('Mapa final'!$AB$26="Alta",'Mapa final'!$AD$26="Catastrófico"),CONCATENATE("R9C",'Mapa final'!$R$26),"")</f>
        <v/>
      </c>
      <c r="X64" s="99" t="str">
        <f>IF(AND('Mapa final'!$AB$27="Alta",'Mapa final'!$AD$27="Catastrófico"),CONCATENATE("R9C",'Mapa final'!$R$27),"")</f>
        <v/>
      </c>
      <c r="Y64" s="56"/>
      <c r="Z64" s="269"/>
      <c r="AA64" s="270"/>
      <c r="AB64" s="270"/>
      <c r="AC64" s="270"/>
      <c r="AD64" s="270"/>
      <c r="AE64" s="271"/>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row>
    <row r="65" spans="1:61" ht="12" customHeight="1" x14ac:dyDescent="0.25">
      <c r="A65" s="56"/>
      <c r="B65" s="286"/>
      <c r="C65" s="286"/>
      <c r="D65" s="287"/>
      <c r="E65" s="276"/>
      <c r="F65" s="275"/>
      <c r="G65" s="275"/>
      <c r="H65" s="275"/>
      <c r="I65" s="275"/>
      <c r="J65" s="49" t="str">
        <f ca="1">IF(AND('Mapa final'!$AB$28="Alta",'Mapa final'!$AD$28="Leve"),CONCATENATE("R10C",'Mapa final'!$R$28),"")</f>
        <v/>
      </c>
      <c r="K65" s="50" t="str">
        <f>IF(AND('Mapa final'!$AB$29="Alta",'Mapa final'!$AD$29="Leve"),CONCATENATE("R10C",'Mapa final'!$R$29),"")</f>
        <v/>
      </c>
      <c r="L65" s="110" t="str">
        <f>IF(AND('Mapa final'!$AB$30="Alta",'Mapa final'!$AD$30="Leve"),CONCATENATE("R10C",'Mapa final'!$R$30),"")</f>
        <v/>
      </c>
      <c r="M65" s="49" t="str">
        <f ca="1">IF(AND('Mapa final'!$AB$28="Alta",'Mapa final'!$AD$28="Menor"),CONCATENATE("R10C",'Mapa final'!$R$28),"")</f>
        <v/>
      </c>
      <c r="N65" s="50" t="str">
        <f>IF(AND('Mapa final'!$AB$29="Alta",'Mapa final'!$AD$29="Menor"),CONCATENATE("R10C",'Mapa final'!$R$29),"")</f>
        <v/>
      </c>
      <c r="O65" s="110" t="str">
        <f>IF(AND('Mapa final'!$AB$30="Alta",'Mapa final'!$AD$30="Menor"),CONCATENATE("R10C",'Mapa final'!$R$30),"")</f>
        <v/>
      </c>
      <c r="P65" s="104" t="str">
        <f ca="1">IF(AND('Mapa final'!$AB$28="Alta",'Mapa final'!$AD$28="Moderado"),CONCATENATE("R10C",'Mapa final'!$R$28),"")</f>
        <v/>
      </c>
      <c r="Q65" s="42" t="str">
        <f>IF(AND('Mapa final'!$AB$29="Alta",'Mapa final'!$AD$29="Moderado"),CONCATENATE("R10C",'Mapa final'!$R$29),"")</f>
        <v/>
      </c>
      <c r="R65" s="105" t="str">
        <f>IF(AND('Mapa final'!$AB$30="Alta",'Mapa final'!$AD$30="Moderado"),CONCATENATE("R10C",'Mapa final'!$R$30),"")</f>
        <v/>
      </c>
      <c r="S65" s="104" t="str">
        <f ca="1">IF(AND('Mapa final'!$AB$28="Alta",'Mapa final'!$AD$28="Mayor"),CONCATENATE("R10C",'Mapa final'!$R$28),"")</f>
        <v/>
      </c>
      <c r="T65" s="42" t="str">
        <f>IF(AND('Mapa final'!$AB$29="Alta",'Mapa final'!$AD$29="Mayor"),CONCATENATE("R10C",'Mapa final'!$R$29),"")</f>
        <v/>
      </c>
      <c r="U65" s="105" t="str">
        <f>IF(AND('Mapa final'!$AB$30="Alta",'Mapa final'!$AD$30="Mayor"),CONCATENATE("R10C",'Mapa final'!$R$30),"")</f>
        <v/>
      </c>
      <c r="V65" s="43" t="str">
        <f ca="1">IF(AND('Mapa final'!$AB$28="Alta",'Mapa final'!$AD$28="Catastrófico"),CONCATENATE("R10C",'Mapa final'!$R$28),"")</f>
        <v/>
      </c>
      <c r="W65" s="44" t="str">
        <f>IF(AND('Mapa final'!$AB$29="Alta",'Mapa final'!$AD$29="Catastrófico"),CONCATENATE("R10C",'Mapa final'!$R$29),"")</f>
        <v/>
      </c>
      <c r="X65" s="99" t="str">
        <f>IF(AND('Mapa final'!$AB$30="Alta",'Mapa final'!$AD$30="Catastrófico"),CONCATENATE("R10C",'Mapa final'!$R$30),"")</f>
        <v/>
      </c>
      <c r="Y65" s="56"/>
      <c r="Z65" s="269"/>
      <c r="AA65" s="270"/>
      <c r="AB65" s="270"/>
      <c r="AC65" s="270"/>
      <c r="AD65" s="270"/>
      <c r="AE65" s="271"/>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row>
    <row r="66" spans="1:61" ht="12" customHeight="1" x14ac:dyDescent="0.25">
      <c r="A66" s="56"/>
      <c r="B66" s="286"/>
      <c r="C66" s="286"/>
      <c r="D66" s="287"/>
      <c r="E66" s="276"/>
      <c r="F66" s="275"/>
      <c r="G66" s="275"/>
      <c r="H66" s="275"/>
      <c r="I66" s="275"/>
      <c r="J66" s="49" t="str">
        <f ca="1">IF(AND('Mapa final'!$AB$31="Alta",'Mapa final'!$AD$31="Leve"),CONCATENATE("R11C",'Mapa final'!$R$31),"")</f>
        <v/>
      </c>
      <c r="K66" s="50" t="str">
        <f>IF(AND('Mapa final'!$AB$32="Alta",'Mapa final'!$AD$32="Leve"),CONCATENATE("R11C",'Mapa final'!$R$32),"")</f>
        <v/>
      </c>
      <c r="L66" s="110" t="str">
        <f>IF(AND('Mapa final'!$AB$33="Alta",'Mapa final'!$AD$33="Leve"),CONCATENATE("R11C",'Mapa final'!$R$33),"")</f>
        <v/>
      </c>
      <c r="M66" s="49" t="str">
        <f ca="1">IF(AND('Mapa final'!$AB$31="Alta",'Mapa final'!$AD$31="Menor"),CONCATENATE("R11C",'Mapa final'!$R$31),"")</f>
        <v/>
      </c>
      <c r="N66" s="50" t="str">
        <f>IF(AND('Mapa final'!$AB$32="Alta",'Mapa final'!$AD$32="Menor"),CONCATENATE("R11C",'Mapa final'!$R$32),"")</f>
        <v/>
      </c>
      <c r="O66" s="110" t="str">
        <f>IF(AND('Mapa final'!$AB$33="Alta",'Mapa final'!$AD$33="Menor"),CONCATENATE("R11C",'Mapa final'!$R$33),"")</f>
        <v/>
      </c>
      <c r="P66" s="104" t="str">
        <f ca="1">IF(AND('Mapa final'!$AB$31="Alta",'Mapa final'!$AD$31="Moderado"),CONCATENATE("R11C",'Mapa final'!$R$31),"")</f>
        <v/>
      </c>
      <c r="Q66" s="42" t="str">
        <f>IF(AND('Mapa final'!$AB$32="Alta",'Mapa final'!$AD$32="Moderado"),CONCATENATE("R11C",'Mapa final'!$R$32),"")</f>
        <v/>
      </c>
      <c r="R66" s="105" t="str">
        <f>IF(AND('Mapa final'!$AB$33="Alta",'Mapa final'!$AD$33="Moderado"),CONCATENATE("R11C",'Mapa final'!$R$33),"")</f>
        <v/>
      </c>
      <c r="S66" s="104" t="str">
        <f ca="1">IF(AND('Mapa final'!$AB$31="Alta",'Mapa final'!$AD$31="Mayor"),CONCATENATE("R11C",'Mapa final'!$R$31),"")</f>
        <v/>
      </c>
      <c r="T66" s="42" t="str">
        <f>IF(AND('Mapa final'!$AB$32="Alta",'Mapa final'!$AD$32="Mayor"),CONCATENATE("R11C",'Mapa final'!$R$32),"")</f>
        <v/>
      </c>
      <c r="U66" s="105" t="str">
        <f>IF(AND('Mapa final'!$AB$33="Alta",'Mapa final'!$AD$33="Mayor"),CONCATENATE("R11C",'Mapa final'!$R$33),"")</f>
        <v/>
      </c>
      <c r="V66" s="43" t="str">
        <f ca="1">IF(AND('Mapa final'!$AB$31="Alta",'Mapa final'!$AD$31="Catastrófico"),CONCATENATE("R11C",'Mapa final'!$R$31),"")</f>
        <v/>
      </c>
      <c r="W66" s="44" t="str">
        <f>IF(AND('Mapa final'!$AB$32="Alta",'Mapa final'!$AD$32="Catastrófico"),CONCATENATE("R11C",'Mapa final'!$R$32),"")</f>
        <v/>
      </c>
      <c r="X66" s="99" t="str">
        <f>IF(AND('Mapa final'!$AB$33="Alta",'Mapa final'!$AD$33="Catastrófico"),CONCATENATE("R11C",'Mapa final'!$R$33),"")</f>
        <v/>
      </c>
      <c r="Y66" s="56"/>
      <c r="Z66" s="269"/>
      <c r="AA66" s="270"/>
      <c r="AB66" s="270"/>
      <c r="AC66" s="270"/>
      <c r="AD66" s="270"/>
      <c r="AE66" s="271"/>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row>
    <row r="67" spans="1:61" ht="12" customHeight="1" x14ac:dyDescent="0.25">
      <c r="A67" s="56"/>
      <c r="B67" s="286"/>
      <c r="C67" s="286"/>
      <c r="D67" s="287"/>
      <c r="E67" s="276"/>
      <c r="F67" s="275"/>
      <c r="G67" s="275"/>
      <c r="H67" s="275"/>
      <c r="I67" s="275"/>
      <c r="J67" s="49" t="str">
        <f ca="1">IF(AND('Mapa final'!$AB$34="Alta",'Mapa final'!$AD$34="Leve"),CONCATENATE("R12C",'Mapa final'!$R$34),"")</f>
        <v/>
      </c>
      <c r="K67" s="50" t="str">
        <f>IF(AND('Mapa final'!$AB$35="Alta",'Mapa final'!$AD$35="Leve"),CONCATENATE("R12C",'Mapa final'!$R$35),"")</f>
        <v/>
      </c>
      <c r="L67" s="110" t="str">
        <f>IF(AND('Mapa final'!$AB$36="Alta",'Mapa final'!$AD$36="Leve"),CONCATENATE("R12C",'Mapa final'!$R$36),"")</f>
        <v/>
      </c>
      <c r="M67" s="49" t="str">
        <f ca="1">IF(AND('Mapa final'!$AB$34="Alta",'Mapa final'!$AD$34="Menor"),CONCATENATE("R12C",'Mapa final'!$R$34),"")</f>
        <v/>
      </c>
      <c r="N67" s="50" t="str">
        <f>IF(AND('Mapa final'!$AB$35="Alta",'Mapa final'!$AD$35="Menor"),CONCATENATE("R12C",'Mapa final'!$R$35),"")</f>
        <v/>
      </c>
      <c r="O67" s="110" t="str">
        <f>IF(AND('Mapa final'!$AB$36="Alta",'Mapa final'!$AD$36="Menor"),CONCATENATE("R12C",'Mapa final'!$R$36),"")</f>
        <v/>
      </c>
      <c r="P67" s="104" t="str">
        <f ca="1">IF(AND('Mapa final'!$AB$34="Alta",'Mapa final'!$AD$34="Moderado"),CONCATENATE("R12C",'Mapa final'!$R$34),"")</f>
        <v/>
      </c>
      <c r="Q67" s="42" t="str">
        <f>IF(AND('Mapa final'!$AB$35="Alta",'Mapa final'!$AD$35="Moderado"),CONCATENATE("R12C",'Mapa final'!$R$35),"")</f>
        <v/>
      </c>
      <c r="R67" s="105" t="str">
        <f>IF(AND('Mapa final'!$AB$36="Alta",'Mapa final'!$AD$36="Moderado"),CONCATENATE("R12C",'Mapa final'!$R$36),"")</f>
        <v/>
      </c>
      <c r="S67" s="104" t="str">
        <f ca="1">IF(AND('Mapa final'!$AB$34="Alta",'Mapa final'!$AD$34="Mayor"),CONCATENATE("R12C",'Mapa final'!$R$34),"")</f>
        <v/>
      </c>
      <c r="T67" s="42" t="str">
        <f>IF(AND('Mapa final'!$AB$35="Alta",'Mapa final'!$AD$35="Mayor"),CONCATENATE("R12C",'Mapa final'!$R$35),"")</f>
        <v/>
      </c>
      <c r="U67" s="105" t="str">
        <f>IF(AND('Mapa final'!$AB$36="Alta",'Mapa final'!$AD$36="Mayor"),CONCATENATE("R12C",'Mapa final'!$R$36),"")</f>
        <v/>
      </c>
      <c r="V67" s="43" t="str">
        <f ca="1">IF(AND('Mapa final'!$AB$34="Alta",'Mapa final'!$AD$34="Catastrófico"),CONCATENATE("R12C",'Mapa final'!$R$34),"")</f>
        <v/>
      </c>
      <c r="W67" s="44" t="str">
        <f>IF(AND('Mapa final'!$AB$35="Alta",'Mapa final'!$AD$35="Catastrófico"),CONCATENATE("R12C",'Mapa final'!$R$35),"")</f>
        <v/>
      </c>
      <c r="X67" s="99" t="str">
        <f>IF(AND('Mapa final'!$AB$36="Alta",'Mapa final'!$AD$36="Catastrófico"),CONCATENATE("R12C",'Mapa final'!$R$36),"")</f>
        <v/>
      </c>
      <c r="Y67" s="56"/>
      <c r="Z67" s="269"/>
      <c r="AA67" s="270"/>
      <c r="AB67" s="270"/>
      <c r="AC67" s="270"/>
      <c r="AD67" s="270"/>
      <c r="AE67" s="271"/>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row>
    <row r="68" spans="1:61" ht="12" customHeight="1" x14ac:dyDescent="0.25">
      <c r="A68" s="56"/>
      <c r="B68" s="286"/>
      <c r="C68" s="286"/>
      <c r="D68" s="287"/>
      <c r="E68" s="276"/>
      <c r="F68" s="275"/>
      <c r="G68" s="275"/>
      <c r="H68" s="275"/>
      <c r="I68" s="275"/>
      <c r="J68" s="49" t="str">
        <f ca="1">IF(AND('Mapa final'!$AB$37="Alta",'Mapa final'!$AD$37="Leve"),CONCATENATE("R13C",'Mapa final'!$R$37),"")</f>
        <v/>
      </c>
      <c r="K68" s="50" t="str">
        <f>IF(AND('Mapa final'!$AB$38="Alta",'Mapa final'!$AD$38="Leve"),CONCATENATE("R13C",'Mapa final'!$R$38),"")</f>
        <v/>
      </c>
      <c r="L68" s="110" t="str">
        <f>IF(AND('Mapa final'!$AB$39="Alta",'Mapa final'!$AD$39="Leve"),CONCATENATE("R13C",'Mapa final'!$R$39),"")</f>
        <v/>
      </c>
      <c r="M68" s="49" t="str">
        <f ca="1">IF(AND('Mapa final'!$AB$37="Alta",'Mapa final'!$AD$37="Menor"),CONCATENATE("R13C",'Mapa final'!$R$37),"")</f>
        <v/>
      </c>
      <c r="N68" s="50" t="str">
        <f>IF(AND('Mapa final'!$AB$38="Alta",'Mapa final'!$AD$38="Menor"),CONCATENATE("R13C",'Mapa final'!$R$38),"")</f>
        <v/>
      </c>
      <c r="O68" s="110" t="str">
        <f>IF(AND('Mapa final'!$AB$39="Alta",'Mapa final'!$AD$39="Menor"),CONCATENATE("R13C",'Mapa final'!$R$39),"")</f>
        <v/>
      </c>
      <c r="P68" s="104" t="str">
        <f ca="1">IF(AND('Mapa final'!$AB$37="Alta",'Mapa final'!$AD$37="Moderado"),CONCATENATE("R13C",'Mapa final'!$R$37),"")</f>
        <v/>
      </c>
      <c r="Q68" s="42" t="str">
        <f>IF(AND('Mapa final'!$AB$38="Alta",'Mapa final'!$AD$38="Moderado"),CONCATENATE("R13C",'Mapa final'!$R$38),"")</f>
        <v/>
      </c>
      <c r="R68" s="105" t="str">
        <f>IF(AND('Mapa final'!$AB$39="Alta",'Mapa final'!$AD$39="Moderado"),CONCATENATE("R13C",'Mapa final'!$R$39),"")</f>
        <v/>
      </c>
      <c r="S68" s="104" t="str">
        <f ca="1">IF(AND('Mapa final'!$AB$37="Alta",'Mapa final'!$AD$37="Mayor"),CONCATENATE("R13C",'Mapa final'!$R$37),"")</f>
        <v/>
      </c>
      <c r="T68" s="42" t="str">
        <f>IF(AND('Mapa final'!$AB$38="Alta",'Mapa final'!$AD$38="Mayor"),CONCATENATE("R13C",'Mapa final'!$R$38),"")</f>
        <v/>
      </c>
      <c r="U68" s="105" t="str">
        <f>IF(AND('Mapa final'!$AB$39="Alta",'Mapa final'!$AD$39="Mayor"),CONCATENATE("R13C",'Mapa final'!$R$39),"")</f>
        <v/>
      </c>
      <c r="V68" s="43" t="str">
        <f ca="1">IF(AND('Mapa final'!$AB$37="Alta",'Mapa final'!$AD$37="Catastrófico"),CONCATENATE("R13C",'Mapa final'!$R$37),"")</f>
        <v/>
      </c>
      <c r="W68" s="44" t="str">
        <f>IF(AND('Mapa final'!$AB$38="Alta",'Mapa final'!$AD$38="Catastrófico"),CONCATENATE("R13C",'Mapa final'!$R$38),"")</f>
        <v/>
      </c>
      <c r="X68" s="99" t="str">
        <f>IF(AND('Mapa final'!$AB$39="Alta",'Mapa final'!$AD$39="Catastrófico"),CONCATENATE("R13C",'Mapa final'!$R$39),"")</f>
        <v/>
      </c>
      <c r="Y68" s="56"/>
      <c r="Z68" s="269"/>
      <c r="AA68" s="270"/>
      <c r="AB68" s="270"/>
      <c r="AC68" s="270"/>
      <c r="AD68" s="270"/>
      <c r="AE68" s="271"/>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row>
    <row r="69" spans="1:61" ht="12" customHeight="1" x14ac:dyDescent="0.25">
      <c r="A69" s="56"/>
      <c r="B69" s="286"/>
      <c r="C69" s="286"/>
      <c r="D69" s="287"/>
      <c r="E69" s="276"/>
      <c r="F69" s="275"/>
      <c r="G69" s="275"/>
      <c r="H69" s="275"/>
      <c r="I69" s="275"/>
      <c r="J69" s="49" t="str">
        <f ca="1">IF(AND('Mapa final'!$AB$40="Alta",'Mapa final'!$AD$40="Leve"),CONCATENATE("R14C",'Mapa final'!$R$40),"")</f>
        <v/>
      </c>
      <c r="K69" s="50" t="str">
        <f>IF(AND('Mapa final'!$AB$41="Alta",'Mapa final'!$AD$41="Leve"),CONCATENATE("R14C",'Mapa final'!$R$41),"")</f>
        <v/>
      </c>
      <c r="L69" s="110" t="str">
        <f>IF(AND('Mapa final'!$AB$42="Alta",'Mapa final'!$AD$42="Leve"),CONCATENATE("R14C",'Mapa final'!$R$42),"")</f>
        <v/>
      </c>
      <c r="M69" s="49" t="str">
        <f ca="1">IF(AND('Mapa final'!$AB$40="Alta",'Mapa final'!$AD$40="Menor"),CONCATENATE("R14C",'Mapa final'!$R$40),"")</f>
        <v/>
      </c>
      <c r="N69" s="50" t="str">
        <f>IF(AND('Mapa final'!$AB$41="Alta",'Mapa final'!$AD$41="Menor"),CONCATENATE("R14C",'Mapa final'!$R$41),"")</f>
        <v/>
      </c>
      <c r="O69" s="110" t="str">
        <f>IF(AND('Mapa final'!$AB$42="Alta",'Mapa final'!$AD$42="Menor"),CONCATENATE("R14C",'Mapa final'!$R$42),"")</f>
        <v/>
      </c>
      <c r="P69" s="104" t="str">
        <f ca="1">IF(AND('Mapa final'!$AB$40="Alta",'Mapa final'!$AD$40="Moderado"),CONCATENATE("R14C",'Mapa final'!$R$40),"")</f>
        <v/>
      </c>
      <c r="Q69" s="42" t="str">
        <f>IF(AND('Mapa final'!$AB$41="Alta",'Mapa final'!$AD$41="Moderado"),CONCATENATE("R14C",'Mapa final'!$R$41),"")</f>
        <v/>
      </c>
      <c r="R69" s="105" t="str">
        <f>IF(AND('Mapa final'!$AB$42="Alta",'Mapa final'!$AD$42="Moderado"),CONCATENATE("R14C",'Mapa final'!$R$42),"")</f>
        <v/>
      </c>
      <c r="S69" s="104" t="str">
        <f ca="1">IF(AND('Mapa final'!$AB$40="Alta",'Mapa final'!$AD$40="Mayor"),CONCATENATE("R14C",'Mapa final'!$R$40),"")</f>
        <v/>
      </c>
      <c r="T69" s="42" t="str">
        <f>IF(AND('Mapa final'!$AB$41="Alta",'Mapa final'!$AD$41="Mayor"),CONCATENATE("R14C",'Mapa final'!$R$41),"")</f>
        <v/>
      </c>
      <c r="U69" s="105" t="str">
        <f>IF(AND('Mapa final'!$AB$42="Alta",'Mapa final'!$AD$42="Mayor"),CONCATENATE("R14C",'Mapa final'!$R$42),"")</f>
        <v/>
      </c>
      <c r="V69" s="43" t="str">
        <f ca="1">IF(AND('Mapa final'!$AB$40="Alta",'Mapa final'!$AD$40="Catastrófico"),CONCATENATE("R14C",'Mapa final'!$R$40),"")</f>
        <v/>
      </c>
      <c r="W69" s="44" t="str">
        <f>IF(AND('Mapa final'!$AB$41="Alta",'Mapa final'!$AD$41="Catastrófico"),CONCATENATE("R14C",'Mapa final'!$R$41),"")</f>
        <v/>
      </c>
      <c r="X69" s="99" t="str">
        <f>IF(AND('Mapa final'!$AB$42="Alta",'Mapa final'!$AD$42="Catastrófico"),CONCATENATE("R14C",'Mapa final'!$R$42),"")</f>
        <v/>
      </c>
      <c r="Y69" s="56"/>
      <c r="Z69" s="269"/>
      <c r="AA69" s="270"/>
      <c r="AB69" s="270"/>
      <c r="AC69" s="270"/>
      <c r="AD69" s="270"/>
      <c r="AE69" s="271"/>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row>
    <row r="70" spans="1:61" ht="15" customHeight="1" x14ac:dyDescent="0.25">
      <c r="A70" s="56"/>
      <c r="B70" s="286"/>
      <c r="C70" s="286"/>
      <c r="D70" s="287"/>
      <c r="E70" s="276"/>
      <c r="F70" s="275"/>
      <c r="G70" s="275"/>
      <c r="H70" s="275"/>
      <c r="I70" s="275"/>
      <c r="J70" s="49" t="str">
        <f ca="1">IF(AND('Mapa final'!$AB$43="Alta",'Mapa final'!$AD$43="Leve"),CONCATENATE("R15C",'Mapa final'!$R$43),"")</f>
        <v/>
      </c>
      <c r="K70" s="50" t="str">
        <f>IF(AND('Mapa final'!$AB$44="Alta",'Mapa final'!$AD$44="Leve"),CONCATENATE("R15C",'Mapa final'!$R$44),"")</f>
        <v/>
      </c>
      <c r="L70" s="110" t="str">
        <f>IF(AND('Mapa final'!$AB$45="Alta",'Mapa final'!$AD$45="Leve"),CONCATENATE("R15C",'Mapa final'!$R$45),"")</f>
        <v/>
      </c>
      <c r="M70" s="49" t="str">
        <f ca="1">IF(AND('Mapa final'!$AB$43="Alta",'Mapa final'!$AD$43="Menor"),CONCATENATE("R15C",'Mapa final'!$R$43),"")</f>
        <v/>
      </c>
      <c r="N70" s="50" t="str">
        <f>IF(AND('Mapa final'!$AB$44="Alta",'Mapa final'!$AD$44="Menor"),CONCATENATE("R15C",'Mapa final'!$R$44),"")</f>
        <v/>
      </c>
      <c r="O70" s="110" t="str">
        <f>IF(AND('Mapa final'!$AB$45="Alta",'Mapa final'!$AD$45="Menor"),CONCATENATE("R15C",'Mapa final'!$R$45),"")</f>
        <v/>
      </c>
      <c r="P70" s="104" t="str">
        <f ca="1">IF(AND('Mapa final'!$AB$43="Alta",'Mapa final'!$AD$43="Moderado"),CONCATENATE("R15C",'Mapa final'!$R$43),"")</f>
        <v/>
      </c>
      <c r="Q70" s="42" t="str">
        <f>IF(AND('Mapa final'!$AB$44="Alta",'Mapa final'!$AD$44="Moderado"),CONCATENATE("R15C",'Mapa final'!$R$44),"")</f>
        <v/>
      </c>
      <c r="R70" s="105" t="str">
        <f>IF(AND('Mapa final'!$AB$45="Alta",'Mapa final'!$AD$45="Moderado"),CONCATENATE("R15C",'Mapa final'!$R$45),"")</f>
        <v/>
      </c>
      <c r="S70" s="104" t="str">
        <f ca="1">IF(AND('Mapa final'!$AB$43="Alta",'Mapa final'!$AD$43="Mayor"),CONCATENATE("R15C",'Mapa final'!$R$43),"")</f>
        <v/>
      </c>
      <c r="T70" s="42" t="str">
        <f>IF(AND('Mapa final'!$AB$44="Alta",'Mapa final'!$AD$44="Mayor"),CONCATENATE("R15C",'Mapa final'!$R$44),"")</f>
        <v/>
      </c>
      <c r="U70" s="105" t="str">
        <f>IF(AND('Mapa final'!$AB$45="Alta",'Mapa final'!$AD$45="Mayor"),CONCATENATE("R15C",'Mapa final'!$R$45),"")</f>
        <v/>
      </c>
      <c r="V70" s="43" t="str">
        <f ca="1">IF(AND('Mapa final'!$AB$43="Alta",'Mapa final'!$AD$43="Catastrófico"),CONCATENATE("R15C",'Mapa final'!$R$43),"")</f>
        <v/>
      </c>
      <c r="W70" s="44" t="str">
        <f>IF(AND('Mapa final'!$AB$44="Alta",'Mapa final'!$AD$44="Catastrófico"),CONCATENATE("R15C",'Mapa final'!$R$44),"")</f>
        <v/>
      </c>
      <c r="X70" s="99" t="str">
        <f>IF(AND('Mapa final'!$AB$45="Alta",'Mapa final'!$AD$45="Catastrófico"),CONCATENATE("R15C",'Mapa final'!$R$45),"")</f>
        <v/>
      </c>
      <c r="Y70" s="56"/>
      <c r="Z70" s="269"/>
      <c r="AA70" s="270"/>
      <c r="AB70" s="270"/>
      <c r="AC70" s="270"/>
      <c r="AD70" s="270"/>
      <c r="AE70" s="271"/>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row>
    <row r="71" spans="1:61" ht="15" customHeight="1" x14ac:dyDescent="0.25">
      <c r="A71" s="56"/>
      <c r="B71" s="286"/>
      <c r="C71" s="286"/>
      <c r="D71" s="287"/>
      <c r="E71" s="276"/>
      <c r="F71" s="275"/>
      <c r="G71" s="275"/>
      <c r="H71" s="275"/>
      <c r="I71" s="275"/>
      <c r="J71" s="49" t="str">
        <f ca="1">IF(AND('Mapa final'!$AB$46="Alta",'Mapa final'!$AD$46="Leve"),CONCATENATE("R16C",'Mapa final'!$R$46),"")</f>
        <v/>
      </c>
      <c r="K71" s="50" t="str">
        <f>IF(AND('Mapa final'!$AB$47="Alta",'Mapa final'!$AD$47="Leve"),CONCATENATE("R16C",'Mapa final'!$R$47),"")</f>
        <v/>
      </c>
      <c r="L71" s="110" t="str">
        <f>IF(AND('Mapa final'!$AB$48="Alta",'Mapa final'!$AD$48="Leve"),CONCATENATE("R16C",'Mapa final'!$R$48),"")</f>
        <v/>
      </c>
      <c r="M71" s="49" t="str">
        <f ca="1">IF(AND('Mapa final'!$AB$46="Alta",'Mapa final'!$AD$46="Menor"),CONCATENATE("R16C",'Mapa final'!$R$46),"")</f>
        <v/>
      </c>
      <c r="N71" s="50" t="str">
        <f>IF(AND('Mapa final'!$AB$47="Alta",'Mapa final'!$AD$47="Menor"),CONCATENATE("R16C",'Mapa final'!$R$47),"")</f>
        <v/>
      </c>
      <c r="O71" s="110" t="str">
        <f>IF(AND('Mapa final'!$AB$48="Alta",'Mapa final'!$AD$48="Menor"),CONCATENATE("R16C",'Mapa final'!$R$48),"")</f>
        <v/>
      </c>
      <c r="P71" s="104" t="str">
        <f ca="1">IF(AND('Mapa final'!$AB$46="Alta",'Mapa final'!$AD$46="Moderado"),CONCATENATE("R16C",'Mapa final'!$R$46),"")</f>
        <v/>
      </c>
      <c r="Q71" s="42" t="str">
        <f>IF(AND('Mapa final'!$AB$47="Alta",'Mapa final'!$AD$47="Moderado"),CONCATENATE("R16C",'Mapa final'!$R$47),"")</f>
        <v/>
      </c>
      <c r="R71" s="105" t="str">
        <f>IF(AND('Mapa final'!$AB$48="Alta",'Mapa final'!$AD$48="Moderado"),CONCATENATE("R16C",'Mapa final'!$R$48),"")</f>
        <v/>
      </c>
      <c r="S71" s="104" t="str">
        <f ca="1">IF(AND('Mapa final'!$AB$46="Alta",'Mapa final'!$AD$46="Mayor"),CONCATENATE("R16C",'Mapa final'!$R$46),"")</f>
        <v/>
      </c>
      <c r="T71" s="42" t="str">
        <f>IF(AND('Mapa final'!$AB$47="Alta",'Mapa final'!$AD$47="Mayor"),CONCATENATE("R16C",'Mapa final'!$R$47),"")</f>
        <v/>
      </c>
      <c r="U71" s="105" t="str">
        <f>IF(AND('Mapa final'!$AB$48="Alta",'Mapa final'!$AD$48="Mayor"),CONCATENATE("R16C",'Mapa final'!$R$48),"")</f>
        <v/>
      </c>
      <c r="V71" s="43" t="str">
        <f ca="1">IF(AND('Mapa final'!$AB$46="Alta",'Mapa final'!$AD$46="Catastrófico"),CONCATENATE("R16C",'Mapa final'!$R$46),"")</f>
        <v/>
      </c>
      <c r="W71" s="44" t="str">
        <f>IF(AND('Mapa final'!$AB$47="Alta",'Mapa final'!$AD$47="Catastrófico"),CONCATENATE("R16C",'Mapa final'!$R$47),"")</f>
        <v/>
      </c>
      <c r="X71" s="99" t="str">
        <f>IF(AND('Mapa final'!$AB$48="Alta",'Mapa final'!$AD$48="Catastrófico"),CONCATENATE("R16C",'Mapa final'!$R$48),"")</f>
        <v/>
      </c>
      <c r="Y71" s="56"/>
      <c r="Z71" s="269"/>
      <c r="AA71" s="270"/>
      <c r="AB71" s="270"/>
      <c r="AC71" s="270"/>
      <c r="AD71" s="270"/>
      <c r="AE71" s="271"/>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row>
    <row r="72" spans="1:61" ht="15" customHeight="1" x14ac:dyDescent="0.25">
      <c r="A72" s="56"/>
      <c r="B72" s="286"/>
      <c r="C72" s="286"/>
      <c r="D72" s="287"/>
      <c r="E72" s="276"/>
      <c r="F72" s="275"/>
      <c r="G72" s="275"/>
      <c r="H72" s="275"/>
      <c r="I72" s="275"/>
      <c r="J72" s="49" t="str">
        <f ca="1">IF(AND('Mapa final'!$AB$49="Alta",'Mapa final'!$AD$49="Leve"),CONCATENATE("R17C",'Mapa final'!$R$49),"")</f>
        <v/>
      </c>
      <c r="K72" s="50" t="str">
        <f>IF(AND('Mapa final'!$AB$50="Alta",'Mapa final'!$AD$50="Leve"),CONCATENATE("R17C",'Mapa final'!$R$50),"")</f>
        <v/>
      </c>
      <c r="L72" s="110" t="str">
        <f>IF(AND('Mapa final'!$AB$51="Alta",'Mapa final'!$AD$51="Leve"),CONCATENATE("R17C",'Mapa final'!$R$51),"")</f>
        <v/>
      </c>
      <c r="M72" s="49" t="str">
        <f ca="1">IF(AND('Mapa final'!$AB$49="Alta",'Mapa final'!$AD$49="Menor"),CONCATENATE("R17C",'Mapa final'!$R$49),"")</f>
        <v/>
      </c>
      <c r="N72" s="50" t="str">
        <f>IF(AND('Mapa final'!$AB$50="Alta",'Mapa final'!$AD$50="Menor"),CONCATENATE("R17C",'Mapa final'!$R$50),"")</f>
        <v/>
      </c>
      <c r="O72" s="110" t="str">
        <f>IF(AND('Mapa final'!$AB$51="Alta",'Mapa final'!$AD$51="Menor"),CONCATENATE("R17C",'Mapa final'!$R$51),"")</f>
        <v/>
      </c>
      <c r="P72" s="104" t="str">
        <f ca="1">IF(AND('Mapa final'!$AB$49="Alta",'Mapa final'!$AD$49="Moderado"),CONCATENATE("R17C",'Mapa final'!$R$49),"")</f>
        <v/>
      </c>
      <c r="Q72" s="42" t="str">
        <f>IF(AND('Mapa final'!$AB$50="Alta",'Mapa final'!$AD$50="Moderado"),CONCATENATE("R17C",'Mapa final'!$R$50),"")</f>
        <v/>
      </c>
      <c r="R72" s="105" t="str">
        <f>IF(AND('Mapa final'!$AB$51="Alta",'Mapa final'!$AD$51="Moderado"),CONCATENATE("R17C",'Mapa final'!$R$51),"")</f>
        <v/>
      </c>
      <c r="S72" s="104" t="str">
        <f ca="1">IF(AND('Mapa final'!$AB$49="Alta",'Mapa final'!$AD$49="Mayor"),CONCATENATE("R17C",'Mapa final'!$R$49),"")</f>
        <v/>
      </c>
      <c r="T72" s="42" t="str">
        <f>IF(AND('Mapa final'!$AB$50="Alta",'Mapa final'!$AD$50="Mayor"),CONCATENATE("R17C",'Mapa final'!$R$50),"")</f>
        <v/>
      </c>
      <c r="U72" s="105" t="str">
        <f>IF(AND('Mapa final'!$AB$51="Alta",'Mapa final'!$AD$51="Mayor"),CONCATENATE("R17C",'Mapa final'!$R$51),"")</f>
        <v/>
      </c>
      <c r="V72" s="43" t="str">
        <f ca="1">IF(AND('Mapa final'!$AB$49="Alta",'Mapa final'!$AD$49="Catastrófico"),CONCATENATE("R17C",'Mapa final'!$R$49),"")</f>
        <v/>
      </c>
      <c r="W72" s="44" t="str">
        <f>IF(AND('Mapa final'!$AB$50="Alta",'Mapa final'!$AD$50="Catastrófico"),CONCATENATE("R17C",'Mapa final'!$R$50),"")</f>
        <v/>
      </c>
      <c r="X72" s="99" t="str">
        <f>IF(AND('Mapa final'!$AB$51="Alta",'Mapa final'!$AD$51="Catastrófico"),CONCATENATE("R17C",'Mapa final'!$R$51),"")</f>
        <v/>
      </c>
      <c r="Y72" s="56"/>
      <c r="Z72" s="269"/>
      <c r="AA72" s="270"/>
      <c r="AB72" s="270"/>
      <c r="AC72" s="270"/>
      <c r="AD72" s="270"/>
      <c r="AE72" s="271"/>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row>
    <row r="73" spans="1:61" ht="15" customHeight="1" x14ac:dyDescent="0.25">
      <c r="A73" s="56"/>
      <c r="B73" s="286"/>
      <c r="C73" s="286"/>
      <c r="D73" s="287"/>
      <c r="E73" s="276"/>
      <c r="F73" s="275"/>
      <c r="G73" s="275"/>
      <c r="H73" s="275"/>
      <c r="I73" s="275"/>
      <c r="J73" s="49" t="str">
        <f ca="1">IF(AND('Mapa final'!$AB$52="Alta",'Mapa final'!$AD$52="Leve"),CONCATENATE("R18C",'Mapa final'!$R$52),"")</f>
        <v/>
      </c>
      <c r="K73" s="50" t="str">
        <f>IF(AND('Mapa final'!$AB$53="Alta",'Mapa final'!$AD$53="Leve"),CONCATENATE("R18C",'Mapa final'!$R$53),"")</f>
        <v/>
      </c>
      <c r="L73" s="110" t="str">
        <f>IF(AND('Mapa final'!$AB$54="Alta",'Mapa final'!$AD$54="Leve"),CONCATENATE("R18C",'Mapa final'!$R$54),"")</f>
        <v/>
      </c>
      <c r="M73" s="49" t="str">
        <f ca="1">IF(AND('Mapa final'!$AB$52="Alta",'Mapa final'!$AD$52="Menor"),CONCATENATE("R18C",'Mapa final'!$R$52),"")</f>
        <v/>
      </c>
      <c r="N73" s="50" t="str">
        <f>IF(AND('Mapa final'!$AB$53="Alta",'Mapa final'!$AD$53="Menor"),CONCATENATE("R18C",'Mapa final'!$R$53),"")</f>
        <v/>
      </c>
      <c r="O73" s="110" t="str">
        <f>IF(AND('Mapa final'!$AB$54="Alta",'Mapa final'!$AD$54="Menor"),CONCATENATE("R18C",'Mapa final'!$R$54),"")</f>
        <v/>
      </c>
      <c r="P73" s="104" t="str">
        <f ca="1">IF(AND('Mapa final'!$AB$52="Alta",'Mapa final'!$AD$52="Moderado"),CONCATENATE("R18C",'Mapa final'!$R$52),"")</f>
        <v/>
      </c>
      <c r="Q73" s="42" t="str">
        <f>IF(AND('Mapa final'!$AB$53="Alta",'Mapa final'!$AD$53="Moderado"),CONCATENATE("R18C",'Mapa final'!$R$53),"")</f>
        <v/>
      </c>
      <c r="R73" s="105" t="str">
        <f>IF(AND('Mapa final'!$AB$54="Alta",'Mapa final'!$AD$54="Moderado"),CONCATENATE("R18C",'Mapa final'!$R$54),"")</f>
        <v/>
      </c>
      <c r="S73" s="104" t="str">
        <f ca="1">IF(AND('Mapa final'!$AB$52="Alta",'Mapa final'!$AD$52="Mayor"),CONCATENATE("R18C",'Mapa final'!$R$52),"")</f>
        <v/>
      </c>
      <c r="T73" s="42" t="str">
        <f>IF(AND('Mapa final'!$AB$53="Alta",'Mapa final'!$AD$53="Mayor"),CONCATENATE("R18C",'Mapa final'!$R$53),"")</f>
        <v/>
      </c>
      <c r="U73" s="105" t="str">
        <f>IF(AND('Mapa final'!$AB$54="Alta",'Mapa final'!$AD$54="Mayor"),CONCATENATE("R18C",'Mapa final'!$R$54),"")</f>
        <v/>
      </c>
      <c r="V73" s="43" t="str">
        <f ca="1">IF(AND('Mapa final'!$AB$52="Alta",'Mapa final'!$AD$52="Catastrófico"),CONCATENATE("R18C",'Mapa final'!$R$52),"")</f>
        <v/>
      </c>
      <c r="W73" s="44" t="str">
        <f>IF(AND('Mapa final'!$AB$53="Alta",'Mapa final'!$AD$53="Catastrófico"),CONCATENATE("R18C",'Mapa final'!$R$53),"")</f>
        <v/>
      </c>
      <c r="X73" s="99" t="str">
        <f>IF(AND('Mapa final'!$AB$54="Alta",'Mapa final'!$AD$54="Catastrófico"),CONCATENATE("R18C",'Mapa final'!$R$54),"")</f>
        <v/>
      </c>
      <c r="Y73" s="56"/>
      <c r="Z73" s="269"/>
      <c r="AA73" s="270"/>
      <c r="AB73" s="270"/>
      <c r="AC73" s="270"/>
      <c r="AD73" s="270"/>
      <c r="AE73" s="271"/>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row>
    <row r="74" spans="1:61" ht="15" customHeight="1" x14ac:dyDescent="0.25">
      <c r="A74" s="56"/>
      <c r="B74" s="286"/>
      <c r="C74" s="286"/>
      <c r="D74" s="287"/>
      <c r="E74" s="276"/>
      <c r="F74" s="275"/>
      <c r="G74" s="275"/>
      <c r="H74" s="275"/>
      <c r="I74" s="275"/>
      <c r="J74" s="49" t="str">
        <f ca="1">IF(AND('Mapa final'!$AB$55="Alta",'Mapa final'!$AD$55="Leve"),CONCATENATE("R19C",'Mapa final'!$R$55),"")</f>
        <v/>
      </c>
      <c r="K74" s="50" t="str">
        <f>IF(AND('Mapa final'!$AB$56="Alta",'Mapa final'!$AD$56="Leve"),CONCATENATE("R19C",'Mapa final'!$R$56),"")</f>
        <v/>
      </c>
      <c r="L74" s="110" t="str">
        <f>IF(AND('Mapa final'!$AB$57="Alta",'Mapa final'!$AD$57="Leve"),CONCATENATE("R19C",'Mapa final'!$R$57),"")</f>
        <v/>
      </c>
      <c r="M74" s="49" t="str">
        <f ca="1">IF(AND('Mapa final'!$AB$55="Alta",'Mapa final'!$AD$55="Menor"),CONCATENATE("R19C",'Mapa final'!$R$55),"")</f>
        <v/>
      </c>
      <c r="N74" s="50" t="str">
        <f>IF(AND('Mapa final'!$AB$56="Alta",'Mapa final'!$AD$56="Menor"),CONCATENATE("R19C",'Mapa final'!$R$56),"")</f>
        <v/>
      </c>
      <c r="O74" s="110" t="str">
        <f>IF(AND('Mapa final'!$AB$57="Alta",'Mapa final'!$AD$57="Menor"),CONCATENATE("R19C",'Mapa final'!$R$57),"")</f>
        <v/>
      </c>
      <c r="P74" s="104" t="str">
        <f ca="1">IF(AND('Mapa final'!$AB$55="Alta",'Mapa final'!$AD$55="Moderado"),CONCATENATE("R19C",'Mapa final'!$R$55),"")</f>
        <v/>
      </c>
      <c r="Q74" s="42" t="str">
        <f>IF(AND('Mapa final'!$AB$56="Alta",'Mapa final'!$AD$56="Moderado"),CONCATENATE("R19C",'Mapa final'!$R$56),"")</f>
        <v/>
      </c>
      <c r="R74" s="105" t="str">
        <f>IF(AND('Mapa final'!$AB$57="Alta",'Mapa final'!$AD$57="Moderado"),CONCATENATE("R19C",'Mapa final'!$R$57),"")</f>
        <v/>
      </c>
      <c r="S74" s="104" t="str">
        <f ca="1">IF(AND('Mapa final'!$AB$55="Alta",'Mapa final'!$AD$55="Mayor"),CONCATENATE("R19C",'Mapa final'!$R$55),"")</f>
        <v/>
      </c>
      <c r="T74" s="42" t="str">
        <f>IF(AND('Mapa final'!$AB$56="Alta",'Mapa final'!$AD$56="Mayor"),CONCATENATE("R19C",'Mapa final'!$R$56),"")</f>
        <v/>
      </c>
      <c r="U74" s="105" t="str">
        <f>IF(AND('Mapa final'!$AB$57="Alta",'Mapa final'!$AD$57="Mayor"),CONCATENATE("R19C",'Mapa final'!$R$57),"")</f>
        <v/>
      </c>
      <c r="V74" s="43" t="str">
        <f ca="1">IF(AND('Mapa final'!$AB$55="Alta",'Mapa final'!$AD$55="Catastrófico"),CONCATENATE("R19C",'Mapa final'!$R$55),"")</f>
        <v/>
      </c>
      <c r="W74" s="44" t="str">
        <f>IF(AND('Mapa final'!$AB$56="Alta",'Mapa final'!$AD$56="Catastrófico"),CONCATENATE("R19C",'Mapa final'!$R$56),"")</f>
        <v/>
      </c>
      <c r="X74" s="99" t="str">
        <f>IF(AND('Mapa final'!$AB$57="Alta",'Mapa final'!$AD$57="Catastrófico"),CONCATENATE("R19C",'Mapa final'!$R$57),"")</f>
        <v/>
      </c>
      <c r="Y74" s="56"/>
      <c r="Z74" s="269"/>
      <c r="AA74" s="270"/>
      <c r="AB74" s="270"/>
      <c r="AC74" s="270"/>
      <c r="AD74" s="270"/>
      <c r="AE74" s="271"/>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row>
    <row r="75" spans="1:61" ht="15" customHeight="1" x14ac:dyDescent="0.25">
      <c r="A75" s="56"/>
      <c r="B75" s="286"/>
      <c r="C75" s="286"/>
      <c r="D75" s="287"/>
      <c r="E75" s="276"/>
      <c r="F75" s="275"/>
      <c r="G75" s="275"/>
      <c r="H75" s="275"/>
      <c r="I75" s="275"/>
      <c r="J75" s="49" t="str">
        <f ca="1">IF(AND('Mapa final'!$AB$58="Alta",'Mapa final'!$AD$58="Leve"),CONCATENATE("R20C",'Mapa final'!$R$58),"")</f>
        <v/>
      </c>
      <c r="K75" s="50" t="str">
        <f>IF(AND('Mapa final'!$AB$59="Alta",'Mapa final'!$AD$59="Leve"),CONCATENATE("R20C",'Mapa final'!$R$59),"")</f>
        <v/>
      </c>
      <c r="L75" s="110" t="str">
        <f>IF(AND('Mapa final'!$AB$60="Alta",'Mapa final'!$AD$60="Leve"),CONCATENATE("R20C",'Mapa final'!$R$60),"")</f>
        <v/>
      </c>
      <c r="M75" s="49" t="str">
        <f ca="1">IF(AND('Mapa final'!$AB$58="Alta",'Mapa final'!$AD$58="Menor"),CONCATENATE("R20C",'Mapa final'!$R$58),"")</f>
        <v/>
      </c>
      <c r="N75" s="50" t="str">
        <f>IF(AND('Mapa final'!$AB$59="Alta",'Mapa final'!$AD$59="Menor"),CONCATENATE("R20C",'Mapa final'!$R$59),"")</f>
        <v/>
      </c>
      <c r="O75" s="110" t="str">
        <f>IF(AND('Mapa final'!$AB$60="Alta",'Mapa final'!$AD$60="Menor"),CONCATENATE("R20C",'Mapa final'!$R$60),"")</f>
        <v/>
      </c>
      <c r="P75" s="104" t="str">
        <f ca="1">IF(AND('Mapa final'!$AB$58="Alta",'Mapa final'!$AD$58="Moderado"),CONCATENATE("R20C",'Mapa final'!$R$58),"")</f>
        <v/>
      </c>
      <c r="Q75" s="42" t="str">
        <f>IF(AND('Mapa final'!$AB$59="Alta",'Mapa final'!$AD$59="Moderado"),CONCATENATE("R20C",'Mapa final'!$R$59),"")</f>
        <v/>
      </c>
      <c r="R75" s="105" t="str">
        <f>IF(AND('Mapa final'!$AB$60="Alta",'Mapa final'!$AD$60="Moderado"),CONCATENATE("R20C",'Mapa final'!$R$60),"")</f>
        <v/>
      </c>
      <c r="S75" s="104" t="str">
        <f ca="1">IF(AND('Mapa final'!$AB$58="Alta",'Mapa final'!$AD$58="Mayor"),CONCATENATE("R20C",'Mapa final'!$R$58),"")</f>
        <v/>
      </c>
      <c r="T75" s="42" t="str">
        <f>IF(AND('Mapa final'!$AB$59="Alta",'Mapa final'!$AD$59="Mayor"),CONCATENATE("R20C",'Mapa final'!$R$59),"")</f>
        <v/>
      </c>
      <c r="U75" s="105" t="str">
        <f>IF(AND('Mapa final'!$AB$60="Alta",'Mapa final'!$AD$60="Mayor"),CONCATENATE("R20C",'Mapa final'!$R$60),"")</f>
        <v/>
      </c>
      <c r="V75" s="43" t="str">
        <f ca="1">IF(AND('Mapa final'!$AB$58="Alta",'Mapa final'!$AD$58="Catastrófico"),CONCATENATE("R20C",'Mapa final'!$R$58),"")</f>
        <v/>
      </c>
      <c r="W75" s="44" t="str">
        <f>IF(AND('Mapa final'!$AB$59="Alta",'Mapa final'!$AD$59="Catastrófico"),CONCATENATE("R20C",'Mapa final'!$R$59),"")</f>
        <v/>
      </c>
      <c r="X75" s="99" t="str">
        <f>IF(AND('Mapa final'!$AB$60="Alta",'Mapa final'!$AD$60="Catastrófico"),CONCATENATE("R20C",'Mapa final'!$R$60),"")</f>
        <v/>
      </c>
      <c r="Y75" s="56"/>
      <c r="Z75" s="269"/>
      <c r="AA75" s="270"/>
      <c r="AB75" s="270"/>
      <c r="AC75" s="270"/>
      <c r="AD75" s="270"/>
      <c r="AE75" s="271"/>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row>
    <row r="76" spans="1:61" ht="15" customHeight="1" x14ac:dyDescent="0.25">
      <c r="A76" s="56"/>
      <c r="B76" s="286"/>
      <c r="C76" s="286"/>
      <c r="D76" s="287"/>
      <c r="E76" s="276"/>
      <c r="F76" s="275"/>
      <c r="G76" s="275"/>
      <c r="H76" s="275"/>
      <c r="I76" s="275"/>
      <c r="J76" s="49" t="str">
        <f ca="1">IF(AND('Mapa final'!$AB$61="Alta",'Mapa final'!$AD$61="Leve"),CONCATENATE("R21C",'Mapa final'!$R$61),"")</f>
        <v/>
      </c>
      <c r="K76" s="50" t="str">
        <f>IF(AND('Mapa final'!$AB$62="Alta",'Mapa final'!$AD$62="Leve"),CONCATENATE("R21C",'Mapa final'!$R$62),"")</f>
        <v/>
      </c>
      <c r="L76" s="110" t="str">
        <f>IF(AND('Mapa final'!$AB$63="Alta",'Mapa final'!$AD$63="Leve"),CONCATENATE("R21C",'Mapa final'!$R$63),"")</f>
        <v/>
      </c>
      <c r="M76" s="49" t="str">
        <f ca="1">IF(AND('Mapa final'!$AB$61="Alta",'Mapa final'!$AD$61="Menor"),CONCATENATE("R21C",'Mapa final'!$R$61),"")</f>
        <v/>
      </c>
      <c r="N76" s="50" t="str">
        <f>IF(AND('Mapa final'!$AB$62="Alta",'Mapa final'!$AD$62="Menor"),CONCATENATE("R21C",'Mapa final'!$R$62),"")</f>
        <v/>
      </c>
      <c r="O76" s="110" t="str">
        <f>IF(AND('Mapa final'!$AB$63="Alta",'Mapa final'!$AD$63="Menor"),CONCATENATE("R21C",'Mapa final'!$R$63),"")</f>
        <v/>
      </c>
      <c r="P76" s="104" t="str">
        <f ca="1">IF(AND('Mapa final'!$AB$61="Alta",'Mapa final'!$AD$61="Moderado"),CONCATENATE("R21C",'Mapa final'!$R$61),"")</f>
        <v/>
      </c>
      <c r="Q76" s="42" t="str">
        <f>IF(AND('Mapa final'!$AB$62="Alta",'Mapa final'!$AD$62="Moderado"),CONCATENATE("R21C",'Mapa final'!$R$62),"")</f>
        <v/>
      </c>
      <c r="R76" s="105" t="str">
        <f>IF(AND('Mapa final'!$AB$63="Alta",'Mapa final'!$AD$63="Moderado"),CONCATENATE("R21C",'Mapa final'!$R$63),"")</f>
        <v/>
      </c>
      <c r="S76" s="104" t="str">
        <f ca="1">IF(AND('Mapa final'!$AB$61="Alta",'Mapa final'!$AD$61="Mayor"),CONCATENATE("R21C",'Mapa final'!$R$61),"")</f>
        <v/>
      </c>
      <c r="T76" s="42" t="str">
        <f>IF(AND('Mapa final'!$AB$62="Alta",'Mapa final'!$AD$62="Mayor"),CONCATENATE("R21C",'Mapa final'!$R$62),"")</f>
        <v/>
      </c>
      <c r="U76" s="105" t="str">
        <f>IF(AND('Mapa final'!$AB$63="Alta",'Mapa final'!$AD$63="Mayor"),CONCATENATE("R21C",'Mapa final'!$R$63),"")</f>
        <v/>
      </c>
      <c r="V76" s="43" t="str">
        <f ca="1">IF(AND('Mapa final'!$AB$61="Alta",'Mapa final'!$AD$61="Catastrófico"),CONCATENATE("R21C",'Mapa final'!$R$61),"")</f>
        <v/>
      </c>
      <c r="W76" s="44" t="str">
        <f>IF(AND('Mapa final'!$AB$62="Alta",'Mapa final'!$AD$62="Catastrófico"),CONCATENATE("R21C",'Mapa final'!$R$62),"")</f>
        <v/>
      </c>
      <c r="X76" s="99" t="str">
        <f>IF(AND('Mapa final'!$AB$63="Alta",'Mapa final'!$AD$63="Catastrófico"),CONCATENATE("R21C",'Mapa final'!$R$63),"")</f>
        <v/>
      </c>
      <c r="Y76" s="56"/>
      <c r="Z76" s="269"/>
      <c r="AA76" s="270"/>
      <c r="AB76" s="270"/>
      <c r="AC76" s="270"/>
      <c r="AD76" s="270"/>
      <c r="AE76" s="271"/>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row>
    <row r="77" spans="1:61" ht="15" customHeight="1" x14ac:dyDescent="0.25">
      <c r="A77" s="56"/>
      <c r="B77" s="286"/>
      <c r="C77" s="286"/>
      <c r="D77" s="287"/>
      <c r="E77" s="276"/>
      <c r="F77" s="275"/>
      <c r="G77" s="275"/>
      <c r="H77" s="275"/>
      <c r="I77" s="275"/>
      <c r="J77" s="49" t="str">
        <f ca="1">IF(AND('Mapa final'!$AB$64="Alta",'Mapa final'!$AD$64="Leve"),CONCATENATE("R22C",'Mapa final'!$R$64),"")</f>
        <v/>
      </c>
      <c r="K77" s="50" t="str">
        <f>IF(AND('Mapa final'!$AB$65="Alta",'Mapa final'!$AD$65="Leve"),CONCATENATE("R22C",'Mapa final'!$R$65),"")</f>
        <v/>
      </c>
      <c r="L77" s="110" t="str">
        <f>IF(AND('Mapa final'!$AB$66="Alta",'Mapa final'!$AD$66="Leve"),CONCATENATE("R22C",'Mapa final'!$R$66),"")</f>
        <v/>
      </c>
      <c r="M77" s="49" t="str">
        <f ca="1">IF(AND('Mapa final'!$AB$64="Alta",'Mapa final'!$AD$64="Menor"),CONCATENATE("R22C",'Mapa final'!$R$64),"")</f>
        <v/>
      </c>
      <c r="N77" s="50" t="str">
        <f>IF(AND('Mapa final'!$AB$65="Alta",'Mapa final'!$AD$65="Menor"),CONCATENATE("R22C",'Mapa final'!$R$65),"")</f>
        <v/>
      </c>
      <c r="O77" s="110" t="str">
        <f>IF(AND('Mapa final'!$AB$66="Alta",'Mapa final'!$AD$66="Menor"),CONCATENATE("R22C",'Mapa final'!$R$66),"")</f>
        <v/>
      </c>
      <c r="P77" s="104" t="str">
        <f ca="1">IF(AND('Mapa final'!$AB$64="Alta",'Mapa final'!$AD$64="Moderado"),CONCATENATE("R22C",'Mapa final'!$R$64),"")</f>
        <v/>
      </c>
      <c r="Q77" s="42" t="str">
        <f>IF(AND('Mapa final'!$AB$65="Alta",'Mapa final'!$AD$65="Moderado"),CONCATENATE("R22C",'Mapa final'!$R$65),"")</f>
        <v/>
      </c>
      <c r="R77" s="105" t="str">
        <f>IF(AND('Mapa final'!$AB$66="Alta",'Mapa final'!$AD$66="Moderado"),CONCATENATE("R22C",'Mapa final'!$R$66),"")</f>
        <v/>
      </c>
      <c r="S77" s="104" t="str">
        <f ca="1">IF(AND('Mapa final'!$AB$64="Alta",'Mapa final'!$AD$64="Mayor"),CONCATENATE("R22C",'Mapa final'!$R$64),"")</f>
        <v/>
      </c>
      <c r="T77" s="42" t="str">
        <f>IF(AND('Mapa final'!$AB$65="Alta",'Mapa final'!$AD$65="Mayor"),CONCATENATE("R22C",'Mapa final'!$R$65),"")</f>
        <v/>
      </c>
      <c r="U77" s="105" t="str">
        <f>IF(AND('Mapa final'!$AB$66="Alta",'Mapa final'!$AD$66="Mayor"),CONCATENATE("R22C",'Mapa final'!$R$66),"")</f>
        <v/>
      </c>
      <c r="V77" s="43" t="str">
        <f ca="1">IF(AND('Mapa final'!$AB$64="Alta",'Mapa final'!$AD$64="Catastrófico"),CONCATENATE("R22C",'Mapa final'!$R$64),"")</f>
        <v/>
      </c>
      <c r="W77" s="44" t="str">
        <f>IF(AND('Mapa final'!$AB$65="Alta",'Mapa final'!$AD$65="Catastrófico"),CONCATENATE("R22C",'Mapa final'!$R$65),"")</f>
        <v/>
      </c>
      <c r="X77" s="99" t="str">
        <f>IF(AND('Mapa final'!$AB$66="Alta",'Mapa final'!$AD$66="Catastrófico"),CONCATENATE("R22C",'Mapa final'!$R$66),"")</f>
        <v/>
      </c>
      <c r="Y77" s="56"/>
      <c r="Z77" s="269"/>
      <c r="AA77" s="270"/>
      <c r="AB77" s="270"/>
      <c r="AC77" s="270"/>
      <c r="AD77" s="270"/>
      <c r="AE77" s="271"/>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row>
    <row r="78" spans="1:61" ht="15" customHeight="1" x14ac:dyDescent="0.25">
      <c r="A78" s="56"/>
      <c r="B78" s="286"/>
      <c r="C78" s="286"/>
      <c r="D78" s="287"/>
      <c r="E78" s="276"/>
      <c r="F78" s="275"/>
      <c r="G78" s="275"/>
      <c r="H78" s="275"/>
      <c r="I78" s="275"/>
      <c r="J78" s="49" t="str">
        <f ca="1">IF(AND('Mapa final'!$AB$70="Alta",'Mapa final'!$AD$70="Leve"),CONCATENATE("R23C",'Mapa final'!$R$70),"")</f>
        <v/>
      </c>
      <c r="K78" s="50" t="str">
        <f>IF(AND('Mapa final'!$AB$71="Alta",'Mapa final'!$AD$71="Leve"),CONCATENATE("R23C",'Mapa final'!$R$71),"")</f>
        <v/>
      </c>
      <c r="L78" s="110" t="str">
        <f>IF(AND('Mapa final'!$AB$72="Alta",'Mapa final'!$AD$72="Leve"),CONCATENATE("R23C",'Mapa final'!$R$72),"")</f>
        <v/>
      </c>
      <c r="M78" s="49" t="str">
        <f ca="1">IF(AND('Mapa final'!$AB$70="Alta",'Mapa final'!$AD$70="Menor"),CONCATENATE("R23C",'Mapa final'!$R$70),"")</f>
        <v/>
      </c>
      <c r="N78" s="50" t="str">
        <f>IF(AND('Mapa final'!$AB$71="Alta",'Mapa final'!$AD$71="Menor"),CONCATENATE("R23C",'Mapa final'!$R$71),"")</f>
        <v/>
      </c>
      <c r="O78" s="110" t="str">
        <f>IF(AND('Mapa final'!$AB$72="Alta",'Mapa final'!$AD$72="Menor"),CONCATENATE("R23C",'Mapa final'!$R$72),"")</f>
        <v/>
      </c>
      <c r="P78" s="104" t="str">
        <f ca="1">IF(AND('Mapa final'!$AB$70="Alta",'Mapa final'!$AD$70="Moderado"),CONCATENATE("R23C",'Mapa final'!$R$70),"")</f>
        <v/>
      </c>
      <c r="Q78" s="42" t="str">
        <f>IF(AND('Mapa final'!$AB$71="Alta",'Mapa final'!$AD$71="Moderado"),CONCATENATE("R23C",'Mapa final'!$R$71),"")</f>
        <v/>
      </c>
      <c r="R78" s="105" t="str">
        <f>IF(AND('Mapa final'!$AB$72="Alta",'Mapa final'!$AD$72="Moderado"),CONCATENATE("R23C",'Mapa final'!$R$72),"")</f>
        <v/>
      </c>
      <c r="S78" s="104" t="str">
        <f ca="1">IF(AND('Mapa final'!$AB$70="Alta",'Mapa final'!$AD$70="Mayor"),CONCATENATE("R23C",'Mapa final'!$R$70),"")</f>
        <v/>
      </c>
      <c r="T78" s="42" t="str">
        <f>IF(AND('Mapa final'!$AB$71="Alta",'Mapa final'!$AD$71="Mayor"),CONCATENATE("R23C",'Mapa final'!$R$71),"")</f>
        <v/>
      </c>
      <c r="U78" s="105" t="str">
        <f>IF(AND('Mapa final'!$AB$72="Alta",'Mapa final'!$AD$72="Mayor"),CONCATENATE("R23C",'Mapa final'!$R$72),"")</f>
        <v/>
      </c>
      <c r="V78" s="43" t="str">
        <f ca="1">IF(AND('Mapa final'!$AB$70="Alta",'Mapa final'!$AD$70="Catastrófico"),CONCATENATE("R23C",'Mapa final'!$R$70),"")</f>
        <v/>
      </c>
      <c r="W78" s="44" t="str">
        <f>IF(AND('Mapa final'!$AB$71="Alta",'Mapa final'!$AD$71="Catastrófico"),CONCATENATE("R23C",'Mapa final'!$R$71),"")</f>
        <v/>
      </c>
      <c r="X78" s="99" t="str">
        <f>IF(AND('Mapa final'!$AB$72="Alta",'Mapa final'!$AD$72="Catastrófico"),CONCATENATE("R23C",'Mapa final'!$R$72),"")</f>
        <v/>
      </c>
      <c r="Y78" s="56"/>
      <c r="Z78" s="269"/>
      <c r="AA78" s="270"/>
      <c r="AB78" s="270"/>
      <c r="AC78" s="270"/>
      <c r="AD78" s="270"/>
      <c r="AE78" s="271"/>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row>
    <row r="79" spans="1:61" ht="15" customHeight="1" x14ac:dyDescent="0.25">
      <c r="A79" s="56"/>
      <c r="B79" s="286"/>
      <c r="C79" s="286"/>
      <c r="D79" s="287"/>
      <c r="E79" s="276"/>
      <c r="F79" s="275"/>
      <c r="G79" s="275"/>
      <c r="H79" s="275"/>
      <c r="I79" s="275"/>
      <c r="J79" s="49" t="str">
        <f ca="1">IF(AND('Mapa final'!$AB$73="Alta",'Mapa final'!$AD$73="Leve"),CONCATENATE("R24C",'Mapa final'!$R$73),"")</f>
        <v/>
      </c>
      <c r="K79" s="50" t="str">
        <f>IF(AND('Mapa final'!$AB$74="Alta",'Mapa final'!$AD$74="Leve"),CONCATENATE("R24C",'Mapa final'!$R$74),"")</f>
        <v/>
      </c>
      <c r="L79" s="110" t="str">
        <f>IF(AND('Mapa final'!$AB$75="Alta",'Mapa final'!$AD$75="Leve"),CONCATENATE("R24C",'Mapa final'!$R$75),"")</f>
        <v/>
      </c>
      <c r="M79" s="49" t="str">
        <f ca="1">IF(AND('Mapa final'!$AB$73="Alta",'Mapa final'!$AD$73="Menor"),CONCATENATE("R24C",'Mapa final'!$R$73),"")</f>
        <v/>
      </c>
      <c r="N79" s="50" t="str">
        <f>IF(AND('Mapa final'!$AB$74="Alta",'Mapa final'!$AD$74="Menor"),CONCATENATE("R24C",'Mapa final'!$R$74),"")</f>
        <v/>
      </c>
      <c r="O79" s="110" t="str">
        <f>IF(AND('Mapa final'!$AB$75="Alta",'Mapa final'!$AD$75="Menor"),CONCATENATE("R24C",'Mapa final'!$R$75),"")</f>
        <v/>
      </c>
      <c r="P79" s="104" t="str">
        <f ca="1">IF(AND('Mapa final'!$AB$73="Alta",'Mapa final'!$AD$73="Moderado"),CONCATENATE("R24C",'Mapa final'!$R$73),"")</f>
        <v/>
      </c>
      <c r="Q79" s="42" t="str">
        <f>IF(AND('Mapa final'!$AB$74="Alta",'Mapa final'!$AD$74="Moderado"),CONCATENATE("R24C",'Mapa final'!$R$74),"")</f>
        <v/>
      </c>
      <c r="R79" s="105" t="str">
        <f>IF(AND('Mapa final'!$AB$75="Alta",'Mapa final'!$AD$75="Moderado"),CONCATENATE("R24C",'Mapa final'!$R$75),"")</f>
        <v/>
      </c>
      <c r="S79" s="104" t="str">
        <f ca="1">IF(AND('Mapa final'!$AB$73="Alta",'Mapa final'!$AD$73="Mayor"),CONCATENATE("R24C",'Mapa final'!$R$73),"")</f>
        <v/>
      </c>
      <c r="T79" s="42" t="str">
        <f>IF(AND('Mapa final'!$AB$74="Alta",'Mapa final'!$AD$74="Mayor"),CONCATENATE("R24C",'Mapa final'!$R$74),"")</f>
        <v/>
      </c>
      <c r="U79" s="105" t="str">
        <f>IF(AND('Mapa final'!$AB$75="Alta",'Mapa final'!$AD$75="Mayor"),CONCATENATE("R24C",'Mapa final'!$R$75),"")</f>
        <v/>
      </c>
      <c r="V79" s="43" t="str">
        <f ca="1">IF(AND('Mapa final'!$AB$73="Alta",'Mapa final'!$AD$73="Catastrófico"),CONCATENATE("R24C",'Mapa final'!$R$73),"")</f>
        <v/>
      </c>
      <c r="W79" s="44" t="str">
        <f>IF(AND('Mapa final'!$AB$74="Alta",'Mapa final'!$AD$74="Catastrófico"),CONCATENATE("R24C",'Mapa final'!$R$74),"")</f>
        <v/>
      </c>
      <c r="X79" s="99" t="str">
        <f>IF(AND('Mapa final'!$AB$75="Alta",'Mapa final'!$AD$75="Catastrófico"),CONCATENATE("R24C",'Mapa final'!$R$75),"")</f>
        <v/>
      </c>
      <c r="Y79" s="56"/>
      <c r="Z79" s="269"/>
      <c r="AA79" s="270"/>
      <c r="AB79" s="270"/>
      <c r="AC79" s="270"/>
      <c r="AD79" s="270"/>
      <c r="AE79" s="271"/>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row>
    <row r="80" spans="1:61" ht="15" customHeight="1" x14ac:dyDescent="0.25">
      <c r="A80" s="56"/>
      <c r="B80" s="286"/>
      <c r="C80" s="286"/>
      <c r="D80" s="287"/>
      <c r="E80" s="276"/>
      <c r="F80" s="275"/>
      <c r="G80" s="275"/>
      <c r="H80" s="275"/>
      <c r="I80" s="275"/>
      <c r="J80" s="49" t="str">
        <f ca="1">IF(AND('Mapa final'!$AB$76="Alta",'Mapa final'!$AD$76="Leve"),CONCATENATE("R25C",'Mapa final'!$R$76),"")</f>
        <v/>
      </c>
      <c r="K80" s="50" t="str">
        <f>IF(AND('Mapa final'!$AB$77="Alta",'Mapa final'!$AD$77="Leve"),CONCATENATE("R25C",'Mapa final'!$R$77),"")</f>
        <v/>
      </c>
      <c r="L80" s="110" t="str">
        <f>IF(AND('Mapa final'!$AB$78="Alta",'Mapa final'!$AD$78="Leve"),CONCATENATE("R25C",'Mapa final'!$R$78),"")</f>
        <v/>
      </c>
      <c r="M80" s="49" t="str">
        <f ca="1">IF(AND('Mapa final'!$AB$76="Alta",'Mapa final'!$AD$76="Menor"),CONCATENATE("R25C",'Mapa final'!$R$76),"")</f>
        <v/>
      </c>
      <c r="N80" s="50" t="str">
        <f>IF(AND('Mapa final'!$AB$77="Alta",'Mapa final'!$AD$77="Menor"),CONCATENATE("R25C",'Mapa final'!$R$77),"")</f>
        <v/>
      </c>
      <c r="O80" s="110" t="str">
        <f>IF(AND('Mapa final'!$AB$78="Alta",'Mapa final'!$AD$78="Menor"),CONCATENATE("R25C",'Mapa final'!$R$78),"")</f>
        <v/>
      </c>
      <c r="P80" s="104" t="str">
        <f ca="1">IF(AND('Mapa final'!$AB$76="Alta",'Mapa final'!$AD$76="Moderado"),CONCATENATE("R25C",'Mapa final'!$R$76),"")</f>
        <v/>
      </c>
      <c r="Q80" s="42" t="str">
        <f>IF(AND('Mapa final'!$AB$77="Alta",'Mapa final'!$AD$77="Moderado"),CONCATENATE("R25C",'Mapa final'!$R$77),"")</f>
        <v/>
      </c>
      <c r="R80" s="105" t="str">
        <f>IF(AND('Mapa final'!$AB$78="Alta",'Mapa final'!$AD$78="Moderado"),CONCATENATE("R25C",'Mapa final'!$R$78),"")</f>
        <v/>
      </c>
      <c r="S80" s="104" t="str">
        <f ca="1">IF(AND('Mapa final'!$AB$76="Alta",'Mapa final'!$AD$76="Mayor"),CONCATENATE("R25C",'Mapa final'!$R$76),"")</f>
        <v/>
      </c>
      <c r="T80" s="42" t="str">
        <f>IF(AND('Mapa final'!$AB$77="Alta",'Mapa final'!$AD$77="Mayor"),CONCATENATE("R25C",'Mapa final'!$R$77),"")</f>
        <v/>
      </c>
      <c r="U80" s="105" t="str">
        <f>IF(AND('Mapa final'!$AB$78="Alta",'Mapa final'!$AD$78="Mayor"),CONCATENATE("R25C",'Mapa final'!$R$78),"")</f>
        <v/>
      </c>
      <c r="V80" s="43" t="str">
        <f ca="1">IF(AND('Mapa final'!$AB$76="Alta",'Mapa final'!$AD$76="Catastrófico"),CONCATENATE("R25C",'Mapa final'!$R$76),"")</f>
        <v/>
      </c>
      <c r="W80" s="44" t="str">
        <f>IF(AND('Mapa final'!$AB$77="Alta",'Mapa final'!$AD$77="Catastrófico"),CONCATENATE("R25C",'Mapa final'!$R$77),"")</f>
        <v/>
      </c>
      <c r="X80" s="99" t="str">
        <f>IF(AND('Mapa final'!$AB$78="Alta",'Mapa final'!$AD$78="Catastrófico"),CONCATENATE("R25C",'Mapa final'!$R$78),"")</f>
        <v/>
      </c>
      <c r="Y80" s="56"/>
      <c r="Z80" s="269"/>
      <c r="AA80" s="270"/>
      <c r="AB80" s="270"/>
      <c r="AC80" s="270"/>
      <c r="AD80" s="270"/>
      <c r="AE80" s="271"/>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row>
    <row r="81" spans="1:61" ht="15" customHeight="1" x14ac:dyDescent="0.25">
      <c r="A81" s="56"/>
      <c r="B81" s="286"/>
      <c r="C81" s="286"/>
      <c r="D81" s="287"/>
      <c r="E81" s="276"/>
      <c r="F81" s="275"/>
      <c r="G81" s="275"/>
      <c r="H81" s="275"/>
      <c r="I81" s="275"/>
      <c r="J81" s="49" t="str">
        <f ca="1">IF(AND('Mapa final'!$AB$79="Alta",'Mapa final'!$AD$79="Leve"),CONCATENATE("R26C",'Mapa final'!$R$79),"")</f>
        <v/>
      </c>
      <c r="K81" s="50" t="str">
        <f ca="1">IF(AND('Mapa final'!$AB$80="Alta",'Mapa final'!$AD$80="Leve"),CONCATENATE("R26C",'Mapa final'!$R$80),"")</f>
        <v/>
      </c>
      <c r="L81" s="110" t="str">
        <f ca="1">IF(AND('Mapa final'!$AB$81="Alta",'Mapa final'!$AD$81="Leve"),CONCATENATE("R26C",'Mapa final'!$R$81),"")</f>
        <v/>
      </c>
      <c r="M81" s="49" t="str">
        <f ca="1">IF(AND('Mapa final'!$AB$79="Alta",'Mapa final'!$AD$79="Menor"),CONCATENATE("R26C",'Mapa final'!$R$79),"")</f>
        <v/>
      </c>
      <c r="N81" s="50" t="str">
        <f ca="1">IF(AND('Mapa final'!$AB$80="Alta",'Mapa final'!$AD$80="Menor"),CONCATENATE("R26C",'Mapa final'!$R$80),"")</f>
        <v/>
      </c>
      <c r="O81" s="110" t="str">
        <f ca="1">IF(AND('Mapa final'!$AB$81="Alta",'Mapa final'!$AD$81="Menor"),CONCATENATE("R26C",'Mapa final'!$R$81),"")</f>
        <v/>
      </c>
      <c r="P81" s="104" t="str">
        <f ca="1">IF(AND('Mapa final'!$AB$79="Alta",'Mapa final'!$AD$79="Moderado"),CONCATENATE("R26C",'Mapa final'!$R$79),"")</f>
        <v/>
      </c>
      <c r="Q81" s="42" t="str">
        <f ca="1">IF(AND('Mapa final'!$AB$80="Alta",'Mapa final'!$AD$80="Moderado"),CONCATENATE("R26C",'Mapa final'!$R$80),"")</f>
        <v/>
      </c>
      <c r="R81" s="105" t="str">
        <f ca="1">IF(AND('Mapa final'!$AB$81="Alta",'Mapa final'!$AD$81="Moderado"),CONCATENATE("R26C",'Mapa final'!$R$81),"")</f>
        <v/>
      </c>
      <c r="S81" s="104" t="str">
        <f ca="1">IF(AND('Mapa final'!$AB$79="Alta",'Mapa final'!$AD$79="Mayor"),CONCATENATE("R26C",'Mapa final'!$R$79),"")</f>
        <v/>
      </c>
      <c r="T81" s="42" t="str">
        <f ca="1">IF(AND('Mapa final'!$AB$80="Alta",'Mapa final'!$AD$80="Mayor"),CONCATENATE("R26C",'Mapa final'!$R$80),"")</f>
        <v/>
      </c>
      <c r="U81" s="105" t="str">
        <f ca="1">IF(AND('Mapa final'!$AB$81="Alta",'Mapa final'!$AD$81="Mayor"),CONCATENATE("R26C",'Mapa final'!$R$81),"")</f>
        <v/>
      </c>
      <c r="V81" s="43" t="str">
        <f ca="1">IF(AND('Mapa final'!$AB$79="Alta",'Mapa final'!$AD$79="Catastrófico"),CONCATENATE("R26C",'Mapa final'!$R$79),"")</f>
        <v/>
      </c>
      <c r="W81" s="44" t="str">
        <f ca="1">IF(AND('Mapa final'!$AB$80="Alta",'Mapa final'!$AD$80="Catastrófico"),CONCATENATE("R26C",'Mapa final'!$R$80),"")</f>
        <v/>
      </c>
      <c r="X81" s="99" t="str">
        <f ca="1">IF(AND('Mapa final'!$AB$81="Alta",'Mapa final'!$AD$81="Catastrófico"),CONCATENATE("R26C",'Mapa final'!$R$81),"")</f>
        <v/>
      </c>
      <c r="Y81" s="56"/>
      <c r="Z81" s="269"/>
      <c r="AA81" s="270"/>
      <c r="AB81" s="270"/>
      <c r="AC81" s="270"/>
      <c r="AD81" s="270"/>
      <c r="AE81" s="271"/>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row>
    <row r="82" spans="1:61" ht="15" customHeight="1" x14ac:dyDescent="0.25">
      <c r="A82" s="56"/>
      <c r="B82" s="286"/>
      <c r="C82" s="286"/>
      <c r="D82" s="287"/>
      <c r="E82" s="276"/>
      <c r="F82" s="275"/>
      <c r="G82" s="275"/>
      <c r="H82" s="275"/>
      <c r="I82" s="275"/>
      <c r="J82" s="49" t="str">
        <f ca="1">IF(AND('Mapa final'!$AB$82="Alta",'Mapa final'!$AD$82="Leve"),CONCATENATE("R27C",'Mapa final'!$R$82),"")</f>
        <v/>
      </c>
      <c r="K82" s="50" t="str">
        <f>IF(AND('Mapa final'!$AB$83="Alta",'Mapa final'!$AD$83="Leve"),CONCATENATE("R27C",'Mapa final'!$R$83),"")</f>
        <v/>
      </c>
      <c r="L82" s="110" t="str">
        <f>IF(AND('Mapa final'!$AB$84="Alta",'Mapa final'!$AD$84="Leve"),CONCATENATE("R27C",'Mapa final'!$R$84),"")</f>
        <v/>
      </c>
      <c r="M82" s="49" t="str">
        <f ca="1">IF(AND('Mapa final'!$AB$82="Alta",'Mapa final'!$AD$82="Menor"),CONCATENATE("R27C",'Mapa final'!$R$82),"")</f>
        <v/>
      </c>
      <c r="N82" s="50" t="str">
        <f>IF(AND('Mapa final'!$AB$83="Alta",'Mapa final'!$AD$83="Menor"),CONCATENATE("R27C",'Mapa final'!$R$83),"")</f>
        <v/>
      </c>
      <c r="O82" s="110" t="str">
        <f>IF(AND('Mapa final'!$AB$84="Alta",'Mapa final'!$AD$84="Menor"),CONCATENATE("R27C",'Mapa final'!$R$84),"")</f>
        <v/>
      </c>
      <c r="P82" s="104" t="str">
        <f ca="1">IF(AND('Mapa final'!$AB$82="Alta",'Mapa final'!$AD$82="Moderado"),CONCATENATE("R27C",'Mapa final'!$R$82),"")</f>
        <v/>
      </c>
      <c r="Q82" s="42" t="str">
        <f>IF(AND('Mapa final'!$AB$83="Alta",'Mapa final'!$AD$83="Moderado"),CONCATENATE("R27C",'Mapa final'!$R$83),"")</f>
        <v/>
      </c>
      <c r="R82" s="105" t="str">
        <f>IF(AND('Mapa final'!$AB$84="Alta",'Mapa final'!$AD$84="Moderado"),CONCATENATE("R27C",'Mapa final'!$R$84),"")</f>
        <v/>
      </c>
      <c r="S82" s="104" t="str">
        <f ca="1">IF(AND('Mapa final'!$AB$82="Alta",'Mapa final'!$AD$82="Mayor"),CONCATENATE("R27C",'Mapa final'!$R$82),"")</f>
        <v/>
      </c>
      <c r="T82" s="42" t="str">
        <f>IF(AND('Mapa final'!$AB$83="Alta",'Mapa final'!$AD$83="Mayor"),CONCATENATE("R27C",'Mapa final'!$R$83),"")</f>
        <v/>
      </c>
      <c r="U82" s="105" t="str">
        <f>IF(AND('Mapa final'!$AB$84="Alta",'Mapa final'!$AD$84="Mayor"),CONCATENATE("R27C",'Mapa final'!$R$84),"")</f>
        <v/>
      </c>
      <c r="V82" s="43" t="str">
        <f ca="1">IF(AND('Mapa final'!$AB$82="Alta",'Mapa final'!$AD$82="Catastrófico"),CONCATENATE("R27C",'Mapa final'!$R$82),"")</f>
        <v/>
      </c>
      <c r="W82" s="44" t="str">
        <f>IF(AND('Mapa final'!$AB$83="Alta",'Mapa final'!$AD$83="Catastrófico"),CONCATENATE("R27C",'Mapa final'!$R$83),"")</f>
        <v/>
      </c>
      <c r="X82" s="99" t="str">
        <f>IF(AND('Mapa final'!$AB$84="Alta",'Mapa final'!$AD$84="Catastrófico"),CONCATENATE("R27C",'Mapa final'!$R$84),"")</f>
        <v/>
      </c>
      <c r="Y82" s="56"/>
      <c r="Z82" s="269"/>
      <c r="AA82" s="270"/>
      <c r="AB82" s="270"/>
      <c r="AC82" s="270"/>
      <c r="AD82" s="270"/>
      <c r="AE82" s="271"/>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row>
    <row r="83" spans="1:61" ht="15" customHeight="1" x14ac:dyDescent="0.25">
      <c r="A83" s="56"/>
      <c r="B83" s="286"/>
      <c r="C83" s="286"/>
      <c r="D83" s="287"/>
      <c r="E83" s="276"/>
      <c r="F83" s="275"/>
      <c r="G83" s="275"/>
      <c r="H83" s="275"/>
      <c r="I83" s="275"/>
      <c r="J83" s="49" t="str">
        <f ca="1">IF(AND('Mapa final'!$AB$85="Alta",'Mapa final'!$AD$85="Leve"),CONCATENATE("R28C",'Mapa final'!$R$85),"")</f>
        <v/>
      </c>
      <c r="K83" s="50" t="str">
        <f>IF(AND('Mapa final'!$AB$86="Alta",'Mapa final'!$AD$86="Leve"),CONCATENATE("R28C",'Mapa final'!$R$86),"")</f>
        <v/>
      </c>
      <c r="L83" s="110" t="str">
        <f>IF(AND('Mapa final'!$AB$87="Alta",'Mapa final'!$AD$87="Leve"),CONCATENATE("R28C",'Mapa final'!$R$87),"")</f>
        <v/>
      </c>
      <c r="M83" s="49" t="str">
        <f ca="1">IF(AND('Mapa final'!$AB$85="Alta",'Mapa final'!$AD$85="Menor"),CONCATENATE("R28C",'Mapa final'!$R$85),"")</f>
        <v/>
      </c>
      <c r="N83" s="50" t="str">
        <f>IF(AND('Mapa final'!$AB$86="Alta",'Mapa final'!$AD$86="Menor"),CONCATENATE("R28C",'Mapa final'!$R$86),"")</f>
        <v/>
      </c>
      <c r="O83" s="110" t="str">
        <f>IF(AND('Mapa final'!$AB$87="Alta",'Mapa final'!$AD$87="Menor"),CONCATENATE("R28C",'Mapa final'!$R$87),"")</f>
        <v/>
      </c>
      <c r="P83" s="104" t="str">
        <f ca="1">IF(AND('Mapa final'!$AB$85="Alta",'Mapa final'!$AD$85="Moderado"),CONCATENATE("R28C",'Mapa final'!$R$85),"")</f>
        <v/>
      </c>
      <c r="Q83" s="42" t="str">
        <f>IF(AND('Mapa final'!$AB$86="Alta",'Mapa final'!$AD$86="Moderado"),CONCATENATE("R28C",'Mapa final'!$R$86),"")</f>
        <v/>
      </c>
      <c r="R83" s="105" t="str">
        <f>IF(AND('Mapa final'!$AB$87="Alta",'Mapa final'!$AD$87="Moderado"),CONCATENATE("R28C",'Mapa final'!$R$87),"")</f>
        <v/>
      </c>
      <c r="S83" s="104" t="str">
        <f ca="1">IF(AND('Mapa final'!$AB$85="Alta",'Mapa final'!$AD$85="Mayor"),CONCATENATE("R28C",'Mapa final'!$R$85),"")</f>
        <v/>
      </c>
      <c r="T83" s="42" t="str">
        <f>IF(AND('Mapa final'!$AB$86="Alta",'Mapa final'!$AD$86="Mayor"),CONCATENATE("R28C",'Mapa final'!$R$86),"")</f>
        <v/>
      </c>
      <c r="U83" s="105" t="str">
        <f>IF(AND('Mapa final'!$AB$87="Alta",'Mapa final'!$AD$87="Mayor"),CONCATENATE("R28C",'Mapa final'!$R$87),"")</f>
        <v/>
      </c>
      <c r="V83" s="43" t="str">
        <f ca="1">IF(AND('Mapa final'!$AB$85="Alta",'Mapa final'!$AD$85="Catastrófico"),CONCATENATE("R28C",'Mapa final'!$R$85),"")</f>
        <v/>
      </c>
      <c r="W83" s="44" t="str">
        <f>IF(AND('Mapa final'!$AB$86="Alta",'Mapa final'!$AD$86="Catastrófico"),CONCATENATE("R28C",'Mapa final'!$R$86),"")</f>
        <v/>
      </c>
      <c r="X83" s="99" t="str">
        <f>IF(AND('Mapa final'!$AB$87="Alta",'Mapa final'!$AD$87="Catastrófico"),CONCATENATE("R28C",'Mapa final'!$R$87),"")</f>
        <v/>
      </c>
      <c r="Y83" s="56"/>
      <c r="Z83" s="269"/>
      <c r="AA83" s="270"/>
      <c r="AB83" s="270"/>
      <c r="AC83" s="270"/>
      <c r="AD83" s="270"/>
      <c r="AE83" s="271"/>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row>
    <row r="84" spans="1:61" ht="15" customHeight="1" x14ac:dyDescent="0.25">
      <c r="A84" s="56"/>
      <c r="B84" s="286"/>
      <c r="C84" s="286"/>
      <c r="D84" s="287"/>
      <c r="E84" s="276"/>
      <c r="F84" s="275"/>
      <c r="G84" s="275"/>
      <c r="H84" s="275"/>
      <c r="I84" s="275"/>
      <c r="J84" s="49" t="str">
        <f ca="1">IF(AND('Mapa final'!$AB$88="Alta",'Mapa final'!$AD$88="Leve"),CONCATENATE("R29C",'Mapa final'!$R$88),"")</f>
        <v/>
      </c>
      <c r="K84" s="50" t="str">
        <f>IF(AND('Mapa final'!$AB$89="Alta",'Mapa final'!$AD$89="Leve"),CONCATENATE("R29C",'Mapa final'!$R$89),"")</f>
        <v/>
      </c>
      <c r="L84" s="110" t="str">
        <f>IF(AND('Mapa final'!$AB$90="Alta",'Mapa final'!$AD$90="Leve"),CONCATENATE("R29C",'Mapa final'!$R$90),"")</f>
        <v/>
      </c>
      <c r="M84" s="49" t="str">
        <f ca="1">IF(AND('Mapa final'!$AB$88="Alta",'Mapa final'!$AD$88="Menor"),CONCATENATE("R29C",'Mapa final'!$R$88),"")</f>
        <v/>
      </c>
      <c r="N84" s="50" t="str">
        <f>IF(AND('Mapa final'!$AB$89="Alta",'Mapa final'!$AD$89="Menor"),CONCATENATE("R29C",'Mapa final'!$R$89),"")</f>
        <v/>
      </c>
      <c r="O84" s="110" t="str">
        <f>IF(AND('Mapa final'!$AB$90="Alta",'Mapa final'!$AD$90="Menor"),CONCATENATE("R29C",'Mapa final'!$R$90),"")</f>
        <v/>
      </c>
      <c r="P84" s="104" t="str">
        <f ca="1">IF(AND('Mapa final'!$AB$88="Alta",'Mapa final'!$AD$88="Moderado"),CONCATENATE("R29C",'Mapa final'!$R$88),"")</f>
        <v/>
      </c>
      <c r="Q84" s="42" t="str">
        <f>IF(AND('Mapa final'!$AB$89="Alta",'Mapa final'!$AD$89="Moderado"),CONCATENATE("R29C",'Mapa final'!$R$89),"")</f>
        <v/>
      </c>
      <c r="R84" s="105" t="str">
        <f>IF(AND('Mapa final'!$AB$90="Alta",'Mapa final'!$AD$90="Moderado"),CONCATENATE("R29C",'Mapa final'!$R$90),"")</f>
        <v/>
      </c>
      <c r="S84" s="104" t="str">
        <f ca="1">IF(AND('Mapa final'!$AB$88="Alta",'Mapa final'!$AD$88="Mayor"),CONCATENATE("R29C",'Mapa final'!$R$88),"")</f>
        <v/>
      </c>
      <c r="T84" s="42" t="str">
        <f>IF(AND('Mapa final'!$AB$89="Alta",'Mapa final'!$AD$89="Mayor"),CONCATENATE("R29C",'Mapa final'!$R$89),"")</f>
        <v/>
      </c>
      <c r="U84" s="105" t="str">
        <f>IF(AND('Mapa final'!$AB$90="Alta",'Mapa final'!$AD$90="Mayor"),CONCATENATE("R29C",'Mapa final'!$R$90),"")</f>
        <v/>
      </c>
      <c r="V84" s="43" t="str">
        <f ca="1">IF(AND('Mapa final'!$AB$88="Alta",'Mapa final'!$AD$88="Catastrófico"),CONCATENATE("R29C",'Mapa final'!$R$88),"")</f>
        <v/>
      </c>
      <c r="W84" s="44" t="str">
        <f>IF(AND('Mapa final'!$AB$89="Alta",'Mapa final'!$AD$89="Catastrófico"),CONCATENATE("R29C",'Mapa final'!$R$89),"")</f>
        <v/>
      </c>
      <c r="X84" s="99" t="str">
        <f>IF(AND('Mapa final'!$AB$90="Alta",'Mapa final'!$AD$90="Catastrófico"),CONCATENATE("R29C",'Mapa final'!$R$90),"")</f>
        <v/>
      </c>
      <c r="Y84" s="56"/>
      <c r="Z84" s="269"/>
      <c r="AA84" s="270"/>
      <c r="AB84" s="270"/>
      <c r="AC84" s="270"/>
      <c r="AD84" s="270"/>
      <c r="AE84" s="271"/>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row>
    <row r="85" spans="1:61" ht="15" customHeight="1" x14ac:dyDescent="0.25">
      <c r="A85" s="56"/>
      <c r="B85" s="286"/>
      <c r="C85" s="286"/>
      <c r="D85" s="287"/>
      <c r="E85" s="276"/>
      <c r="F85" s="275"/>
      <c r="G85" s="275"/>
      <c r="H85" s="275"/>
      <c r="I85" s="275"/>
      <c r="J85" s="49" t="str">
        <f ca="1">IF(AND('Mapa final'!$AB$91="Alta",'Mapa final'!$AD$91="Leve"),CONCATENATE("R30C",'Mapa final'!$R$91),"")</f>
        <v/>
      </c>
      <c r="K85" s="50" t="str">
        <f>IF(AND('Mapa final'!$AB$92="Alta",'Mapa final'!$AD$92="Leve"),CONCATENATE("R30C",'Mapa final'!$R$92),"")</f>
        <v/>
      </c>
      <c r="L85" s="110" t="str">
        <f>IF(AND('Mapa final'!$AB$93="Alta",'Mapa final'!$AD$93="Leve"),CONCATENATE("R30C",'Mapa final'!$R$93),"")</f>
        <v/>
      </c>
      <c r="M85" s="49" t="str">
        <f ca="1">IF(AND('Mapa final'!$AB$91="Alta",'Mapa final'!$AD$91="Menor"),CONCATENATE("R30C",'Mapa final'!$R$91),"")</f>
        <v/>
      </c>
      <c r="N85" s="50" t="str">
        <f>IF(AND('Mapa final'!$AB$92="Alta",'Mapa final'!$AD$92="Menor"),CONCATENATE("R30C",'Mapa final'!$R$92),"")</f>
        <v/>
      </c>
      <c r="O85" s="110" t="str">
        <f>IF(AND('Mapa final'!$AB$93="Alta",'Mapa final'!$AD$93="Menor"),CONCATENATE("R30C",'Mapa final'!$R$93),"")</f>
        <v/>
      </c>
      <c r="P85" s="104" t="str">
        <f ca="1">IF(AND('Mapa final'!$AB$91="Alta",'Mapa final'!$AD$91="Moderado"),CONCATENATE("R30C",'Mapa final'!$R$91),"")</f>
        <v/>
      </c>
      <c r="Q85" s="42" t="str">
        <f>IF(AND('Mapa final'!$AB$92="Alta",'Mapa final'!$AD$92="Moderado"),CONCATENATE("R30C",'Mapa final'!$R$92),"")</f>
        <v/>
      </c>
      <c r="R85" s="105" t="str">
        <f>IF(AND('Mapa final'!$AB$93="Alta",'Mapa final'!$AD$93="Moderado"),CONCATENATE("R30C",'Mapa final'!$R$93),"")</f>
        <v/>
      </c>
      <c r="S85" s="104" t="str">
        <f ca="1">IF(AND('Mapa final'!$AB$91="Alta",'Mapa final'!$AD$91="Mayor"),CONCATENATE("R30C",'Mapa final'!$R$91),"")</f>
        <v/>
      </c>
      <c r="T85" s="42" t="str">
        <f>IF(AND('Mapa final'!$AB$92="Alta",'Mapa final'!$AD$92="Mayor"),CONCATENATE("R30C",'Mapa final'!$R$92),"")</f>
        <v/>
      </c>
      <c r="U85" s="105" t="str">
        <f>IF(AND('Mapa final'!$AB$93="Alta",'Mapa final'!$AD$93="Mayor"),CONCATENATE("R30C",'Mapa final'!$R$93),"")</f>
        <v/>
      </c>
      <c r="V85" s="43" t="str">
        <f ca="1">IF(AND('Mapa final'!$AB$91="Alta",'Mapa final'!$AD$91="Catastrófico"),CONCATENATE("R30C",'Mapa final'!$R$91),"")</f>
        <v/>
      </c>
      <c r="W85" s="44" t="str">
        <f>IF(AND('Mapa final'!$AB$92="Alta",'Mapa final'!$AD$92="Catastrófico"),CONCATENATE("R30C",'Mapa final'!$R$92),"")</f>
        <v/>
      </c>
      <c r="X85" s="99" t="str">
        <f>IF(AND('Mapa final'!$AB$93="Alta",'Mapa final'!$AD$93="Catastrófico"),CONCATENATE("R30C",'Mapa final'!$R$93),"")</f>
        <v/>
      </c>
      <c r="Y85" s="56"/>
      <c r="Z85" s="269"/>
      <c r="AA85" s="270"/>
      <c r="AB85" s="270"/>
      <c r="AC85" s="270"/>
      <c r="AD85" s="270"/>
      <c r="AE85" s="271"/>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row>
    <row r="86" spans="1:61" ht="15" customHeight="1" x14ac:dyDescent="0.25">
      <c r="A86" s="56"/>
      <c r="B86" s="286"/>
      <c r="C86" s="286"/>
      <c r="D86" s="287"/>
      <c r="E86" s="276"/>
      <c r="F86" s="275"/>
      <c r="G86" s="275"/>
      <c r="H86" s="275"/>
      <c r="I86" s="275"/>
      <c r="J86" s="49" t="str">
        <f ca="1">IF(AND('Mapa final'!$AB$94="Alta",'Mapa final'!$AD$94="Leve"),CONCATENATE("R31C",'Mapa final'!$R$94),"")</f>
        <v/>
      </c>
      <c r="K86" s="50" t="str">
        <f>IF(AND('Mapa final'!$AB$95="Alta",'Mapa final'!$AD$95="Leve"),CONCATENATE("R31C",'Mapa final'!$R$95),"")</f>
        <v/>
      </c>
      <c r="L86" s="110" t="str">
        <f>IF(AND('Mapa final'!$AB$96="Alta",'Mapa final'!$AD$96="Leve"),CONCATENATE("R31C",'Mapa final'!$R$96),"")</f>
        <v/>
      </c>
      <c r="M86" s="49" t="str">
        <f ca="1">IF(AND('Mapa final'!$AB$94="Alta",'Mapa final'!$AD$94="Menor"),CONCATENATE("R31C",'Mapa final'!$R$94),"")</f>
        <v/>
      </c>
      <c r="N86" s="50" t="str">
        <f>IF(AND('Mapa final'!$AB$95="Alta",'Mapa final'!$AD$95="Menor"),CONCATENATE("R31C",'Mapa final'!$R$95),"")</f>
        <v/>
      </c>
      <c r="O86" s="110" t="str">
        <f>IF(AND('Mapa final'!$AB$96="Alta",'Mapa final'!$AD$96="Menor"),CONCATENATE("R31C",'Mapa final'!$R$96),"")</f>
        <v/>
      </c>
      <c r="P86" s="104" t="str">
        <f ca="1">IF(AND('Mapa final'!$AB$94="Alta",'Mapa final'!$AD$94="Moderado"),CONCATENATE("R31C",'Mapa final'!$R$94),"")</f>
        <v/>
      </c>
      <c r="Q86" s="42" t="str">
        <f>IF(AND('Mapa final'!$AB$95="Alta",'Mapa final'!$AD$95="Moderado"),CONCATENATE("R31C",'Mapa final'!$R$95),"")</f>
        <v/>
      </c>
      <c r="R86" s="105" t="str">
        <f>IF(AND('Mapa final'!$AB$96="Alta",'Mapa final'!$AD$96="Moderado"),CONCATENATE("R31C",'Mapa final'!$R$96),"")</f>
        <v/>
      </c>
      <c r="S86" s="104" t="str">
        <f ca="1">IF(AND('Mapa final'!$AB$94="Alta",'Mapa final'!$AD$94="Mayor"),CONCATENATE("R31C",'Mapa final'!$R$94),"")</f>
        <v/>
      </c>
      <c r="T86" s="42" t="str">
        <f>IF(AND('Mapa final'!$AB$95="Alta",'Mapa final'!$AD$95="Mayor"),CONCATENATE("R31C",'Mapa final'!$R$95),"")</f>
        <v/>
      </c>
      <c r="U86" s="105" t="str">
        <f>IF(AND('Mapa final'!$AB$96="Alta",'Mapa final'!$AD$96="Mayor"),CONCATENATE("R31C",'Mapa final'!$R$96),"")</f>
        <v/>
      </c>
      <c r="V86" s="43" t="str">
        <f ca="1">IF(AND('Mapa final'!$AB$94="Alta",'Mapa final'!$AD$94="Catastrófico"),CONCATENATE("R31C",'Mapa final'!$R$94),"")</f>
        <v/>
      </c>
      <c r="W86" s="44" t="str">
        <f>IF(AND('Mapa final'!$AB$95="Alta",'Mapa final'!$AD$95="Catastrófico"),CONCATENATE("R31C",'Mapa final'!$R$95),"")</f>
        <v/>
      </c>
      <c r="X86" s="99" t="str">
        <f>IF(AND('Mapa final'!$AB$96="Alta",'Mapa final'!$AD$96="Catastrófico"),CONCATENATE("R31C",'Mapa final'!$R$96),"")</f>
        <v/>
      </c>
      <c r="Y86" s="56"/>
      <c r="Z86" s="269"/>
      <c r="AA86" s="270"/>
      <c r="AB86" s="270"/>
      <c r="AC86" s="270"/>
      <c r="AD86" s="270"/>
      <c r="AE86" s="271"/>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row>
    <row r="87" spans="1:61" ht="15" customHeight="1" x14ac:dyDescent="0.25">
      <c r="A87" s="56"/>
      <c r="B87" s="286"/>
      <c r="C87" s="286"/>
      <c r="D87" s="287"/>
      <c r="E87" s="276"/>
      <c r="F87" s="275"/>
      <c r="G87" s="275"/>
      <c r="H87" s="275"/>
      <c r="I87" s="275"/>
      <c r="J87" s="49" t="e">
        <f>IF(AND('Mapa final'!#REF!="Alta",'Mapa final'!#REF!="Leve"),CONCATENATE("R32C",'Mapa final'!#REF!),"")</f>
        <v>#REF!</v>
      </c>
      <c r="K87" s="50" t="e">
        <f>IF(AND('Mapa final'!#REF!="Alta",'Mapa final'!#REF!="Leve"),CONCATENATE("R32C",'Mapa final'!#REF!),"")</f>
        <v>#REF!</v>
      </c>
      <c r="L87" s="110" t="e">
        <f>IF(AND('Mapa final'!#REF!="Alta",'Mapa final'!#REF!="Leve"),CONCATENATE("R32C",'Mapa final'!#REF!),"")</f>
        <v>#REF!</v>
      </c>
      <c r="M87" s="49" t="e">
        <f>IF(AND('Mapa final'!#REF!="Alta",'Mapa final'!#REF!="Menor"),CONCATENATE("R32C",'Mapa final'!#REF!),"")</f>
        <v>#REF!</v>
      </c>
      <c r="N87" s="50" t="e">
        <f>IF(AND('Mapa final'!#REF!="Alta",'Mapa final'!#REF!="Menor"),CONCATENATE("R32C",'Mapa final'!#REF!),"")</f>
        <v>#REF!</v>
      </c>
      <c r="O87" s="110" t="e">
        <f>IF(AND('Mapa final'!#REF!="Alta",'Mapa final'!#REF!="Menor"),CONCATENATE("R32C",'Mapa final'!#REF!),"")</f>
        <v>#REF!</v>
      </c>
      <c r="P87" s="104" t="e">
        <f>IF(AND('Mapa final'!#REF!="Alta",'Mapa final'!#REF!="Moderado"),CONCATENATE("R32C",'Mapa final'!#REF!),"")</f>
        <v>#REF!</v>
      </c>
      <c r="Q87" s="42" t="e">
        <f>IF(AND('Mapa final'!#REF!="Alta",'Mapa final'!#REF!="Moderado"),CONCATENATE("R32C",'Mapa final'!#REF!),"")</f>
        <v>#REF!</v>
      </c>
      <c r="R87" s="42" t="e">
        <f>IF(AND('Mapa final'!#REF!="Alta",'Mapa final'!#REF!="Moderado"),CONCATENATE("R32C",'Mapa final'!#REF!),"")</f>
        <v>#REF!</v>
      </c>
      <c r="S87" s="104" t="e">
        <f>IF(AND('Mapa final'!#REF!="Alta",'Mapa final'!#REF!="Mayor"),CONCATENATE("R32C",'Mapa final'!#REF!),"")</f>
        <v>#REF!</v>
      </c>
      <c r="T87" s="42" t="e">
        <f>IF(AND('Mapa final'!#REF!="Alta",'Mapa final'!#REF!="Mayor"),CONCATENATE("R32C",'Mapa final'!#REF!),"")</f>
        <v>#REF!</v>
      </c>
      <c r="U87" s="105" t="e">
        <f>IF(AND('Mapa final'!#REF!="Alta",'Mapa final'!#REF!="Mayor"),CONCATENATE("R32C",'Mapa final'!#REF!),"")</f>
        <v>#REF!</v>
      </c>
      <c r="V87" s="43" t="e">
        <f>IF(AND('Mapa final'!#REF!="Alta",'Mapa final'!#REF!="Catastrófico"),CONCATENATE("R32C",'Mapa final'!#REF!),"")</f>
        <v>#REF!</v>
      </c>
      <c r="W87" s="44" t="e">
        <f>IF(AND('Mapa final'!#REF!="Alta",'Mapa final'!#REF!="Catastrófico"),CONCATENATE("R32C",'Mapa final'!#REF!),"")</f>
        <v>#REF!</v>
      </c>
      <c r="X87" s="99" t="e">
        <f>IF(AND('Mapa final'!#REF!="Alta",'Mapa final'!#REF!="Catastrófico"),CONCATENATE("R32C",'Mapa final'!#REF!),"")</f>
        <v>#REF!</v>
      </c>
      <c r="Y87" s="56"/>
      <c r="Z87" s="269"/>
      <c r="AA87" s="270"/>
      <c r="AB87" s="270"/>
      <c r="AC87" s="270"/>
      <c r="AD87" s="270"/>
      <c r="AE87" s="271"/>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row>
    <row r="88" spans="1:61" ht="15" customHeight="1" x14ac:dyDescent="0.25">
      <c r="A88" s="56"/>
      <c r="B88" s="286"/>
      <c r="C88" s="286"/>
      <c r="D88" s="287"/>
      <c r="E88" s="276"/>
      <c r="F88" s="275"/>
      <c r="G88" s="275"/>
      <c r="H88" s="275"/>
      <c r="I88" s="275"/>
      <c r="J88" s="49" t="str">
        <f>IF(AND('Mapa final'!$AB$97="Alta",'Mapa final'!$AD$97="Leve"),CONCATENATE("R33C",'Mapa final'!$R$97),"")</f>
        <v/>
      </c>
      <c r="K88" s="50" t="str">
        <f>IF(AND('Mapa final'!$AB$98="Alta",'Mapa final'!$AD$98="Leve"),CONCATENATE("R33C",'Mapa final'!$R$98),"")</f>
        <v/>
      </c>
      <c r="L88" s="110" t="str">
        <f>IF(AND('Mapa final'!$AB$99="Alta",'Mapa final'!$AD$99="Leve"),CONCATENATE("R33C",'Mapa final'!$R$99),"")</f>
        <v/>
      </c>
      <c r="M88" s="49" t="str">
        <f>IF(AND('Mapa final'!$AB$97="Alta",'Mapa final'!$AD$97="Menor"),CONCATENATE("R33C",'Mapa final'!$R$97),"")</f>
        <v/>
      </c>
      <c r="N88" s="50" t="str">
        <f>IF(AND('Mapa final'!$AB$98="Alta",'Mapa final'!$AD$98="Menor"),CONCATENATE("R33C",'Mapa final'!$R$98),"")</f>
        <v/>
      </c>
      <c r="O88" s="110" t="str">
        <f>IF(AND('Mapa final'!$AB$99="Alta",'Mapa final'!$AD$99="Menor"),CONCATENATE("R33C",'Mapa final'!$R$99),"")</f>
        <v/>
      </c>
      <c r="P88" s="104" t="str">
        <f>IF(AND('Mapa final'!$AB$97="Alta",'Mapa final'!$AD$97="Moderado"),CONCATENATE("R33C",'Mapa final'!$R$97),"")</f>
        <v/>
      </c>
      <c r="Q88" s="42" t="str">
        <f>IF(AND('Mapa final'!$AB$98="Alta",'Mapa final'!$AD$98="Moderado"),CONCATENATE("R33C",'Mapa final'!$R$98),"")</f>
        <v/>
      </c>
      <c r="R88" s="42" t="str">
        <f>IF(AND('Mapa final'!$AB$99="Alta",'Mapa final'!$AD$99="Moderado"),CONCATENATE("R33C",'Mapa final'!$R$99),"")</f>
        <v/>
      </c>
      <c r="S88" s="104" t="str">
        <f>IF(AND('Mapa final'!$AB$97="Alta",'Mapa final'!$AD$97="Mayor"),CONCATENATE("R33C",'Mapa final'!$R$97),"")</f>
        <v/>
      </c>
      <c r="T88" s="42" t="str">
        <f>IF(AND('Mapa final'!$AB$98="Alta",'Mapa final'!$AD$98="Mayor"),CONCATENATE("R33C",'Mapa final'!$R$98),"")</f>
        <v/>
      </c>
      <c r="U88" s="105" t="str">
        <f>IF(AND('Mapa final'!$AB$99="Alta",'Mapa final'!$AD$99="Mayor"),CONCATENATE("R33C",'Mapa final'!$R$99),"")</f>
        <v/>
      </c>
      <c r="V88" s="43" t="str">
        <f>IF(AND('Mapa final'!$AB$97="Alta",'Mapa final'!$AD$97="Catastrófico"),CONCATENATE("R33C",'Mapa final'!$R$97),"")</f>
        <v/>
      </c>
      <c r="W88" s="44" t="str">
        <f>IF(AND('Mapa final'!$AB$98="Alta",'Mapa final'!$AD$98="Catastrófico"),CONCATENATE("R33C",'Mapa final'!$R$98),"")</f>
        <v/>
      </c>
      <c r="X88" s="99" t="str">
        <f>IF(AND('Mapa final'!$AB$99="Alta",'Mapa final'!$AD$99="Catastrófico"),CONCATENATE("R33C",'Mapa final'!$R$99),"")</f>
        <v/>
      </c>
      <c r="Y88" s="56"/>
      <c r="Z88" s="269"/>
      <c r="AA88" s="270"/>
      <c r="AB88" s="270"/>
      <c r="AC88" s="270"/>
      <c r="AD88" s="270"/>
      <c r="AE88" s="271"/>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row>
    <row r="89" spans="1:61" ht="15" customHeight="1" x14ac:dyDescent="0.25">
      <c r="A89" s="56"/>
      <c r="B89" s="286"/>
      <c r="C89" s="286"/>
      <c r="D89" s="287"/>
      <c r="E89" s="276"/>
      <c r="F89" s="275"/>
      <c r="G89" s="275"/>
      <c r="H89" s="275"/>
      <c r="I89" s="275"/>
      <c r="J89" s="49" t="str">
        <f ca="1">IF(AND('Mapa final'!$AB$100="Alta",'Mapa final'!$AD$100="Leve"),CONCATENATE("R34C",'Mapa final'!$R$100),"")</f>
        <v/>
      </c>
      <c r="K89" s="50" t="str">
        <f>IF(AND('Mapa final'!$AB$101="Alta",'Mapa final'!$AD$101="Leve"),CONCATENATE("R34C",'Mapa final'!$R$101),"")</f>
        <v/>
      </c>
      <c r="L89" s="110" t="str">
        <f>IF(AND('Mapa final'!$AB$102="Alta",'Mapa final'!$AD$102="Leve"),CONCATENATE("R34C",'Mapa final'!$R$102),"")</f>
        <v/>
      </c>
      <c r="M89" s="49" t="str">
        <f ca="1">IF(AND('Mapa final'!$AB$100="Alta",'Mapa final'!$AD$100="Menor"),CONCATENATE("R34C",'Mapa final'!$R$100),"")</f>
        <v/>
      </c>
      <c r="N89" s="50" t="str">
        <f>IF(AND('Mapa final'!$AB$101="Alta",'Mapa final'!$AD$101="Menor"),CONCATENATE("R34C",'Mapa final'!$R$101),"")</f>
        <v/>
      </c>
      <c r="O89" s="110" t="str">
        <f>IF(AND('Mapa final'!$AB$102="Alta",'Mapa final'!$AD$102="Menor"),CONCATENATE("R34C",'Mapa final'!$R$102),"")</f>
        <v/>
      </c>
      <c r="P89" s="104" t="str">
        <f ca="1">IF(AND('Mapa final'!$AB$100="Alta",'Mapa final'!$AD$100="Moderado"),CONCATENATE("R34C",'Mapa final'!$R$100),"")</f>
        <v/>
      </c>
      <c r="Q89" s="42" t="str">
        <f>IF(AND('Mapa final'!$AB$101="Alta",'Mapa final'!$AD$101="Moderado"),CONCATENATE("R34C",'Mapa final'!$R$101),"")</f>
        <v/>
      </c>
      <c r="R89" s="105" t="str">
        <f>IF(AND('Mapa final'!$AB$102="Alta",'Mapa final'!$AD$102="Moderado"),CONCATENATE("R34C",'Mapa final'!$R$102),"")</f>
        <v/>
      </c>
      <c r="S89" s="104" t="str">
        <f ca="1">IF(AND('Mapa final'!$AB$100="Alta",'Mapa final'!$AD$100="Mayor"),CONCATENATE("R34C",'Mapa final'!$R$100),"")</f>
        <v/>
      </c>
      <c r="T89" s="42" t="str">
        <f>IF(AND('Mapa final'!$AB$101="Alta",'Mapa final'!$AD$101="Mayor"),CONCATENATE("R34C",'Mapa final'!$R$101),"")</f>
        <v/>
      </c>
      <c r="U89" s="105" t="str">
        <f>IF(AND('Mapa final'!$AB$102="Alta",'Mapa final'!$AD$102="Mayor"),CONCATENATE("R34C",'Mapa final'!$R$102),"")</f>
        <v/>
      </c>
      <c r="V89" s="43" t="str">
        <f ca="1">IF(AND('Mapa final'!$AB$100="Alta",'Mapa final'!$AD$100="Catastrófico"),CONCATENATE("R34C",'Mapa final'!$R$100),"")</f>
        <v/>
      </c>
      <c r="W89" s="44" t="str">
        <f>IF(AND('Mapa final'!$AB$101="Alta",'Mapa final'!$AD$101="Catastrófico"),CONCATENATE("R34C",'Mapa final'!$R$101),"")</f>
        <v/>
      </c>
      <c r="X89" s="99" t="str">
        <f>IF(AND('Mapa final'!$AB$102="Alta",'Mapa final'!$AD$102="Catastrófico"),CONCATENATE("R34C",'Mapa final'!$R$102),"")</f>
        <v/>
      </c>
      <c r="Y89" s="56"/>
      <c r="Z89" s="269"/>
      <c r="AA89" s="270"/>
      <c r="AB89" s="270"/>
      <c r="AC89" s="270"/>
      <c r="AD89" s="270"/>
      <c r="AE89" s="271"/>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row>
    <row r="90" spans="1:61" ht="15" customHeight="1" x14ac:dyDescent="0.25">
      <c r="A90" s="56"/>
      <c r="B90" s="286"/>
      <c r="C90" s="286"/>
      <c r="D90" s="287"/>
      <c r="E90" s="276"/>
      <c r="F90" s="275"/>
      <c r="G90" s="275"/>
      <c r="H90" s="275"/>
      <c r="I90" s="275"/>
      <c r="J90" s="49" t="str">
        <f ca="1">IF(AND('Mapa final'!$AB$103="Alta",'Mapa final'!$AD$103="Leve"),CONCATENATE("R35C",'Mapa final'!$R$103),"")</f>
        <v/>
      </c>
      <c r="K90" s="50" t="str">
        <f>IF(AND('Mapa final'!$AB$104="Alta",'Mapa final'!$AD$104="Leve"),CONCATENATE("R35C",'Mapa final'!$R$104),"")</f>
        <v/>
      </c>
      <c r="L90" s="110" t="str">
        <f>IF(AND('Mapa final'!$AB$105="Alta",'Mapa final'!$AD$105="Leve"),CONCATENATE("R35C",'Mapa final'!$R$105),"")</f>
        <v/>
      </c>
      <c r="M90" s="49" t="str">
        <f ca="1">IF(AND('Mapa final'!$AB$103="Alta",'Mapa final'!$AD$103="Menor"),CONCATENATE("R35C",'Mapa final'!$R$103),"")</f>
        <v/>
      </c>
      <c r="N90" s="50" t="str">
        <f>IF(AND('Mapa final'!$AB$104="Alta",'Mapa final'!$AD$104="Menor"),CONCATENATE("R35C",'Mapa final'!$R$104),"")</f>
        <v/>
      </c>
      <c r="O90" s="110" t="str">
        <f>IF(AND('Mapa final'!$AB$105="Alta",'Mapa final'!$AD$105="Menor"),CONCATENATE("R35C",'Mapa final'!$R$105),"")</f>
        <v/>
      </c>
      <c r="P90" s="104" t="str">
        <f ca="1">IF(AND('Mapa final'!$AB$103="Alta",'Mapa final'!$AD$103="Moderado"),CONCATENATE("R35C",'Mapa final'!$R$103),"")</f>
        <v/>
      </c>
      <c r="Q90" s="42" t="str">
        <f>IF(AND('Mapa final'!$AB$104="Alta",'Mapa final'!$AD$104="Moderado"),CONCATENATE("R35C",'Mapa final'!$R$104),"")</f>
        <v/>
      </c>
      <c r="R90" s="105" t="str">
        <f>IF(AND('Mapa final'!$AB$105="Alta",'Mapa final'!$AD$105="Moderado"),CONCATENATE("R35C",'Mapa final'!$R$105),"")</f>
        <v/>
      </c>
      <c r="S90" s="104" t="str">
        <f ca="1">IF(AND('Mapa final'!$AB$103="Alta",'Mapa final'!$AD$103="Mayor"),CONCATENATE("R35C",'Mapa final'!$R$103),"")</f>
        <v/>
      </c>
      <c r="T90" s="42" t="str">
        <f>IF(AND('Mapa final'!$AB$104="Alta",'Mapa final'!$AD$104="Mayor"),CONCATENATE("R35C",'Mapa final'!$R$104),"")</f>
        <v/>
      </c>
      <c r="U90" s="105" t="str">
        <f>IF(AND('Mapa final'!$AB$105="Alta",'Mapa final'!$AD$105="Mayor"),CONCATENATE("R35C",'Mapa final'!$R$105),"")</f>
        <v/>
      </c>
      <c r="V90" s="43" t="str">
        <f ca="1">IF(AND('Mapa final'!$AB$103="Alta",'Mapa final'!$AD$103="Catastrófico"),CONCATENATE("R35C",'Mapa final'!$R$103),"")</f>
        <v/>
      </c>
      <c r="W90" s="44" t="str">
        <f>IF(AND('Mapa final'!$AB$104="Alta",'Mapa final'!$AD$104="Catastrófico"),CONCATENATE("R35C",'Mapa final'!$R$104),"")</f>
        <v/>
      </c>
      <c r="X90" s="99" t="str">
        <f>IF(AND('Mapa final'!$AB$105="Alta",'Mapa final'!$AD$105="Catastrófico"),CONCATENATE("R35C",'Mapa final'!$R$105),"")</f>
        <v/>
      </c>
      <c r="Y90" s="56"/>
      <c r="Z90" s="269"/>
      <c r="AA90" s="270"/>
      <c r="AB90" s="270"/>
      <c r="AC90" s="270"/>
      <c r="AD90" s="270"/>
      <c r="AE90" s="271"/>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row>
    <row r="91" spans="1:61" ht="15" customHeight="1" x14ac:dyDescent="0.25">
      <c r="A91" s="56"/>
      <c r="B91" s="286"/>
      <c r="C91" s="286"/>
      <c r="D91" s="287"/>
      <c r="E91" s="276"/>
      <c r="F91" s="275"/>
      <c r="G91" s="275"/>
      <c r="H91" s="275"/>
      <c r="I91" s="275"/>
      <c r="J91" s="49" t="str">
        <f ca="1">IF(AND('Mapa final'!$AB$106="Alta",'Mapa final'!$AD$106="Leve"),CONCATENATE("R36C",'Mapa final'!$R$106),"")</f>
        <v/>
      </c>
      <c r="K91" s="50" t="str">
        <f>IF(AND('Mapa final'!$AB$107="Alta",'Mapa final'!$AD$107="Leve"),CONCATENATE("R36C",'Mapa final'!$R$107),"")</f>
        <v/>
      </c>
      <c r="L91" s="110" t="str">
        <f>IF(AND('Mapa final'!$AB$108="Alta",'Mapa final'!$AD$108="Leve"),CONCATENATE("R36C",'Mapa final'!$R$108),"")</f>
        <v/>
      </c>
      <c r="M91" s="49" t="str">
        <f ca="1">IF(AND('Mapa final'!$AB$106="Alta",'Mapa final'!$AD$106="Menor"),CONCATENATE("R36C",'Mapa final'!$R$106),"")</f>
        <v/>
      </c>
      <c r="N91" s="50" t="str">
        <f>IF(AND('Mapa final'!$AB$107="Alta",'Mapa final'!$AD$107="Menor"),CONCATENATE("R36C",'Mapa final'!$R$107),"")</f>
        <v/>
      </c>
      <c r="O91" s="110" t="str">
        <f>IF(AND('Mapa final'!$AB$108="Alta",'Mapa final'!$AD$108="Menor"),CONCATENATE("R36C",'Mapa final'!$R$108),"")</f>
        <v/>
      </c>
      <c r="P91" s="104" t="str">
        <f ca="1">IF(AND('Mapa final'!$AB$106="Alta",'Mapa final'!$AD$106="Moderado"),CONCATENATE("R36C",'Mapa final'!$R$106),"")</f>
        <v/>
      </c>
      <c r="Q91" s="42" t="str">
        <f>IF(AND('Mapa final'!$AB$107="Alta",'Mapa final'!$AD$107="Moderado"),CONCATENATE("R36C",'Mapa final'!$R$107),"")</f>
        <v/>
      </c>
      <c r="R91" s="105" t="str">
        <f>IF(AND('Mapa final'!$AB$108="Alta",'Mapa final'!$AD$108="Moderado"),CONCATENATE("R36C",'Mapa final'!$R$108),"")</f>
        <v/>
      </c>
      <c r="S91" s="104" t="str">
        <f ca="1">IF(AND('Mapa final'!$AB$106="Alta",'Mapa final'!$AD$106="Mayor"),CONCATENATE("R36C",'Mapa final'!$R$106),"")</f>
        <v/>
      </c>
      <c r="T91" s="42" t="str">
        <f>IF(AND('Mapa final'!$AB$107="Alta",'Mapa final'!$AD$107="Mayor"),CONCATENATE("R36C",'Mapa final'!$R$107),"")</f>
        <v/>
      </c>
      <c r="U91" s="105" t="str">
        <f>IF(AND('Mapa final'!$AB$108="Alta",'Mapa final'!$AD$108="Mayor"),CONCATENATE("R36C",'Mapa final'!$R$108),"")</f>
        <v/>
      </c>
      <c r="V91" s="43" t="str">
        <f ca="1">IF(AND('Mapa final'!$AB$106="Alta",'Mapa final'!$AD$106="Catastrófico"),CONCATENATE("R36C",'Mapa final'!$R$106),"")</f>
        <v/>
      </c>
      <c r="W91" s="44" t="str">
        <f>IF(AND('Mapa final'!$AB$107="Alta",'Mapa final'!$AD$107="Catastrófico"),CONCATENATE("R36C",'Mapa final'!$R$107),"")</f>
        <v/>
      </c>
      <c r="X91" s="99" t="str">
        <f>IF(AND('Mapa final'!$AB$108="Alta",'Mapa final'!$AD$108="Catastrófico"),CONCATENATE("R36C",'Mapa final'!$R$108),"")</f>
        <v/>
      </c>
      <c r="Y91" s="56"/>
      <c r="Z91" s="269"/>
      <c r="AA91" s="270"/>
      <c r="AB91" s="270"/>
      <c r="AC91" s="270"/>
      <c r="AD91" s="270"/>
      <c r="AE91" s="271"/>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row>
    <row r="92" spans="1:61" ht="15" customHeight="1" x14ac:dyDescent="0.25">
      <c r="A92" s="56"/>
      <c r="B92" s="286"/>
      <c r="C92" s="286"/>
      <c r="D92" s="287"/>
      <c r="E92" s="276"/>
      <c r="F92" s="275"/>
      <c r="G92" s="275"/>
      <c r="H92" s="275"/>
      <c r="I92" s="275"/>
      <c r="J92" s="49" t="str">
        <f ca="1">IF(AND('Mapa final'!$AB$109="Alta",'Mapa final'!$AD$109="Leve"),CONCATENATE("R37C",'Mapa final'!$R$109),"")</f>
        <v/>
      </c>
      <c r="K92" s="50" t="str">
        <f>IF(AND('Mapa final'!$AB$110="Alta",'Mapa final'!$AD$110="Leve"),CONCATENATE("R37C",'Mapa final'!$R$110),"")</f>
        <v/>
      </c>
      <c r="L92" s="110" t="str">
        <f>IF(AND('Mapa final'!$AB$111="Alta",'Mapa final'!$AD$111="Leve"),CONCATENATE("R37C",'Mapa final'!$R$111),"")</f>
        <v/>
      </c>
      <c r="M92" s="49" t="str">
        <f ca="1">IF(AND('Mapa final'!$AB$109="Alta",'Mapa final'!$AD$109="Menor"),CONCATENATE("R37C",'Mapa final'!$R$109),"")</f>
        <v/>
      </c>
      <c r="N92" s="50" t="str">
        <f>IF(AND('Mapa final'!$AB$110="Alta",'Mapa final'!$AD$110="Menor"),CONCATENATE("R37C",'Mapa final'!$R$110),"")</f>
        <v/>
      </c>
      <c r="O92" s="110" t="str">
        <f>IF(AND('Mapa final'!$AB$111="Alta",'Mapa final'!$AD$111="Menor"),CONCATENATE("R37C",'Mapa final'!$R$111),"")</f>
        <v/>
      </c>
      <c r="P92" s="104" t="str">
        <f ca="1">IF(AND('Mapa final'!$AB$109="Alta",'Mapa final'!$AD$109="Moderado"),CONCATENATE("R37C",'Mapa final'!$R$109),"")</f>
        <v/>
      </c>
      <c r="Q92" s="42" t="str">
        <f>IF(AND('Mapa final'!$AB$110="Alta",'Mapa final'!$AD$110="Moderado"),CONCATENATE("R37C",'Mapa final'!$R$110),"")</f>
        <v/>
      </c>
      <c r="R92" s="105" t="str">
        <f>IF(AND('Mapa final'!$AB$111="Alta",'Mapa final'!$AD$111="Moderado"),CONCATENATE("R37C",'Mapa final'!$R$111),"")</f>
        <v/>
      </c>
      <c r="S92" s="104" t="str">
        <f ca="1">IF(AND('Mapa final'!$AB$109="Alta",'Mapa final'!$AD$109="Mayor"),CONCATENATE("R37C",'Mapa final'!$R$109),"")</f>
        <v/>
      </c>
      <c r="T92" s="42" t="str">
        <f>IF(AND('Mapa final'!$AB$110="Alta",'Mapa final'!$AD$110="Mayor"),CONCATENATE("R37C",'Mapa final'!$R$110),"")</f>
        <v/>
      </c>
      <c r="U92" s="105" t="str">
        <f>IF(AND('Mapa final'!$AB$111="Alta",'Mapa final'!$AD$111="Mayor"),CONCATENATE("R37C",'Mapa final'!$R$111),"")</f>
        <v/>
      </c>
      <c r="V92" s="43" t="str">
        <f ca="1">IF(AND('Mapa final'!$AB$109="Alta",'Mapa final'!$AD$109="Catastrófico"),CONCATENATE("R37C",'Mapa final'!$R$109),"")</f>
        <v/>
      </c>
      <c r="W92" s="44" t="str">
        <f>IF(AND('Mapa final'!$AB$110="Alta",'Mapa final'!$AD$110="Catastrófico"),CONCATENATE("R37C",'Mapa final'!$R$110),"")</f>
        <v/>
      </c>
      <c r="X92" s="99" t="str">
        <f>IF(AND('Mapa final'!$AB$111="Alta",'Mapa final'!$AD$111="Catastrófico"),CONCATENATE("R37C",'Mapa final'!$R$111),"")</f>
        <v/>
      </c>
      <c r="Y92" s="56"/>
      <c r="Z92" s="269"/>
      <c r="AA92" s="270"/>
      <c r="AB92" s="270"/>
      <c r="AC92" s="270"/>
      <c r="AD92" s="270"/>
      <c r="AE92" s="271"/>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row>
    <row r="93" spans="1:61" ht="15" customHeight="1" x14ac:dyDescent="0.25">
      <c r="A93" s="56"/>
      <c r="B93" s="286"/>
      <c r="C93" s="286"/>
      <c r="D93" s="287"/>
      <c r="E93" s="276"/>
      <c r="F93" s="275"/>
      <c r="G93" s="275"/>
      <c r="H93" s="275"/>
      <c r="I93" s="275"/>
      <c r="J93" s="49" t="str">
        <f ca="1">IF(AND('Mapa final'!$AB$112="Alta",'Mapa final'!$AD$112="Leve"),CONCATENATE("R38C",'Mapa final'!$R$112),"")</f>
        <v/>
      </c>
      <c r="K93" s="50" t="str">
        <f>IF(AND('Mapa final'!$AB$113="Alta",'Mapa final'!$AD$113="Leve"),CONCATENATE("R38C",'Mapa final'!$R$113),"")</f>
        <v/>
      </c>
      <c r="L93" s="110" t="str">
        <f>IF(AND('Mapa final'!$AB$114="Alta",'Mapa final'!$AD$114="Leve"),CONCATENATE("R38C",'Mapa final'!$R$114),"")</f>
        <v/>
      </c>
      <c r="M93" s="49" t="str">
        <f ca="1">IF(AND('Mapa final'!$AB$112="Alta",'Mapa final'!$AD$112="Menor"),CONCATENATE("R38C",'Mapa final'!$R$112),"")</f>
        <v/>
      </c>
      <c r="N93" s="50" t="str">
        <f>IF(AND('Mapa final'!$AB$113="Alta",'Mapa final'!$AD$113="Menor"),CONCATENATE("R38C",'Mapa final'!$R$113),"")</f>
        <v/>
      </c>
      <c r="O93" s="110" t="str">
        <f>IF(AND('Mapa final'!$AB$114="Alta",'Mapa final'!$AD$114="Menor"),CONCATENATE("R38C",'Mapa final'!$R$114),"")</f>
        <v/>
      </c>
      <c r="P93" s="104" t="str">
        <f ca="1">IF(AND('Mapa final'!$AB$112="Alta",'Mapa final'!$AD$112="Moderado"),CONCATENATE("R38C",'Mapa final'!$R$112),"")</f>
        <v/>
      </c>
      <c r="Q93" s="42" t="str">
        <f>IF(AND('Mapa final'!$AB$113="Alta",'Mapa final'!$AD$113="Moderado"),CONCATENATE("R38C",'Mapa final'!$R$113),"")</f>
        <v/>
      </c>
      <c r="R93" s="105" t="str">
        <f>IF(AND('Mapa final'!$AB$114="Alta",'Mapa final'!$AD$114="Moderado"),CONCATENATE("R38C",'Mapa final'!$R$114),"")</f>
        <v/>
      </c>
      <c r="S93" s="104" t="str">
        <f ca="1">IF(AND('Mapa final'!$AB$112="Alta",'Mapa final'!$AD$112="Mayor"),CONCATENATE("R38C",'Mapa final'!$R$112),"")</f>
        <v/>
      </c>
      <c r="T93" s="42" t="str">
        <f>IF(AND('Mapa final'!$AB$113="Alta",'Mapa final'!$AD$113="Mayor"),CONCATENATE("R38C",'Mapa final'!$R$113),"")</f>
        <v/>
      </c>
      <c r="U93" s="105" t="str">
        <f>IF(AND('Mapa final'!$AB$114="Alta",'Mapa final'!$AD$114="Mayor"),CONCATENATE("R38C",'Mapa final'!$R$114),"")</f>
        <v/>
      </c>
      <c r="V93" s="43" t="str">
        <f ca="1">IF(AND('Mapa final'!$AB$112="Alta",'Mapa final'!$AD$112="Catastrófico"),CONCATENATE("R38C",'Mapa final'!$R$112),"")</f>
        <v/>
      </c>
      <c r="W93" s="44" t="str">
        <f>IF(AND('Mapa final'!$AB$113="Alta",'Mapa final'!$AD$113="Catastrófico"),CONCATENATE("R38C",'Mapa final'!$R$113),"")</f>
        <v/>
      </c>
      <c r="X93" s="99" t="str">
        <f>IF(AND('Mapa final'!$AB$114="Alta",'Mapa final'!$AD$114="Catastrófico"),CONCATENATE("R38C",'Mapa final'!$R$114),"")</f>
        <v/>
      </c>
      <c r="Y93" s="56"/>
      <c r="Z93" s="269"/>
      <c r="AA93" s="270"/>
      <c r="AB93" s="270"/>
      <c r="AC93" s="270"/>
      <c r="AD93" s="270"/>
      <c r="AE93" s="271"/>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row>
    <row r="94" spans="1:61" ht="15" customHeight="1" x14ac:dyDescent="0.25">
      <c r="A94" s="56"/>
      <c r="B94" s="286"/>
      <c r="C94" s="286"/>
      <c r="D94" s="287"/>
      <c r="E94" s="276"/>
      <c r="F94" s="275"/>
      <c r="G94" s="275"/>
      <c r="H94" s="275"/>
      <c r="I94" s="275"/>
      <c r="J94" s="49" t="str">
        <f ca="1">IF(AND('Mapa final'!$AB$115="Alta",'Mapa final'!$AD$115="Leve"),CONCATENATE("R39C",'Mapa final'!$R$115),"")</f>
        <v/>
      </c>
      <c r="K94" s="50" t="str">
        <f>IF(AND('Mapa final'!$AB$116="Alta",'Mapa final'!$AD$116="Leve"),CONCATENATE("R39C",'Mapa final'!$R$116),"")</f>
        <v/>
      </c>
      <c r="L94" s="110" t="str">
        <f>IF(AND('Mapa final'!$AB$117="Alta",'Mapa final'!$AD$117="Leve"),CONCATENATE("R39C",'Mapa final'!$R$117),"")</f>
        <v/>
      </c>
      <c r="M94" s="49" t="str">
        <f ca="1">IF(AND('Mapa final'!$AB$115="Alta",'Mapa final'!$AD$115="Menor"),CONCATENATE("R39C",'Mapa final'!$R$115),"")</f>
        <v/>
      </c>
      <c r="N94" s="50" t="str">
        <f>IF(AND('Mapa final'!$AB$116="Alta",'Mapa final'!$AD$116="Menor"),CONCATENATE("R39C",'Mapa final'!$R$116),"")</f>
        <v/>
      </c>
      <c r="O94" s="110" t="str">
        <f>IF(AND('Mapa final'!$AB$117="Alta",'Mapa final'!$AD$117="Menor"),CONCATENATE("R39C",'Mapa final'!$R$117),"")</f>
        <v/>
      </c>
      <c r="P94" s="104" t="str">
        <f ca="1">IF(AND('Mapa final'!$AB$115="Alta",'Mapa final'!$AD$115="Moderado"),CONCATENATE("R39C",'Mapa final'!$R$115),"")</f>
        <v/>
      </c>
      <c r="Q94" s="42" t="str">
        <f>IF(AND('Mapa final'!$AB$116="Alta",'Mapa final'!$AD$116="Moderado"),CONCATENATE("R39C",'Mapa final'!$R$116),"")</f>
        <v/>
      </c>
      <c r="R94" s="105" t="str">
        <f>IF(AND('Mapa final'!$AB$117="Alta",'Mapa final'!$AD$117="Moderado"),CONCATENATE("R39C",'Mapa final'!$R$117),"")</f>
        <v/>
      </c>
      <c r="S94" s="104" t="str">
        <f ca="1">IF(AND('Mapa final'!$AB$115="Alta",'Mapa final'!$AD$115="Mayor"),CONCATENATE("R39C",'Mapa final'!$R$115),"")</f>
        <v/>
      </c>
      <c r="T94" s="42" t="str">
        <f>IF(AND('Mapa final'!$AB$116="Alta",'Mapa final'!$AD$116="Mayor"),CONCATENATE("R39C",'Mapa final'!$R$116),"")</f>
        <v/>
      </c>
      <c r="U94" s="105" t="str">
        <f>IF(AND('Mapa final'!$AB$117="Alta",'Mapa final'!$AD$117="Mayor"),CONCATENATE("R39C",'Mapa final'!$R$117),"")</f>
        <v/>
      </c>
      <c r="V94" s="43" t="str">
        <f ca="1">IF(AND('Mapa final'!$AB$115="Alta",'Mapa final'!$AD$115="Catastrófico"),CONCATENATE("R39C",'Mapa final'!$R$115),"")</f>
        <v/>
      </c>
      <c r="W94" s="44" t="str">
        <f>IF(AND('Mapa final'!$AB$116="Alta",'Mapa final'!$AD$116="Catastrófico"),CONCATENATE("R39C",'Mapa final'!$R$116),"")</f>
        <v/>
      </c>
      <c r="X94" s="99" t="str">
        <f>IF(AND('Mapa final'!$AB$117="Alta",'Mapa final'!$AD$117="Catastrófico"),CONCATENATE("R39C",'Mapa final'!$R$117),"")</f>
        <v/>
      </c>
      <c r="Y94" s="56"/>
      <c r="Z94" s="269"/>
      <c r="AA94" s="270"/>
      <c r="AB94" s="270"/>
      <c r="AC94" s="270"/>
      <c r="AD94" s="270"/>
      <c r="AE94" s="271"/>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row>
    <row r="95" spans="1:61" ht="15" customHeight="1" x14ac:dyDescent="0.25">
      <c r="A95" s="56"/>
      <c r="B95" s="286"/>
      <c r="C95" s="286"/>
      <c r="D95" s="287"/>
      <c r="E95" s="276"/>
      <c r="F95" s="275"/>
      <c r="G95" s="275"/>
      <c r="H95" s="275"/>
      <c r="I95" s="275"/>
      <c r="J95" s="49" t="str">
        <f ca="1">IF(AND('Mapa final'!$AB$118="Alta",'Mapa final'!$AD$118="Leve"),CONCATENATE("R40C",'Mapa final'!$R$118),"")</f>
        <v/>
      </c>
      <c r="K95" s="50" t="str">
        <f>IF(AND('Mapa final'!$AB$119="Alta",'Mapa final'!$AD$119="Leve"),CONCATENATE("R40C",'Mapa final'!$R$119),"")</f>
        <v/>
      </c>
      <c r="L95" s="110" t="str">
        <f>IF(AND('Mapa final'!$AB$120="Alta",'Mapa final'!$AD$120="Leve"),CONCATENATE("R40C",'Mapa final'!$R$120),"")</f>
        <v/>
      </c>
      <c r="M95" s="49" t="str">
        <f ca="1">IF(AND('Mapa final'!$AB$118="Alta",'Mapa final'!$AD$118="Menor"),CONCATENATE("R40C",'Mapa final'!$R$118),"")</f>
        <v/>
      </c>
      <c r="N95" s="50" t="str">
        <f>IF(AND('Mapa final'!$AB$119="Alta",'Mapa final'!$AD$119="Menor"),CONCATENATE("R40C",'Mapa final'!$R$119),"")</f>
        <v/>
      </c>
      <c r="O95" s="110" t="str">
        <f>IF(AND('Mapa final'!$AB$120="Alta",'Mapa final'!$AD$120="Menor"),CONCATENATE("R40C",'Mapa final'!$R$120),"")</f>
        <v/>
      </c>
      <c r="P95" s="104" t="str">
        <f ca="1">IF(AND('Mapa final'!$AB$118="Alta",'Mapa final'!$AD$118="Moderado"),CONCATENATE("R40C",'Mapa final'!$R$118),"")</f>
        <v/>
      </c>
      <c r="Q95" s="42" t="str">
        <f>IF(AND('Mapa final'!$AB$119="Alta",'Mapa final'!$AD$119="Moderado"),CONCATENATE("R40C",'Mapa final'!$R$119),"")</f>
        <v/>
      </c>
      <c r="R95" s="105" t="str">
        <f>IF(AND('Mapa final'!$AB$120="Alta",'Mapa final'!$AD$120="Moderado"),CONCATENATE("R40C",'Mapa final'!$R$120),"")</f>
        <v/>
      </c>
      <c r="S95" s="104" t="str">
        <f ca="1">IF(AND('Mapa final'!$AB$118="Alta",'Mapa final'!$AD$118="Mayor"),CONCATENATE("R40C",'Mapa final'!$R$118),"")</f>
        <v/>
      </c>
      <c r="T95" s="42" t="str">
        <f>IF(AND('Mapa final'!$AB$119="Alta",'Mapa final'!$AD$119="Mayor"),CONCATENATE("R40C",'Mapa final'!$R$119),"")</f>
        <v/>
      </c>
      <c r="U95" s="105" t="str">
        <f>IF(AND('Mapa final'!$AB$120="Alta",'Mapa final'!$AD$120="Mayor"),CONCATENATE("R40C",'Mapa final'!$R$120),"")</f>
        <v/>
      </c>
      <c r="V95" s="43" t="str">
        <f ca="1">IF(AND('Mapa final'!$AB$118="Alta",'Mapa final'!$AD$118="Catastrófico"),CONCATENATE("R40C",'Mapa final'!$R$118),"")</f>
        <v/>
      </c>
      <c r="W95" s="44" t="str">
        <f>IF(AND('Mapa final'!$AB$119="Alta",'Mapa final'!$AD$119="Catastrófico"),CONCATENATE("R40C",'Mapa final'!$R$119),"")</f>
        <v/>
      </c>
      <c r="X95" s="99" t="str">
        <f>IF(AND('Mapa final'!$AB$120="Alta",'Mapa final'!$AD$120="Catastrófico"),CONCATENATE("R40C",'Mapa final'!$R$120),"")</f>
        <v/>
      </c>
      <c r="Y95" s="56"/>
      <c r="Z95" s="269"/>
      <c r="AA95" s="270"/>
      <c r="AB95" s="270"/>
      <c r="AC95" s="270"/>
      <c r="AD95" s="270"/>
      <c r="AE95" s="271"/>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row>
    <row r="96" spans="1:61" ht="15" customHeight="1" x14ac:dyDescent="0.25">
      <c r="A96" s="56"/>
      <c r="B96" s="286"/>
      <c r="C96" s="286"/>
      <c r="D96" s="287"/>
      <c r="E96" s="276"/>
      <c r="F96" s="275"/>
      <c r="G96" s="275"/>
      <c r="H96" s="275"/>
      <c r="I96" s="275"/>
      <c r="J96" s="49" t="str">
        <f ca="1">IF(AND('Mapa final'!$AB$121="Alta",'Mapa final'!$AD$121="Leve"),CONCATENATE("R41C",'Mapa final'!$R$121),"")</f>
        <v/>
      </c>
      <c r="K96" s="50" t="str">
        <f>IF(AND('Mapa final'!$AB$122="Alta",'Mapa final'!$AD$122="Leve"),CONCATENATE("R41C",'Mapa final'!$R$122),"")</f>
        <v/>
      </c>
      <c r="L96" s="110" t="str">
        <f>IF(AND('Mapa final'!$AB$123="Alta",'Mapa final'!$AD$123="Leve"),CONCATENATE("R41C",'Mapa final'!$R$123),"")</f>
        <v/>
      </c>
      <c r="M96" s="49" t="str">
        <f ca="1">IF(AND('Mapa final'!$AB$121="Alta",'Mapa final'!$AD$121="Menor"),CONCATENATE("R41C",'Mapa final'!$R$121),"")</f>
        <v/>
      </c>
      <c r="N96" s="50" t="str">
        <f>IF(AND('Mapa final'!$AB$122="Alta",'Mapa final'!$AD$122="Menor"),CONCATENATE("R41C",'Mapa final'!$R$122),"")</f>
        <v/>
      </c>
      <c r="O96" s="110" t="str">
        <f>IF(AND('Mapa final'!$AB$123="Alta",'Mapa final'!$AD$123="Menor"),CONCATENATE("R41C",'Mapa final'!$R$123),"")</f>
        <v/>
      </c>
      <c r="P96" s="104" t="str">
        <f ca="1">IF(AND('Mapa final'!$AB$121="Alta",'Mapa final'!$AD$121="Moderado"),CONCATENATE("R41C",'Mapa final'!$R$121),"")</f>
        <v/>
      </c>
      <c r="Q96" s="42" t="str">
        <f>IF(AND('Mapa final'!$AB$122="Alta",'Mapa final'!$AD$122="Moderado"),CONCATENATE("R41C",'Mapa final'!$R$122),"")</f>
        <v/>
      </c>
      <c r="R96" s="105" t="str">
        <f>IF(AND('Mapa final'!$AB$123="Alta",'Mapa final'!$AD$123="Moderado"),CONCATENATE("R41C",'Mapa final'!$R$123),"")</f>
        <v/>
      </c>
      <c r="S96" s="104" t="str">
        <f ca="1">IF(AND('Mapa final'!$AB$121="Alta",'Mapa final'!$AD$121="Mayor"),CONCATENATE("R41C",'Mapa final'!$R$121),"")</f>
        <v/>
      </c>
      <c r="T96" s="42" t="str">
        <f>IF(AND('Mapa final'!$AB$122="Alta",'Mapa final'!$AD$122="Mayor"),CONCATENATE("R41C",'Mapa final'!$R$122),"")</f>
        <v/>
      </c>
      <c r="U96" s="105" t="str">
        <f>IF(AND('Mapa final'!$AB$123="Alta",'Mapa final'!$AD$123="Mayor"),CONCATENATE("R41C",'Mapa final'!$R$123),"")</f>
        <v/>
      </c>
      <c r="V96" s="43" t="str">
        <f ca="1">IF(AND('Mapa final'!$AB$121="Alta",'Mapa final'!$AD$121="Catastrófico"),CONCATENATE("R41C",'Mapa final'!$R$121),"")</f>
        <v/>
      </c>
      <c r="W96" s="44" t="str">
        <f>IF(AND('Mapa final'!$AB$122="Alta",'Mapa final'!$AD$122="Catastrófico"),CONCATENATE("R41C",'Mapa final'!$R$122),"")</f>
        <v/>
      </c>
      <c r="X96" s="99" t="str">
        <f>IF(AND('Mapa final'!$AB$123="Alta",'Mapa final'!$AD$123="Catastrófico"),CONCATENATE("R41C",'Mapa final'!$R$123),"")</f>
        <v/>
      </c>
      <c r="Y96" s="56"/>
      <c r="Z96" s="269"/>
      <c r="AA96" s="270"/>
      <c r="AB96" s="270"/>
      <c r="AC96" s="270"/>
      <c r="AD96" s="270"/>
      <c r="AE96" s="271"/>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row>
    <row r="97" spans="1:61" ht="15" customHeight="1" x14ac:dyDescent="0.25">
      <c r="A97" s="56"/>
      <c r="B97" s="286"/>
      <c r="C97" s="286"/>
      <c r="D97" s="287"/>
      <c r="E97" s="276"/>
      <c r="F97" s="275"/>
      <c r="G97" s="275"/>
      <c r="H97" s="275"/>
      <c r="I97" s="275"/>
      <c r="J97" s="49" t="str">
        <f ca="1">IF(AND('Mapa final'!$AB$124="Alta",'Mapa final'!$AD$124="Leve"),CONCATENATE("R42C",'Mapa final'!$R$124),"")</f>
        <v/>
      </c>
      <c r="K97" s="50" t="str">
        <f>IF(AND('Mapa final'!$AB$125="Alta",'Mapa final'!$AD$125="Leve"),CONCATENATE("R42C",'Mapa final'!$R$125),"")</f>
        <v/>
      </c>
      <c r="L97" s="110" t="str">
        <f>IF(AND('Mapa final'!$AB$126="Alta",'Mapa final'!$AD$126="Leve"),CONCATENATE("R42C",'Mapa final'!$R$126),"")</f>
        <v/>
      </c>
      <c r="M97" s="49" t="str">
        <f ca="1">IF(AND('Mapa final'!$AB$124="Alta",'Mapa final'!$AD$124="Menor"),CONCATENATE("R42C",'Mapa final'!$R$124),"")</f>
        <v/>
      </c>
      <c r="N97" s="50" t="str">
        <f>IF(AND('Mapa final'!$AB$125="Alta",'Mapa final'!$AD$125="Menor"),CONCATENATE("R42C",'Mapa final'!$R$125),"")</f>
        <v/>
      </c>
      <c r="O97" s="110" t="str">
        <f>IF(AND('Mapa final'!$AB$126="Alta",'Mapa final'!$AD$126="Menor"),CONCATENATE("R42C",'Mapa final'!$R$126),"")</f>
        <v/>
      </c>
      <c r="P97" s="104" t="str">
        <f ca="1">IF(AND('Mapa final'!$AB$124="Alta",'Mapa final'!$AD$124="Moderado"),CONCATENATE("R42C",'Mapa final'!$R$124),"")</f>
        <v/>
      </c>
      <c r="Q97" s="42" t="str">
        <f>IF(AND('Mapa final'!$AB$125="Alta",'Mapa final'!$AD$125="Moderado"),CONCATENATE("R42C",'Mapa final'!$R$125),"")</f>
        <v/>
      </c>
      <c r="R97" s="105" t="str">
        <f>IF(AND('Mapa final'!$AB$126="Alta",'Mapa final'!$AD$126="Moderado"),CONCATENATE("R42C",'Mapa final'!$R$126),"")</f>
        <v/>
      </c>
      <c r="S97" s="104" t="str">
        <f ca="1">IF(AND('Mapa final'!$AB$124="Alta",'Mapa final'!$AD$124="Mayor"),CONCATENATE("R42C",'Mapa final'!$R$124),"")</f>
        <v/>
      </c>
      <c r="T97" s="42" t="str">
        <f>IF(AND('Mapa final'!$AB$125="Alta",'Mapa final'!$AD$125="Mayor"),CONCATENATE("R42C",'Mapa final'!$R$125),"")</f>
        <v/>
      </c>
      <c r="U97" s="105" t="str">
        <f>IF(AND('Mapa final'!$AB$126="Alta",'Mapa final'!$AD$126="Mayor"),CONCATENATE("R42C",'Mapa final'!$R$126),"")</f>
        <v/>
      </c>
      <c r="V97" s="43" t="str">
        <f ca="1">IF(AND('Mapa final'!$AB$124="Alta",'Mapa final'!$AD$124="Catastrófico"),CONCATENATE("R42C",'Mapa final'!$R$124),"")</f>
        <v/>
      </c>
      <c r="W97" s="44" t="str">
        <f>IF(AND('Mapa final'!$AB$125="Alta",'Mapa final'!$AD$125="Catastrófico"),CONCATENATE("R42C",'Mapa final'!$R$125),"")</f>
        <v/>
      </c>
      <c r="X97" s="99" t="str">
        <f>IF(AND('Mapa final'!$AB$126="Alta",'Mapa final'!$AD$126="Catastrófico"),CONCATENATE("R42C",'Mapa final'!$R$126),"")</f>
        <v/>
      </c>
      <c r="Y97" s="56"/>
      <c r="Z97" s="269"/>
      <c r="AA97" s="270"/>
      <c r="AB97" s="270"/>
      <c r="AC97" s="270"/>
      <c r="AD97" s="270"/>
      <c r="AE97" s="271"/>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row>
    <row r="98" spans="1:61" ht="15" customHeight="1" x14ac:dyDescent="0.25">
      <c r="A98" s="56"/>
      <c r="B98" s="286"/>
      <c r="C98" s="286"/>
      <c r="D98" s="287"/>
      <c r="E98" s="276"/>
      <c r="F98" s="275"/>
      <c r="G98" s="275"/>
      <c r="H98" s="275"/>
      <c r="I98" s="275"/>
      <c r="J98" s="49" t="str">
        <f ca="1">IF(AND('Mapa final'!$AB$127="Alta",'Mapa final'!$AD$127="Leve"),CONCATENATE("R43C",'Mapa final'!$R$127),"")</f>
        <v/>
      </c>
      <c r="K98" s="50" t="str">
        <f>IF(AND('Mapa final'!$AB$128="Alta",'Mapa final'!$AD$128="Leve"),CONCATENATE("R43C",'Mapa final'!$R$128),"")</f>
        <v/>
      </c>
      <c r="L98" s="110" t="str">
        <f>IF(AND('Mapa final'!$AB$129="Alta",'Mapa final'!$AD$129="Leve"),CONCATENATE("R43C",'Mapa final'!$R$129),"")</f>
        <v/>
      </c>
      <c r="M98" s="49" t="str">
        <f ca="1">IF(AND('Mapa final'!$AB$127="Alta",'Mapa final'!$AD$127="Menor"),CONCATENATE("R43C",'Mapa final'!$R$127),"")</f>
        <v/>
      </c>
      <c r="N98" s="50" t="str">
        <f>IF(AND('Mapa final'!$AB$128="Alta",'Mapa final'!$AD$128="Menor"),CONCATENATE("R43C",'Mapa final'!$R$128),"")</f>
        <v/>
      </c>
      <c r="O98" s="110" t="str">
        <f>IF(AND('Mapa final'!$AB$129="Alta",'Mapa final'!$AD$129="Menor"),CONCATENATE("R43C",'Mapa final'!$R$129),"")</f>
        <v/>
      </c>
      <c r="P98" s="104" t="str">
        <f ca="1">IF(AND('Mapa final'!$AB$127="Alta",'Mapa final'!$AD$127="Moderado"),CONCATENATE("R43C",'Mapa final'!$R$127),"")</f>
        <v/>
      </c>
      <c r="Q98" s="42" t="str">
        <f>IF(AND('Mapa final'!$AB$128="Alta",'Mapa final'!$AD$128="Moderado"),CONCATENATE("R43C",'Mapa final'!$R$128),"")</f>
        <v/>
      </c>
      <c r="R98" s="105" t="str">
        <f>IF(AND('Mapa final'!$AB$129="Alta",'Mapa final'!$AD$129="Moderado"),CONCATENATE("R43C",'Mapa final'!$R$129),"")</f>
        <v/>
      </c>
      <c r="S98" s="104" t="str">
        <f ca="1">IF(AND('Mapa final'!$AB$127="Alta",'Mapa final'!$AD$127="Mayor"),CONCATENATE("R43C",'Mapa final'!$R$127),"")</f>
        <v/>
      </c>
      <c r="T98" s="42" t="str">
        <f>IF(AND('Mapa final'!$AB$128="Alta",'Mapa final'!$AD$128="Mayor"),CONCATENATE("R43C",'Mapa final'!$R$128),"")</f>
        <v/>
      </c>
      <c r="U98" s="105" t="str">
        <f>IF(AND('Mapa final'!$AB$129="Alta",'Mapa final'!$AD$129="Mayor"),CONCATENATE("R43C",'Mapa final'!$R$129),"")</f>
        <v/>
      </c>
      <c r="V98" s="43" t="str">
        <f ca="1">IF(AND('Mapa final'!$AB$127="Alta",'Mapa final'!$AD$127="Catastrófico"),CONCATENATE("R43C",'Mapa final'!$R$127),"")</f>
        <v/>
      </c>
      <c r="W98" s="44" t="str">
        <f>IF(AND('Mapa final'!$AB$128="Alta",'Mapa final'!$AD$128="Catastrófico"),CONCATENATE("R43C",'Mapa final'!$R$128),"")</f>
        <v/>
      </c>
      <c r="X98" s="99" t="str">
        <f>IF(AND('Mapa final'!$AB$129="Alta",'Mapa final'!$AD$129="Catastrófico"),CONCATENATE("R43C",'Mapa final'!$R$129),"")</f>
        <v/>
      </c>
      <c r="Y98" s="56"/>
      <c r="Z98" s="269"/>
      <c r="AA98" s="270"/>
      <c r="AB98" s="270"/>
      <c r="AC98" s="270"/>
      <c r="AD98" s="270"/>
      <c r="AE98" s="271"/>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row>
    <row r="99" spans="1:61" ht="15" customHeight="1" x14ac:dyDescent="0.25">
      <c r="A99" s="56"/>
      <c r="B99" s="286"/>
      <c r="C99" s="286"/>
      <c r="D99" s="287"/>
      <c r="E99" s="276"/>
      <c r="F99" s="275"/>
      <c r="G99" s="275"/>
      <c r="H99" s="275"/>
      <c r="I99" s="275"/>
      <c r="J99" s="49" t="str">
        <f ca="1">IF(AND('Mapa final'!$AB$130="Alta",'Mapa final'!$AD$130="Leve"),CONCATENATE("R44C",'Mapa final'!$R$130),"")</f>
        <v/>
      </c>
      <c r="K99" s="50" t="str">
        <f>IF(AND('Mapa final'!$AB$131="Alta",'Mapa final'!$AD$131="Leve"),CONCATENATE("R44C",'Mapa final'!$R$131),"")</f>
        <v/>
      </c>
      <c r="L99" s="110" t="str">
        <f>IF(AND('Mapa final'!$AB$132="Alta",'Mapa final'!$AD$132="Leve"),CONCATENATE("R44C",'Mapa final'!$R$132),"")</f>
        <v/>
      </c>
      <c r="M99" s="49" t="str">
        <f ca="1">IF(AND('Mapa final'!$AB$130="Alta",'Mapa final'!$AD$130="Menor"),CONCATENATE("R44C",'Mapa final'!$R$130),"")</f>
        <v/>
      </c>
      <c r="N99" s="50" t="str">
        <f>IF(AND('Mapa final'!$AB$131="Alta",'Mapa final'!$AD$131="Menor"),CONCATENATE("R44C",'Mapa final'!$R$131),"")</f>
        <v/>
      </c>
      <c r="O99" s="110" t="str">
        <f>IF(AND('Mapa final'!$AB$132="Alta",'Mapa final'!$AD$132="Menor"),CONCATENATE("R44C",'Mapa final'!$R$132),"")</f>
        <v/>
      </c>
      <c r="P99" s="104" t="str">
        <f ca="1">IF(AND('Mapa final'!$AB$130="Alta",'Mapa final'!$AD$130="Moderado"),CONCATENATE("R44C",'Mapa final'!$R$130),"")</f>
        <v/>
      </c>
      <c r="Q99" s="42" t="str">
        <f>IF(AND('Mapa final'!$AB$131="Alta",'Mapa final'!$AD$131="Moderado"),CONCATENATE("R44C",'Mapa final'!$R$131),"")</f>
        <v/>
      </c>
      <c r="R99" s="105" t="str">
        <f>IF(AND('Mapa final'!$AB$132="Alta",'Mapa final'!$AD$132="Moderado"),CONCATENATE("R44C",'Mapa final'!$R$132),"")</f>
        <v/>
      </c>
      <c r="S99" s="104" t="str">
        <f ca="1">IF(AND('Mapa final'!$AB$130="Alta",'Mapa final'!$AD$130="Mayor"),CONCATENATE("R44C",'Mapa final'!$R$130),"")</f>
        <v/>
      </c>
      <c r="T99" s="42" t="str">
        <f>IF(AND('Mapa final'!$AB$131="Alta",'Mapa final'!$AD$131="Mayor"),CONCATENATE("R44C",'Mapa final'!$R$131),"")</f>
        <v/>
      </c>
      <c r="U99" s="105" t="str">
        <f>IF(AND('Mapa final'!$AB$132="Alta",'Mapa final'!$AD$132="Mayor"),CONCATENATE("R44C",'Mapa final'!$R$132),"")</f>
        <v/>
      </c>
      <c r="V99" s="43" t="str">
        <f ca="1">IF(AND('Mapa final'!$AB$130="Alta",'Mapa final'!$AD$130="Catastrófico"),CONCATENATE("R44C",'Mapa final'!$R$130),"")</f>
        <v/>
      </c>
      <c r="W99" s="44" t="str">
        <f>IF(AND('Mapa final'!$AB$131="Alta",'Mapa final'!$AD$131="Catastrófico"),CONCATENATE("R44C",'Mapa final'!$R$131),"")</f>
        <v/>
      </c>
      <c r="X99" s="99" t="str">
        <f>IF(AND('Mapa final'!$AB$132="Alta",'Mapa final'!$AD$132="Catastrófico"),CONCATENATE("R44C",'Mapa final'!$R$132),"")</f>
        <v/>
      </c>
      <c r="Y99" s="56"/>
      <c r="Z99" s="269"/>
      <c r="AA99" s="270"/>
      <c r="AB99" s="270"/>
      <c r="AC99" s="270"/>
      <c r="AD99" s="270"/>
      <c r="AE99" s="271"/>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row>
    <row r="100" spans="1:61" ht="15" customHeight="1" x14ac:dyDescent="0.25">
      <c r="A100" s="56"/>
      <c r="B100" s="286"/>
      <c r="C100" s="286"/>
      <c r="D100" s="287"/>
      <c r="E100" s="276"/>
      <c r="F100" s="275"/>
      <c r="G100" s="275"/>
      <c r="H100" s="275"/>
      <c r="I100" s="275"/>
      <c r="J100" s="49" t="str">
        <f ca="1">IF(AND('Mapa final'!$AB$133="Alta",'Mapa final'!$AD$133="Leve"),CONCATENATE("R45C",'Mapa final'!$R$133),"")</f>
        <v/>
      </c>
      <c r="K100" s="50" t="str">
        <f>IF(AND('Mapa final'!$AB$134="Alta",'Mapa final'!$AD$134="Leve"),CONCATENATE("R45C",'Mapa final'!$R$134),"")</f>
        <v/>
      </c>
      <c r="L100" s="110" t="str">
        <f>IF(AND('Mapa final'!$AB$135="Alta",'Mapa final'!$AD$135="Leve"),CONCATENATE("R45C",'Mapa final'!$R$135),"")</f>
        <v/>
      </c>
      <c r="M100" s="49" t="str">
        <f ca="1">IF(AND('Mapa final'!$AB$133="Alta",'Mapa final'!$AD$133="Menor"),CONCATENATE("R45C",'Mapa final'!$R$133),"")</f>
        <v/>
      </c>
      <c r="N100" s="50" t="str">
        <f>IF(AND('Mapa final'!$AB$134="Alta",'Mapa final'!$AD$134="Menor"),CONCATENATE("R45C",'Mapa final'!$R$134),"")</f>
        <v/>
      </c>
      <c r="O100" s="110" t="str">
        <f>IF(AND('Mapa final'!$AB$135="Alta",'Mapa final'!$AD$135="Menor"),CONCATENATE("R45C",'Mapa final'!$R$135),"")</f>
        <v/>
      </c>
      <c r="P100" s="104" t="str">
        <f ca="1">IF(AND('Mapa final'!$AB$133="Alta",'Mapa final'!$AD$133="Moderado"),CONCATENATE("R45C",'Mapa final'!$R$133),"")</f>
        <v/>
      </c>
      <c r="Q100" s="42" t="str">
        <f>IF(AND('Mapa final'!$AB$134="Alta",'Mapa final'!$AD$134="Moderado"),CONCATENATE("R45C",'Mapa final'!$R$134),"")</f>
        <v/>
      </c>
      <c r="R100" s="105" t="str">
        <f>IF(AND('Mapa final'!$AB$135="Alta",'Mapa final'!$AD$135="Moderado"),CONCATENATE("R45C",'Mapa final'!$R$135),"")</f>
        <v/>
      </c>
      <c r="S100" s="104" t="str">
        <f ca="1">IF(AND('Mapa final'!$AB$133="Alta",'Mapa final'!$AD$133="Mayor"),CONCATENATE("R45C",'Mapa final'!$R$133),"")</f>
        <v/>
      </c>
      <c r="T100" s="42" t="str">
        <f>IF(AND('Mapa final'!$AB$134="Alta",'Mapa final'!$AD$134="Mayor"),CONCATENATE("R45C",'Mapa final'!$R$134),"")</f>
        <v/>
      </c>
      <c r="U100" s="105" t="str">
        <f>IF(AND('Mapa final'!$AB$135="Alta",'Mapa final'!$AD$135="Mayor"),CONCATENATE("R45C",'Mapa final'!$R$135),"")</f>
        <v/>
      </c>
      <c r="V100" s="43" t="str">
        <f ca="1">IF(AND('Mapa final'!$AB$133="Alta",'Mapa final'!$AD$133="Catastrófico"),CONCATENATE("R45C",'Mapa final'!$R$133),"")</f>
        <v/>
      </c>
      <c r="W100" s="44" t="str">
        <f>IF(AND('Mapa final'!$AB$134="Alta",'Mapa final'!$AD$134="Catastrófico"),CONCATENATE("R45C",'Mapa final'!$R$134),"")</f>
        <v/>
      </c>
      <c r="X100" s="99" t="str">
        <f>IF(AND('Mapa final'!$AB$135="Alta",'Mapa final'!$AD$135="Catastrófico"),CONCATENATE("R45C",'Mapa final'!$R$135),"")</f>
        <v/>
      </c>
      <c r="Y100" s="56"/>
      <c r="Z100" s="269"/>
      <c r="AA100" s="270"/>
      <c r="AB100" s="270"/>
      <c r="AC100" s="270"/>
      <c r="AD100" s="270"/>
      <c r="AE100" s="271"/>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row>
    <row r="101" spans="1:61" ht="15" customHeight="1" x14ac:dyDescent="0.25">
      <c r="A101" s="56"/>
      <c r="B101" s="286"/>
      <c r="C101" s="286"/>
      <c r="D101" s="287"/>
      <c r="E101" s="276"/>
      <c r="F101" s="275"/>
      <c r="G101" s="275"/>
      <c r="H101" s="275"/>
      <c r="I101" s="275"/>
      <c r="J101" s="49" t="str">
        <f ca="1">IF(AND('Mapa final'!$AB$136="Alta",'Mapa final'!$AD$136="Leve"),CONCATENATE("R46C",'Mapa final'!$R$136),"")</f>
        <v/>
      </c>
      <c r="K101" s="50" t="str">
        <f>IF(AND('Mapa final'!$AB$137="Alta",'Mapa final'!$AD$137="Leve"),CONCATENATE("R46C",'Mapa final'!$R$137),"")</f>
        <v/>
      </c>
      <c r="L101" s="110" t="str">
        <f>IF(AND('Mapa final'!$AB$138="Alta",'Mapa final'!$AD$138="Leve"),CONCATENATE("R46C",'Mapa final'!$R$138),"")</f>
        <v/>
      </c>
      <c r="M101" s="49" t="str">
        <f ca="1">IF(AND('Mapa final'!$AB$136="Alta",'Mapa final'!$AD$136="Menor"),CONCATENATE("R46C",'Mapa final'!$R$136),"")</f>
        <v/>
      </c>
      <c r="N101" s="50" t="str">
        <f>IF(AND('Mapa final'!$AB$137="Alta",'Mapa final'!$AD$137="Menor"),CONCATENATE("R46C",'Mapa final'!$R$137),"")</f>
        <v/>
      </c>
      <c r="O101" s="110" t="str">
        <f>IF(AND('Mapa final'!$AB$138="Alta",'Mapa final'!$AD$138="Menor"),CONCATENATE("R46C",'Mapa final'!$R$138),"")</f>
        <v/>
      </c>
      <c r="P101" s="104" t="str">
        <f ca="1">IF(AND('Mapa final'!$AB$136="Alta",'Mapa final'!$AD$136="Moderado"),CONCATENATE("R46C",'Mapa final'!$R$136),"")</f>
        <v/>
      </c>
      <c r="Q101" s="42" t="str">
        <f>IF(AND('Mapa final'!$AB$137="Alta",'Mapa final'!$AD$137="Moderado"),CONCATENATE("R46C",'Mapa final'!$R$137),"")</f>
        <v/>
      </c>
      <c r="R101" s="105" t="str">
        <f>IF(AND('Mapa final'!$AB$138="Alta",'Mapa final'!$AD$138="Moderado"),CONCATENATE("R46C",'Mapa final'!$R$138),"")</f>
        <v/>
      </c>
      <c r="S101" s="104" t="str">
        <f ca="1">IF(AND('Mapa final'!$AB$136="Alta",'Mapa final'!$AD$136="Mayor"),CONCATENATE("R46C",'Mapa final'!$R$136),"")</f>
        <v/>
      </c>
      <c r="T101" s="42" t="str">
        <f>IF(AND('Mapa final'!$AB$137="Alta",'Mapa final'!$AD$137="Mayor"),CONCATENATE("R46C",'Mapa final'!$R$137),"")</f>
        <v/>
      </c>
      <c r="U101" s="105" t="str">
        <f>IF(AND('Mapa final'!$AB$138="Alta",'Mapa final'!$AD$138="Mayor"),CONCATENATE("R46C",'Mapa final'!$R$138),"")</f>
        <v/>
      </c>
      <c r="V101" s="43" t="str">
        <f ca="1">IF(AND('Mapa final'!$AB$136="Alta",'Mapa final'!$AD$136="Catastrófico"),CONCATENATE("R46C",'Mapa final'!$R$136),"")</f>
        <v/>
      </c>
      <c r="W101" s="44" t="str">
        <f>IF(AND('Mapa final'!$AB$137="Alta",'Mapa final'!$AD$137="Catastrófico"),CONCATENATE("R46C",'Mapa final'!$R$137),"")</f>
        <v/>
      </c>
      <c r="X101" s="99" t="str">
        <f>IF(AND('Mapa final'!$AB$138="Alta",'Mapa final'!$AD$138="Catastrófico"),CONCATENATE("R46C",'Mapa final'!$R$138),"")</f>
        <v/>
      </c>
      <c r="Y101" s="56"/>
      <c r="Z101" s="269"/>
      <c r="AA101" s="270"/>
      <c r="AB101" s="270"/>
      <c r="AC101" s="270"/>
      <c r="AD101" s="270"/>
      <c r="AE101" s="271"/>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row>
    <row r="102" spans="1:61" ht="15" customHeight="1" x14ac:dyDescent="0.25">
      <c r="A102" s="56"/>
      <c r="B102" s="286"/>
      <c r="C102" s="286"/>
      <c r="D102" s="287"/>
      <c r="E102" s="276"/>
      <c r="F102" s="275"/>
      <c r="G102" s="275"/>
      <c r="H102" s="275"/>
      <c r="I102" s="275"/>
      <c r="J102" s="49" t="str">
        <f ca="1">IF(AND('Mapa final'!$AB$139="Alta",'Mapa final'!$AD$139="Leve"),CONCATENATE("R47C",'Mapa final'!$R$139),"")</f>
        <v/>
      </c>
      <c r="K102" s="50" t="str">
        <f>IF(AND('Mapa final'!$AB$140="Alta",'Mapa final'!$AD$140="Leve"),CONCATENATE("R47C",'Mapa final'!$R$140),"")</f>
        <v/>
      </c>
      <c r="L102" s="110" t="str">
        <f>IF(AND('Mapa final'!$AB$141="Alta",'Mapa final'!$AD$141="Leve"),CONCATENATE("R47C",'Mapa final'!$R$141),"")</f>
        <v/>
      </c>
      <c r="M102" s="49" t="str">
        <f ca="1">IF(AND('Mapa final'!$AB$139="Alta",'Mapa final'!$AD$139="Menor"),CONCATENATE("R47C",'Mapa final'!$R$139),"")</f>
        <v/>
      </c>
      <c r="N102" s="50" t="str">
        <f>IF(AND('Mapa final'!$AB$140="Alta",'Mapa final'!$AD$140="Menor"),CONCATENATE("R47C",'Mapa final'!$R$140),"")</f>
        <v/>
      </c>
      <c r="O102" s="110" t="str">
        <f>IF(AND('Mapa final'!$AB$141="Alta",'Mapa final'!$AD$141="Menor"),CONCATENATE("R47C",'Mapa final'!$R$141),"")</f>
        <v/>
      </c>
      <c r="P102" s="104" t="str">
        <f ca="1">IF(AND('Mapa final'!$AB$139="Alta",'Mapa final'!$AD$139="Moderado"),CONCATENATE("R47C",'Mapa final'!$R$139),"")</f>
        <v/>
      </c>
      <c r="Q102" s="42" t="str">
        <f>IF(AND('Mapa final'!$AB$140="Alta",'Mapa final'!$AD$140="Moderado"),CONCATENATE("R47C",'Mapa final'!$R$140),"")</f>
        <v/>
      </c>
      <c r="R102" s="105" t="str">
        <f>IF(AND('Mapa final'!$AB$141="Alta",'Mapa final'!$AD$141="Moderado"),CONCATENATE("R47C",'Mapa final'!$R$141),"")</f>
        <v/>
      </c>
      <c r="S102" s="104" t="str">
        <f ca="1">IF(AND('Mapa final'!$AB$139="Alta",'Mapa final'!$AD$139="Mayor"),CONCATENATE("R47C",'Mapa final'!$R$139),"")</f>
        <v/>
      </c>
      <c r="T102" s="42" t="str">
        <f>IF(AND('Mapa final'!$AB$140="Alta",'Mapa final'!$AD$140="Mayor"),CONCATENATE("R47C",'Mapa final'!$R$140),"")</f>
        <v/>
      </c>
      <c r="U102" s="105" t="str">
        <f>IF(AND('Mapa final'!$AB$141="Alta",'Mapa final'!$AD$141="Mayor"),CONCATENATE("R47C",'Mapa final'!$R$141),"")</f>
        <v/>
      </c>
      <c r="V102" s="43" t="str">
        <f ca="1">IF(AND('Mapa final'!$AB$139="Alta",'Mapa final'!$AD$139="Catastrófico"),CONCATENATE("R47C",'Mapa final'!$R$139),"")</f>
        <v/>
      </c>
      <c r="W102" s="44" t="str">
        <f>IF(AND('Mapa final'!$AB$140="Alta",'Mapa final'!$AD$140="Catastrófico"),CONCATENATE("R47C",'Mapa final'!$R$140),"")</f>
        <v/>
      </c>
      <c r="X102" s="99" t="str">
        <f>IF(AND('Mapa final'!$AB$141="Alta",'Mapa final'!$AD$141="Catastrófico"),CONCATENATE("R47C",'Mapa final'!$R$141),"")</f>
        <v/>
      </c>
      <c r="Y102" s="56"/>
      <c r="Z102" s="269"/>
      <c r="AA102" s="270"/>
      <c r="AB102" s="270"/>
      <c r="AC102" s="270"/>
      <c r="AD102" s="270"/>
      <c r="AE102" s="271"/>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row>
    <row r="103" spans="1:61" ht="15" customHeight="1" x14ac:dyDescent="0.25">
      <c r="A103" s="56"/>
      <c r="B103" s="286"/>
      <c r="C103" s="286"/>
      <c r="D103" s="287"/>
      <c r="E103" s="276"/>
      <c r="F103" s="275"/>
      <c r="G103" s="275"/>
      <c r="H103" s="275"/>
      <c r="I103" s="275"/>
      <c r="J103" s="49" t="str">
        <f>IF(AND('Mapa final'!$AB$142="Alta",'Mapa final'!$AD$142="Leve"),CONCATENATE("R48C",'Mapa final'!$R$142),"")</f>
        <v/>
      </c>
      <c r="K103" s="50" t="str">
        <f>IF(AND('Mapa final'!$AB$143="Alta",'Mapa final'!$AD$143="Leve"),CONCATENATE("R48C",'Mapa final'!$R$143),"")</f>
        <v/>
      </c>
      <c r="L103" s="110" t="str">
        <f>IF(AND('Mapa final'!$AB$144="Alta",'Mapa final'!$AD$144="Leve"),CONCATENATE("R48C",'Mapa final'!$R$144),"")</f>
        <v/>
      </c>
      <c r="M103" s="49" t="str">
        <f>IF(AND('Mapa final'!$AB$142="Alta",'Mapa final'!$AD$142="Menor"),CONCATENATE("R48C",'Mapa final'!$R$142),"")</f>
        <v/>
      </c>
      <c r="N103" s="50" t="str">
        <f>IF(AND('Mapa final'!$AB$143="Alta",'Mapa final'!$AD$143="Menor"),CONCATENATE("R48C",'Mapa final'!$R$143),"")</f>
        <v/>
      </c>
      <c r="O103" s="110" t="str">
        <f>IF(AND('Mapa final'!$AB$144="Alta",'Mapa final'!$AD$144="Menor"),CONCATENATE("R48C",'Mapa final'!$R$144),"")</f>
        <v/>
      </c>
      <c r="P103" s="104" t="str">
        <f>IF(AND('Mapa final'!$AB$142="Alta",'Mapa final'!$AD$142="Moderado"),CONCATENATE("R48C",'Mapa final'!$R$142),"")</f>
        <v/>
      </c>
      <c r="Q103" s="42" t="str">
        <f>IF(AND('Mapa final'!$AB$143="Alta",'Mapa final'!$AD$143="Moderado"),CONCATENATE("R48C",'Mapa final'!$R$143),"")</f>
        <v/>
      </c>
      <c r="R103" s="105" t="str">
        <f>IF(AND('Mapa final'!$AB$144="Alta",'Mapa final'!$AD$144="Moderado"),CONCATENATE("R48C",'Mapa final'!$R$144),"")</f>
        <v/>
      </c>
      <c r="S103" s="104" t="str">
        <f>IF(AND('Mapa final'!$AB$142="Alta",'Mapa final'!$AD$142="Mayor"),CONCATENATE("R48C",'Mapa final'!$R$142),"")</f>
        <v/>
      </c>
      <c r="T103" s="42" t="str">
        <f>IF(AND('Mapa final'!$AB$143="Alta",'Mapa final'!$AD$143="Mayor"),CONCATENATE("R48C",'Mapa final'!$R$143),"")</f>
        <v/>
      </c>
      <c r="U103" s="105" t="str">
        <f>IF(AND('Mapa final'!$AB$144="Alta",'Mapa final'!$AD$144="Mayor"),CONCATENATE("R48C",'Mapa final'!$R$144),"")</f>
        <v/>
      </c>
      <c r="V103" s="43" t="str">
        <f>IF(AND('Mapa final'!$AB$142="Alta",'Mapa final'!$AD$142="Catastrófico"),CONCATENATE("R48C",'Mapa final'!$R$142),"")</f>
        <v/>
      </c>
      <c r="W103" s="44" t="str">
        <f>IF(AND('Mapa final'!$AB$143="Alta",'Mapa final'!$AD$143="Catastrófico"),CONCATENATE("R48C",'Mapa final'!$R$143),"")</f>
        <v/>
      </c>
      <c r="X103" s="99" t="str">
        <f>IF(AND('Mapa final'!$AB$144="Alta",'Mapa final'!$AD$144="Catastrófico"),CONCATENATE("R48C",'Mapa final'!$R$144),"")</f>
        <v/>
      </c>
      <c r="Y103" s="56"/>
      <c r="Z103" s="269"/>
      <c r="AA103" s="270"/>
      <c r="AB103" s="270"/>
      <c r="AC103" s="270"/>
      <c r="AD103" s="270"/>
      <c r="AE103" s="271"/>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row>
    <row r="104" spans="1:61" ht="15" customHeight="1" x14ac:dyDescent="0.25">
      <c r="A104" s="56"/>
      <c r="B104" s="286"/>
      <c r="C104" s="286"/>
      <c r="D104" s="287"/>
      <c r="E104" s="276"/>
      <c r="F104" s="275"/>
      <c r="G104" s="275"/>
      <c r="H104" s="275"/>
      <c r="I104" s="275"/>
      <c r="J104" s="49" t="str">
        <f>IF(AND('Mapa final'!$AB$145="Alta",'Mapa final'!$AD$145="Leve"),CONCATENATE("R49C",'Mapa final'!$R$145),"")</f>
        <v/>
      </c>
      <c r="K104" s="50" t="str">
        <f>IF(AND('Mapa final'!$AB$146="Alta",'Mapa final'!$AD$146="Leve"),CONCATENATE("R49C",'Mapa final'!$R$146),"")</f>
        <v/>
      </c>
      <c r="L104" s="110" t="str">
        <f>IF(AND('Mapa final'!$AB$147="Alta",'Mapa final'!$AD$147="Leve"),CONCATENATE("R49C",'Mapa final'!$R$147),"")</f>
        <v/>
      </c>
      <c r="M104" s="49" t="str">
        <f>IF(AND('Mapa final'!$AB$145="Alta",'Mapa final'!$AD$145="Menor"),CONCATENATE("R49C",'Mapa final'!$R$145),"")</f>
        <v/>
      </c>
      <c r="N104" s="50" t="str">
        <f>IF(AND('Mapa final'!$AB$146="Alta",'Mapa final'!$AD$146="Menor"),CONCATENATE("R49C",'Mapa final'!$R$146),"")</f>
        <v/>
      </c>
      <c r="O104" s="110" t="str">
        <f>IF(AND('Mapa final'!$AB$147="Alta",'Mapa final'!$AD$147="Menor"),CONCATENATE("R49C",'Mapa final'!$R$147),"")</f>
        <v/>
      </c>
      <c r="P104" s="104" t="str">
        <f>IF(AND('Mapa final'!$AB$145="Alta",'Mapa final'!$AD$145="Moderado"),CONCATENATE("R49C",'Mapa final'!$R$145),"")</f>
        <v/>
      </c>
      <c r="Q104" s="42" t="str">
        <f>IF(AND('Mapa final'!$AB$146="Alta",'Mapa final'!$AD$146="Moderado"),CONCATENATE("R49C",'Mapa final'!$R$146),"")</f>
        <v/>
      </c>
      <c r="R104" s="105" t="str">
        <f>IF(AND('Mapa final'!$AB$147="Alta",'Mapa final'!$AD$147="Moderado"),CONCATENATE("R49C",'Mapa final'!$R$147),"")</f>
        <v/>
      </c>
      <c r="S104" s="104" t="str">
        <f>IF(AND('Mapa final'!$AB$145="Alta",'Mapa final'!$AD$145="Mayor"),CONCATENATE("R49C",'Mapa final'!$R$145),"")</f>
        <v/>
      </c>
      <c r="T104" s="42" t="str">
        <f>IF(AND('Mapa final'!$AB$146="Alta",'Mapa final'!$AD$146="Mayor"),CONCATENATE("R49C",'Mapa final'!$R$146),"")</f>
        <v/>
      </c>
      <c r="U104" s="105" t="str">
        <f>IF(AND('Mapa final'!$AB$147="Alta",'Mapa final'!$AD$147="Mayor"),CONCATENATE("R49C",'Mapa final'!$R$147),"")</f>
        <v/>
      </c>
      <c r="V104" s="43" t="str">
        <f>IF(AND('Mapa final'!$AB$145="Alta",'Mapa final'!$AD$145="Catastrófico"),CONCATENATE("R49C",'Mapa final'!$R$145),"")</f>
        <v/>
      </c>
      <c r="W104" s="44" t="str">
        <f>IF(AND('Mapa final'!$AB$146="Alta",'Mapa final'!$AD$146="Catastrófico"),CONCATENATE("R49C",'Mapa final'!$R$146),"")</f>
        <v/>
      </c>
      <c r="X104" s="99" t="str">
        <f>IF(AND('Mapa final'!$AB$147="Alta",'Mapa final'!$AD$147="Catastrófico"),CONCATENATE("R49C",'Mapa final'!$R$147),"")</f>
        <v/>
      </c>
      <c r="Y104" s="56"/>
      <c r="Z104" s="269"/>
      <c r="AA104" s="270"/>
      <c r="AB104" s="270"/>
      <c r="AC104" s="270"/>
      <c r="AD104" s="270"/>
      <c r="AE104" s="271"/>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row>
    <row r="105" spans="1:61" ht="15" customHeight="1" thickBot="1" x14ac:dyDescent="0.3">
      <c r="A105" s="56"/>
      <c r="B105" s="286"/>
      <c r="C105" s="286"/>
      <c r="D105" s="287"/>
      <c r="E105" s="276"/>
      <c r="F105" s="275"/>
      <c r="G105" s="275"/>
      <c r="H105" s="275"/>
      <c r="I105" s="275"/>
      <c r="J105" s="51" t="str">
        <f>IF(AND('Mapa final'!$AB$148="Alta",'Mapa final'!$AD$148="Leve"),CONCATENATE("R50C",'Mapa final'!$R$148),"")</f>
        <v/>
      </c>
      <c r="K105" s="52" t="str">
        <f>IF(AND('Mapa final'!$AB$149="Alta",'Mapa final'!$AD$149="Leve"),CONCATENATE("R50C",'Mapa final'!$R$149),"")</f>
        <v/>
      </c>
      <c r="L105" s="111" t="str">
        <f>IF(AND('Mapa final'!$AB$150="Alta",'Mapa final'!$AD$150="Leve"),CONCATENATE("R50C",'Mapa final'!$R$150),"")</f>
        <v/>
      </c>
      <c r="M105" s="51" t="str">
        <f>IF(AND('Mapa final'!$AB$148="Alta",'Mapa final'!$AD$148="Menor"),CONCATENATE("R50C",'Mapa final'!$R$148),"")</f>
        <v/>
      </c>
      <c r="N105" s="52" t="str">
        <f>IF(AND('Mapa final'!$AB$149="Alta",'Mapa final'!$AD$149="Menor"),CONCATENATE("R50C",'Mapa final'!$R$149),"")</f>
        <v/>
      </c>
      <c r="O105" s="111" t="str">
        <f>IF(AND('Mapa final'!$AB$150="Alta",'Mapa final'!$AD$150="Menor"),CONCATENATE("R50C",'Mapa final'!$R$150),"")</f>
        <v/>
      </c>
      <c r="P105" s="104" t="str">
        <f>IF(AND('Mapa final'!$AB$148="Alta",'Mapa final'!$AD$148="Moderado"),CONCATENATE("R50C",'Mapa final'!$R$148),"")</f>
        <v/>
      </c>
      <c r="Q105" s="42" t="str">
        <f>IF(AND('Mapa final'!$AB$149="Alta",'Mapa final'!$AD$149="Moderado"),CONCATENATE("R50C",'Mapa final'!$R$149),"")</f>
        <v/>
      </c>
      <c r="R105" s="105" t="str">
        <f>IF(AND('Mapa final'!$AB$150="Alta",'Mapa final'!$AD$150="Moderado"),CONCATENATE("R50C",'Mapa final'!$R$150),"")</f>
        <v/>
      </c>
      <c r="S105" s="106" t="str">
        <f>IF(AND('Mapa final'!$AB$148="Alta",'Mapa final'!$AD$148="Mayor"),CONCATENATE("R50C",'Mapa final'!$R$148),"")</f>
        <v/>
      </c>
      <c r="T105" s="107" t="str">
        <f>IF(AND('Mapa final'!$AB$149="Alta",'Mapa final'!$AD$149="Mayor"),CONCATENATE("R50C",'Mapa final'!$R$149),"")</f>
        <v/>
      </c>
      <c r="U105" s="108" t="str">
        <f>IF(AND('Mapa final'!$AB$150="Alta",'Mapa final'!$AD$150="Mayor"),CONCATENATE("R50C",'Mapa final'!$R$150),"")</f>
        <v/>
      </c>
      <c r="V105" s="45" t="str">
        <f>IF(AND('Mapa final'!$AB$148="Alta",'Mapa final'!$AD$148="Catastrófico"),CONCATENATE("R50C",'Mapa final'!$R$148),"")</f>
        <v/>
      </c>
      <c r="W105" s="46" t="str">
        <f>IF(AND('Mapa final'!$AB$149="Alta",'Mapa final'!$AD$149="Catastrófico"),CONCATENATE("R50C",'Mapa final'!$R$149),"")</f>
        <v/>
      </c>
      <c r="X105" s="100" t="str">
        <f>IF(AND('Mapa final'!$AB$150="Alta",'Mapa final'!$AD$150="Catastrófico"),CONCATENATE("R50C",'Mapa final'!$R$150),"")</f>
        <v/>
      </c>
      <c r="Y105" s="56"/>
      <c r="Z105" s="269"/>
      <c r="AA105" s="270"/>
      <c r="AB105" s="270"/>
      <c r="AC105" s="270"/>
      <c r="AD105" s="270"/>
      <c r="AE105" s="271"/>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row>
    <row r="106" spans="1:61" ht="15" customHeight="1" x14ac:dyDescent="0.25">
      <c r="A106" s="56"/>
      <c r="B106" s="286"/>
      <c r="C106" s="286"/>
      <c r="D106" s="287"/>
      <c r="E106" s="272" t="s">
        <v>108</v>
      </c>
      <c r="F106" s="273"/>
      <c r="G106" s="273"/>
      <c r="H106" s="273"/>
      <c r="I106" s="273"/>
      <c r="J106" s="47" t="str">
        <f ca="1">IF(AND('Mapa final'!$AB$7="Media",'Mapa final'!$AD$7="Leve"),CONCATENATE("R1C",'Mapa final'!$R$7),"")</f>
        <v/>
      </c>
      <c r="K106" s="48" t="str">
        <f>IF(AND('Mapa final'!$AB$8="Media",'Mapa final'!$AD$8="Leve"),CONCATENATE("R1C",'Mapa final'!$R$8),"")</f>
        <v/>
      </c>
      <c r="L106" s="109" t="str">
        <f>IF(AND('Mapa final'!$AB$9="Media",'Mapa final'!$AD$9="Leve"),CONCATENATE("R1C",'Mapa final'!$R$9),"")</f>
        <v/>
      </c>
      <c r="M106" s="47" t="str">
        <f ca="1">IF(AND('Mapa final'!$AB$7="Media",'Mapa final'!$AD$7="Menor"),CONCATENATE("R1C",'Mapa final'!$R$7),"")</f>
        <v/>
      </c>
      <c r="N106" s="48" t="str">
        <f>IF(AND('Mapa final'!$AB$8="Media",'Mapa final'!$AD$8="Menor"),CONCATENATE("R1C",'Mapa final'!$R$8),"")</f>
        <v/>
      </c>
      <c r="O106" s="109" t="str">
        <f>IF(AND('Mapa final'!$AB$9="Media",'Mapa final'!$AD$9="Menor"),CONCATENATE("R1C",'Mapa final'!$R$9),"")</f>
        <v/>
      </c>
      <c r="P106" s="47" t="str">
        <f ca="1">IF(AND('Mapa final'!$AB$7="Media",'Mapa final'!$AD$7="Moderado"),CONCATENATE("R1C",'Mapa final'!$R$7),"")</f>
        <v/>
      </c>
      <c r="Q106" s="48" t="str">
        <f>IF(AND('Mapa final'!$AB$8="Media",'Mapa final'!$AD$8="Moderado"),CONCATENATE("R1C",'Mapa final'!$R$8),"")</f>
        <v/>
      </c>
      <c r="R106" s="109" t="str">
        <f>IF(AND('Mapa final'!$AB$9="Media",'Mapa final'!$AD$9="Moderado"),CONCATENATE("R1C",'Mapa final'!$R$9),"")</f>
        <v/>
      </c>
      <c r="S106" s="101" t="str">
        <f ca="1">IF(AND('Mapa final'!$AB$7="Media",'Mapa final'!$AD$7="Mayor"),CONCATENATE("R1C",'Mapa final'!$R$7),"")</f>
        <v/>
      </c>
      <c r="T106" s="102" t="str">
        <f>IF(AND('Mapa final'!$AB$8="Media",'Mapa final'!$AD$8="Mayor"),CONCATENATE("R1C",'Mapa final'!$R$8),"")</f>
        <v/>
      </c>
      <c r="U106" s="103" t="str">
        <f>IF(AND('Mapa final'!$AB$9="Media",'Mapa final'!$AD$9="Mayor"),CONCATENATE("R1C",'Mapa final'!$R$9),"")</f>
        <v/>
      </c>
      <c r="V106" s="40" t="str">
        <f ca="1">IF(AND('Mapa final'!$AB$7="Media",'Mapa final'!$AD$7="Catastrófico"),CONCATENATE("R1C",'Mapa final'!$R$7),"")</f>
        <v/>
      </c>
      <c r="W106" s="41" t="str">
        <f>IF(AND('Mapa final'!$AB$8="Media",'Mapa final'!$AD$8="Catastrófico"),CONCATENATE("R1C",'Mapa final'!$R$8),"")</f>
        <v/>
      </c>
      <c r="X106" s="98" t="str">
        <f>IF(AND('Mapa final'!$AB$9="Media",'Mapa final'!$AD$9="Catastrófico"),CONCATENATE("R1C",'Mapa final'!$R$9),"")</f>
        <v/>
      </c>
      <c r="Y106" s="56"/>
      <c r="Z106" s="294" t="s">
        <v>75</v>
      </c>
      <c r="AA106" s="295"/>
      <c r="AB106" s="295"/>
      <c r="AC106" s="295"/>
      <c r="AD106" s="295"/>
      <c r="AE106" s="29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row>
    <row r="107" spans="1:61" ht="15" customHeight="1" x14ac:dyDescent="0.25">
      <c r="A107" s="56"/>
      <c r="B107" s="286"/>
      <c r="C107" s="286"/>
      <c r="D107" s="287"/>
      <c r="E107" s="274"/>
      <c r="F107" s="275"/>
      <c r="G107" s="275"/>
      <c r="H107" s="275"/>
      <c r="I107" s="275"/>
      <c r="J107" s="49" t="str">
        <f ca="1">IF(AND('Mapa final'!$AB$10="Media",'Mapa final'!$AD$10="Leve"),CONCATENATE("R2C",'Mapa final'!$R$10),"")</f>
        <v/>
      </c>
      <c r="K107" s="50" t="str">
        <f>IF(AND('Mapa final'!$AB$11="Media",'Mapa final'!$AD$11="Leve"),CONCATENATE("R2C",'Mapa final'!$R$11),"")</f>
        <v/>
      </c>
      <c r="L107" s="110" t="str">
        <f>IF(AND('Mapa final'!$AB$12="Media",'Mapa final'!$AD$12="Leve"),CONCATENATE("R2C",'Mapa final'!$R$12),"")</f>
        <v/>
      </c>
      <c r="M107" s="49" t="str">
        <f ca="1">IF(AND('Mapa final'!$AB$10="Media",'Mapa final'!$AD$10="Menor"),CONCATENATE("R2C",'Mapa final'!$R$10),"")</f>
        <v/>
      </c>
      <c r="N107" s="50" t="str">
        <f>IF(AND('Mapa final'!$AB$11="Media",'Mapa final'!$AD$11="Menor"),CONCATENATE("R2C",'Mapa final'!$R$11),"")</f>
        <v/>
      </c>
      <c r="O107" s="110" t="str">
        <f>IF(AND('Mapa final'!$AB$12="Media",'Mapa final'!$AD$12="Menor"),CONCATENATE("R2C",'Mapa final'!$R$12),"")</f>
        <v/>
      </c>
      <c r="P107" s="49" t="str">
        <f ca="1">IF(AND('Mapa final'!$AB$10="Media",'Mapa final'!$AD$10="Moderado"),CONCATENATE("R2C",'Mapa final'!$R$10),"")</f>
        <v/>
      </c>
      <c r="Q107" s="50" t="str">
        <f>IF(AND('Mapa final'!$AB$11="Media",'Mapa final'!$AD$11="Moderado"),CONCATENATE("R2C",'Mapa final'!$R$11),"")</f>
        <v/>
      </c>
      <c r="R107" s="110" t="str">
        <f>IF(AND('Mapa final'!$AB$12="Media",'Mapa final'!$AD$12="Moderado"),CONCATENATE("R2C",'Mapa final'!$R$12),"")</f>
        <v/>
      </c>
      <c r="S107" s="104" t="str">
        <f ca="1">IF(AND('Mapa final'!$AB$10="Media",'Mapa final'!$AD$10="Mayor"),CONCATENATE("R2C",'Mapa final'!$R$10),"")</f>
        <v/>
      </c>
      <c r="T107" s="42" t="str">
        <f>IF(AND('Mapa final'!$AB$11="Media",'Mapa final'!$AD$11="Mayor"),CONCATENATE("R2C",'Mapa final'!$R$11),"")</f>
        <v/>
      </c>
      <c r="U107" s="105" t="str">
        <f>IF(AND('Mapa final'!$AB$12="Media",'Mapa final'!$AD$12="Mayor"),CONCATENATE("R2C",'Mapa final'!$R$12),"")</f>
        <v/>
      </c>
      <c r="V107" s="43" t="str">
        <f ca="1">IF(AND('Mapa final'!$AB$10="Media",'Mapa final'!$AD$10="Catastrófico"),CONCATENATE("R2C",'Mapa final'!$R$10),"")</f>
        <v/>
      </c>
      <c r="W107" s="44" t="str">
        <f>IF(AND('Mapa final'!$AB$11="Media",'Mapa final'!$AD$11="Catastrófico"),CONCATENATE("R2C",'Mapa final'!$R$11),"")</f>
        <v/>
      </c>
      <c r="X107" s="99" t="str">
        <f>IF(AND('Mapa final'!$AB$12="Media",'Mapa final'!$AD$12="Catastrófico"),CONCATENATE("R2C",'Mapa final'!$R$12),"")</f>
        <v/>
      </c>
      <c r="Y107" s="56"/>
      <c r="Z107" s="297"/>
      <c r="AA107" s="298"/>
      <c r="AB107" s="298"/>
      <c r="AC107" s="298"/>
      <c r="AD107" s="298"/>
      <c r="AE107" s="299"/>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row>
    <row r="108" spans="1:61" ht="15" customHeight="1" x14ac:dyDescent="0.25">
      <c r="A108" s="56"/>
      <c r="B108" s="286"/>
      <c r="C108" s="286"/>
      <c r="D108" s="287"/>
      <c r="E108" s="276"/>
      <c r="F108" s="275"/>
      <c r="G108" s="275"/>
      <c r="H108" s="275"/>
      <c r="I108" s="275"/>
      <c r="J108" s="49" t="str">
        <f ca="1">IF(AND('Mapa final'!$AB$13="Media",'Mapa final'!$AD$13="Leve"),CONCATENATE("R3C",'Mapa final'!$R$13),"")</f>
        <v/>
      </c>
      <c r="K108" s="50" t="str">
        <f>IF(AND('Mapa final'!$AB$14="Media",'Mapa final'!$AD$14="Leve"),CONCATENATE("R3C",'Mapa final'!$R$14),"")</f>
        <v/>
      </c>
      <c r="L108" s="110" t="str">
        <f>IF(AND('Mapa final'!$AB$15="Media",'Mapa final'!$AD$15="Leve"),CONCATENATE("R3C",'Mapa final'!$R$15),"")</f>
        <v/>
      </c>
      <c r="M108" s="49" t="str">
        <f ca="1">IF(AND('Mapa final'!$AB$13="Media",'Mapa final'!$AD$13="Menor"),CONCATENATE("R3C",'Mapa final'!$R$13),"")</f>
        <v/>
      </c>
      <c r="N108" s="50" t="str">
        <f>IF(AND('Mapa final'!$AB$14="Media",'Mapa final'!$AD$14="Menor"),CONCATENATE("R3C",'Mapa final'!$R$14),"")</f>
        <v/>
      </c>
      <c r="O108" s="110" t="str">
        <f>IF(AND('Mapa final'!$AB$15="Media",'Mapa final'!$AD$15="Menor"),CONCATENATE("R3C",'Mapa final'!$R$15),"")</f>
        <v/>
      </c>
      <c r="P108" s="49" t="str">
        <f ca="1">IF(AND('Mapa final'!$AB$13="Media",'Mapa final'!$AD$13="Moderado"),CONCATENATE("R3C",'Mapa final'!$R$13),"")</f>
        <v>R3C1</v>
      </c>
      <c r="Q108" s="50" t="str">
        <f>IF(AND('Mapa final'!$AB$14="Media",'Mapa final'!$AD$14="Moderado"),CONCATENATE("R3C",'Mapa final'!$R$14),"")</f>
        <v/>
      </c>
      <c r="R108" s="110" t="str">
        <f>IF(AND('Mapa final'!$AB$15="Media",'Mapa final'!$AD$15="Moderado"),CONCATENATE("R3C",'Mapa final'!$R$15),"")</f>
        <v/>
      </c>
      <c r="S108" s="104" t="str">
        <f ca="1">IF(AND('Mapa final'!$AB$13="Media",'Mapa final'!$AD$13="Mayor"),CONCATENATE("R3C",'Mapa final'!$R$13),"")</f>
        <v/>
      </c>
      <c r="T108" s="42" t="str">
        <f>IF(AND('Mapa final'!$AB$14="Media",'Mapa final'!$AD$14="Mayor"),CONCATENATE("R3C",'Mapa final'!$R$14),"")</f>
        <v/>
      </c>
      <c r="U108" s="105" t="str">
        <f>IF(AND('Mapa final'!$AB$15="Media",'Mapa final'!$AD$15="Mayor"),CONCATENATE("R3C",'Mapa final'!$R$15),"")</f>
        <v/>
      </c>
      <c r="V108" s="43" t="str">
        <f ca="1">IF(AND('Mapa final'!$AB$13="Media",'Mapa final'!$AD$13="Catastrófico"),CONCATENATE("R3C",'Mapa final'!$R$13),"")</f>
        <v/>
      </c>
      <c r="W108" s="44" t="str">
        <f>IF(AND('Mapa final'!$AB$14="Media",'Mapa final'!$AD$14="Catastrófico"),CONCATENATE("R3C",'Mapa final'!$R$14),"")</f>
        <v/>
      </c>
      <c r="X108" s="99" t="str">
        <f>IF(AND('Mapa final'!$AB$15="Media",'Mapa final'!$AD$15="Catastrófico"),CONCATENATE("R3C",'Mapa final'!$R$15),"")</f>
        <v/>
      </c>
      <c r="Y108" s="56"/>
      <c r="Z108" s="297"/>
      <c r="AA108" s="298"/>
      <c r="AB108" s="298"/>
      <c r="AC108" s="298"/>
      <c r="AD108" s="298"/>
      <c r="AE108" s="299"/>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c r="BI108" s="56"/>
    </row>
    <row r="109" spans="1:61" ht="15" customHeight="1" x14ac:dyDescent="0.25">
      <c r="A109" s="56"/>
      <c r="B109" s="286"/>
      <c r="C109" s="286"/>
      <c r="D109" s="287"/>
      <c r="E109" s="276"/>
      <c r="F109" s="275"/>
      <c r="G109" s="275"/>
      <c r="H109" s="275"/>
      <c r="I109" s="275"/>
      <c r="J109" s="49" t="e">
        <f>IF(AND('Mapa final'!#REF!="Media",'Mapa final'!#REF!="Leve"),CONCATENATE("R4C",'Mapa final'!#REF!),"")</f>
        <v>#REF!</v>
      </c>
      <c r="K109" s="50" t="e">
        <f>IF(AND('Mapa final'!#REF!="Media",'Mapa final'!#REF!="Leve"),CONCATENATE("R4C",'Mapa final'!#REF!),"")</f>
        <v>#REF!</v>
      </c>
      <c r="L109" s="110" t="e">
        <f>IF(AND('Mapa final'!#REF!="Media",'Mapa final'!#REF!="Leve"),CONCATENATE("R4C",'Mapa final'!#REF!),"")</f>
        <v>#REF!</v>
      </c>
      <c r="M109" s="49" t="e">
        <f>IF(AND('Mapa final'!#REF!="Media",'Mapa final'!#REF!="Menor"),CONCATENATE("R4C",'Mapa final'!#REF!),"")</f>
        <v>#REF!</v>
      </c>
      <c r="N109" s="50" t="e">
        <f>IF(AND('Mapa final'!#REF!="Media",'Mapa final'!#REF!="Menor"),CONCATENATE("R4C",'Mapa final'!#REF!),"")</f>
        <v>#REF!</v>
      </c>
      <c r="O109" s="110" t="e">
        <f>IF(AND('Mapa final'!#REF!="Media",'Mapa final'!#REF!="Menor"),CONCATENATE("R4C",'Mapa final'!#REF!),"")</f>
        <v>#REF!</v>
      </c>
      <c r="P109" s="49" t="e">
        <f>IF(AND('Mapa final'!#REF!="Media",'Mapa final'!#REF!="Moderado"),CONCATENATE("R4C",'Mapa final'!#REF!),"")</f>
        <v>#REF!</v>
      </c>
      <c r="Q109" s="50" t="e">
        <f>IF(AND('Mapa final'!#REF!="Media",'Mapa final'!#REF!="Moderado"),CONCATENATE("R4C",'Mapa final'!#REF!),"")</f>
        <v>#REF!</v>
      </c>
      <c r="R109" s="110" t="e">
        <f>IF(AND('Mapa final'!#REF!="Media",'Mapa final'!#REF!="Moderado"),CONCATENATE("R4C",'Mapa final'!#REF!),"")</f>
        <v>#REF!</v>
      </c>
      <c r="S109" s="104" t="e">
        <f>IF(AND('Mapa final'!#REF!="Media",'Mapa final'!#REF!="Mayor"),CONCATENATE("R4C",'Mapa final'!#REF!),"")</f>
        <v>#REF!</v>
      </c>
      <c r="T109" s="42" t="e">
        <f>IF(AND('Mapa final'!#REF!="Media",'Mapa final'!#REF!="Mayor"),CONCATENATE("R4C",'Mapa final'!#REF!),"")</f>
        <v>#REF!</v>
      </c>
      <c r="U109" s="105" t="e">
        <f>IF(AND('Mapa final'!#REF!="Media",'Mapa final'!#REF!="Mayor"),CONCATENATE("R4C",'Mapa final'!#REF!),"")</f>
        <v>#REF!</v>
      </c>
      <c r="V109" s="43" t="e">
        <f>IF(AND('Mapa final'!#REF!="Media",'Mapa final'!#REF!="Catastrófico"),CONCATENATE("R4C",'Mapa final'!#REF!),"")</f>
        <v>#REF!</v>
      </c>
      <c r="W109" s="44" t="e">
        <f>IF(AND('Mapa final'!#REF!="Media",'Mapa final'!#REF!="Catastrófico"),CONCATENATE("R4C",'Mapa final'!#REF!),"")</f>
        <v>#REF!</v>
      </c>
      <c r="X109" s="99" t="e">
        <f>IF(AND('Mapa final'!#REF!="Media",'Mapa final'!#REF!="Catastrófico"),CONCATENATE("R4C",'Mapa final'!#REF!),"")</f>
        <v>#REF!</v>
      </c>
      <c r="Y109" s="56"/>
      <c r="Z109" s="297"/>
      <c r="AA109" s="298"/>
      <c r="AB109" s="298"/>
      <c r="AC109" s="298"/>
      <c r="AD109" s="298"/>
      <c r="AE109" s="299"/>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row>
    <row r="110" spans="1:61" ht="15" customHeight="1" x14ac:dyDescent="0.25">
      <c r="A110" s="56"/>
      <c r="B110" s="286"/>
      <c r="C110" s="286"/>
      <c r="D110" s="287"/>
      <c r="E110" s="276"/>
      <c r="F110" s="275"/>
      <c r="G110" s="275"/>
      <c r="H110" s="275"/>
      <c r="I110" s="275"/>
      <c r="J110" s="49" t="e">
        <f>IF(AND('Mapa final'!#REF!="Media",'Mapa final'!#REF!="Leve"),CONCATENATE("R5C",'Mapa final'!#REF!),"")</f>
        <v>#REF!</v>
      </c>
      <c r="K110" s="50" t="e">
        <f>IF(AND('Mapa final'!#REF!="Media",'Mapa final'!#REF!="Leve"),CONCATENATE("R5C",'Mapa final'!#REF!),"")</f>
        <v>#REF!</v>
      </c>
      <c r="L110" s="110" t="e">
        <f>IF(AND('Mapa final'!#REF!="Media",'Mapa final'!#REF!="Leve"),CONCATENATE("R5C",'Mapa final'!#REF!),"")</f>
        <v>#REF!</v>
      </c>
      <c r="M110" s="49" t="e">
        <f>IF(AND('Mapa final'!#REF!="Media",'Mapa final'!#REF!="Menor"),CONCATENATE("R5C",'Mapa final'!#REF!),"")</f>
        <v>#REF!</v>
      </c>
      <c r="N110" s="50" t="e">
        <f>IF(AND('Mapa final'!#REF!="Media",'Mapa final'!#REF!="Menor"),CONCATENATE("R5C",'Mapa final'!#REF!),"")</f>
        <v>#REF!</v>
      </c>
      <c r="O110" s="110" t="e">
        <f>IF(AND('Mapa final'!#REF!="Media",'Mapa final'!#REF!="Menor"),CONCATENATE("R5C",'Mapa final'!#REF!),"")</f>
        <v>#REF!</v>
      </c>
      <c r="P110" s="49" t="e">
        <f>IF(AND('Mapa final'!#REF!="Media",'Mapa final'!#REF!="Moderado"),CONCATENATE("R5C",'Mapa final'!#REF!),"")</f>
        <v>#REF!</v>
      </c>
      <c r="Q110" s="50" t="e">
        <f>IF(AND('Mapa final'!#REF!="Media",'Mapa final'!#REF!="Moderado"),CONCATENATE("R5C",'Mapa final'!#REF!),"")</f>
        <v>#REF!</v>
      </c>
      <c r="R110" s="110" t="e">
        <f>IF(AND('Mapa final'!#REF!="Media",'Mapa final'!#REF!="Moderado"),CONCATENATE("R5C",'Mapa final'!#REF!),"")</f>
        <v>#REF!</v>
      </c>
      <c r="S110" s="104" t="e">
        <f>IF(AND('Mapa final'!#REF!="Media",'Mapa final'!#REF!="Mayor"),CONCATENATE("R5C",'Mapa final'!#REF!),"")</f>
        <v>#REF!</v>
      </c>
      <c r="T110" s="42" t="e">
        <f>IF(AND('Mapa final'!#REF!="Media",'Mapa final'!#REF!="Mayor"),CONCATENATE("R5C",'Mapa final'!#REF!),"")</f>
        <v>#REF!</v>
      </c>
      <c r="U110" s="105" t="e">
        <f>IF(AND('Mapa final'!#REF!="Media",'Mapa final'!#REF!="Mayor"),CONCATENATE("R5C",'Mapa final'!#REF!),"")</f>
        <v>#REF!</v>
      </c>
      <c r="V110" s="43" t="e">
        <f>IF(AND('Mapa final'!#REF!="Media",'Mapa final'!#REF!="Catastrófico"),CONCATENATE("R5C",'Mapa final'!#REF!),"")</f>
        <v>#REF!</v>
      </c>
      <c r="W110" s="44" t="e">
        <f>IF(AND('Mapa final'!#REF!="Media",'Mapa final'!#REF!="Catastrófico"),CONCATENATE("R5C",'Mapa final'!#REF!),"")</f>
        <v>#REF!</v>
      </c>
      <c r="X110" s="99" t="e">
        <f>IF(AND('Mapa final'!#REF!="Media",'Mapa final'!#REF!="Catastrófico"),CONCATENATE("R5C",'Mapa final'!#REF!),"")</f>
        <v>#REF!</v>
      </c>
      <c r="Y110" s="56"/>
      <c r="Z110" s="297"/>
      <c r="AA110" s="298"/>
      <c r="AB110" s="298"/>
      <c r="AC110" s="298"/>
      <c r="AD110" s="298"/>
      <c r="AE110" s="299"/>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row>
    <row r="111" spans="1:61" ht="15" customHeight="1" x14ac:dyDescent="0.25">
      <c r="A111" s="56"/>
      <c r="B111" s="286"/>
      <c r="C111" s="286"/>
      <c r="D111" s="287"/>
      <c r="E111" s="276"/>
      <c r="F111" s="275"/>
      <c r="G111" s="275"/>
      <c r="H111" s="275"/>
      <c r="I111" s="275"/>
      <c r="J111" s="49" t="str">
        <f ca="1">IF(AND('Mapa final'!$AB$16="Media",'Mapa final'!$AD$16="Leve"),CONCATENATE("R6C",'Mapa final'!$R$16),"")</f>
        <v/>
      </c>
      <c r="K111" s="50" t="str">
        <f>IF(AND('Mapa final'!$AB$17="Media",'Mapa final'!$AD$17="Leve"),CONCATENATE("R6C",'Mapa final'!$R$17),"")</f>
        <v/>
      </c>
      <c r="L111" s="110" t="str">
        <f>IF(AND('Mapa final'!$AB$18="Media",'Mapa final'!$AD$18="Leve"),CONCATENATE("R6C",'Mapa final'!$R$18),"")</f>
        <v/>
      </c>
      <c r="M111" s="49" t="str">
        <f ca="1">IF(AND('Mapa final'!$AB$16="Media",'Mapa final'!$AD$16="Menor"),CONCATENATE("R6C",'Mapa final'!$R$16),"")</f>
        <v/>
      </c>
      <c r="N111" s="50" t="str">
        <f>IF(AND('Mapa final'!$AB$17="Media",'Mapa final'!$AD$17="Menor"),CONCATENATE("R6C",'Mapa final'!$R$17),"")</f>
        <v/>
      </c>
      <c r="O111" s="110" t="str">
        <f>IF(AND('Mapa final'!$AB$18="Media",'Mapa final'!$AD$18="Menor"),CONCATENATE("R6C",'Mapa final'!$R$18),"")</f>
        <v/>
      </c>
      <c r="P111" s="49" t="str">
        <f ca="1">IF(AND('Mapa final'!$AB$16="Media",'Mapa final'!$AD$16="Moderado"),CONCATENATE("R6C",'Mapa final'!$R$16),"")</f>
        <v/>
      </c>
      <c r="Q111" s="50" t="str">
        <f>IF(AND('Mapa final'!$AB$17="Media",'Mapa final'!$AD$17="Moderado"),CONCATENATE("R6C",'Mapa final'!$R$17),"")</f>
        <v/>
      </c>
      <c r="R111" s="110" t="str">
        <f>IF(AND('Mapa final'!$AB$18="Media",'Mapa final'!$AD$18="Moderado"),CONCATENATE("R6C",'Mapa final'!$R$18),"")</f>
        <v/>
      </c>
      <c r="S111" s="104" t="str">
        <f ca="1">IF(AND('Mapa final'!$AB$16="Media",'Mapa final'!$AD$16="Mayor"),CONCATENATE("R6C",'Mapa final'!$R$16),"")</f>
        <v/>
      </c>
      <c r="T111" s="42" t="str">
        <f>IF(AND('Mapa final'!$AB$17="Media",'Mapa final'!$AD$17="Mayor"),CONCATENATE("R6C",'Mapa final'!$R$17),"")</f>
        <v/>
      </c>
      <c r="U111" s="105" t="str">
        <f>IF(AND('Mapa final'!$AB$18="Media",'Mapa final'!$AD$18="Mayor"),CONCATENATE("R6C",'Mapa final'!$R$18),"")</f>
        <v/>
      </c>
      <c r="V111" s="43" t="str">
        <f ca="1">IF(AND('Mapa final'!$AB$16="Media",'Mapa final'!$AD$16="Catastrófico"),CONCATENATE("R6C",'Mapa final'!$R$16),"")</f>
        <v/>
      </c>
      <c r="W111" s="44" t="str">
        <f>IF(AND('Mapa final'!$AB$17="Media",'Mapa final'!$AD$17="Catastrófico"),CONCATENATE("R6C",'Mapa final'!$R$17),"")</f>
        <v/>
      </c>
      <c r="X111" s="99" t="str">
        <f>IF(AND('Mapa final'!$AB$18="Media",'Mapa final'!$AD$18="Catastrófico"),CONCATENATE("R6C",'Mapa final'!$R$18),"")</f>
        <v/>
      </c>
      <c r="Y111" s="56"/>
      <c r="Z111" s="297"/>
      <c r="AA111" s="298"/>
      <c r="AB111" s="298"/>
      <c r="AC111" s="298"/>
      <c r="AD111" s="298"/>
      <c r="AE111" s="299"/>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row>
    <row r="112" spans="1:61" ht="15" customHeight="1" x14ac:dyDescent="0.25">
      <c r="A112" s="56"/>
      <c r="B112" s="286"/>
      <c r="C112" s="286"/>
      <c r="D112" s="287"/>
      <c r="E112" s="276"/>
      <c r="F112" s="275"/>
      <c r="G112" s="275"/>
      <c r="H112" s="275"/>
      <c r="I112" s="275"/>
      <c r="J112" s="49" t="str">
        <f ca="1">IF(AND('Mapa final'!$AB$19="Media",'Mapa final'!$AD$19="Leve"),CONCATENATE("R7C",'Mapa final'!$R$19),"")</f>
        <v/>
      </c>
      <c r="K112" s="50" t="str">
        <f>IF(AND('Mapa final'!$AB$20="Media",'Mapa final'!$AD$20="Leve"),CONCATENATE("R7C",'Mapa final'!$R$20),"")</f>
        <v/>
      </c>
      <c r="L112" s="110" t="str">
        <f>IF(AND('Mapa final'!$AB$21="Media",'Mapa final'!$AD$21="Leve"),CONCATENATE("R7C",'Mapa final'!$R$21),"")</f>
        <v/>
      </c>
      <c r="M112" s="49" t="str">
        <f ca="1">IF(AND('Mapa final'!$AB$19="Media",'Mapa final'!$AD$19="Menor"),CONCATENATE("R7C",'Mapa final'!$R$19),"")</f>
        <v/>
      </c>
      <c r="N112" s="50" t="str">
        <f>IF(AND('Mapa final'!$AB$20="Media",'Mapa final'!$AD$20="Menor"),CONCATENATE("R7C",'Mapa final'!$R$20),"")</f>
        <v/>
      </c>
      <c r="O112" s="110" t="str">
        <f>IF(AND('Mapa final'!$AB$21="Media",'Mapa final'!$AD$21="Menor"),CONCATENATE("R7C",'Mapa final'!$R$21),"")</f>
        <v/>
      </c>
      <c r="P112" s="49" t="str">
        <f ca="1">IF(AND('Mapa final'!$AB$19="Media",'Mapa final'!$AD$19="Moderado"),CONCATENATE("R7C",'Mapa final'!$R$19),"")</f>
        <v/>
      </c>
      <c r="Q112" s="50" t="str">
        <f>IF(AND('Mapa final'!$AB$20="Media",'Mapa final'!$AD$20="Moderado"),CONCATENATE("R7C",'Mapa final'!$R$20),"")</f>
        <v/>
      </c>
      <c r="R112" s="110" t="str">
        <f>IF(AND('Mapa final'!$AB$21="Media",'Mapa final'!$AD$21="Moderado"),CONCATENATE("R7C",'Mapa final'!$R$21),"")</f>
        <v/>
      </c>
      <c r="S112" s="104" t="str">
        <f ca="1">IF(AND('Mapa final'!$AB$19="Media",'Mapa final'!$AD$19="Mayor"),CONCATENATE("R7C",'Mapa final'!$R$19),"")</f>
        <v/>
      </c>
      <c r="T112" s="42" t="str">
        <f>IF(AND('Mapa final'!$AB$20="Media",'Mapa final'!$AD$20="Mayor"),CONCATENATE("R7C",'Mapa final'!$R$20),"")</f>
        <v/>
      </c>
      <c r="U112" s="105" t="str">
        <f>IF(AND('Mapa final'!$AB$21="Media",'Mapa final'!$AD$21="Mayor"),CONCATENATE("R7C",'Mapa final'!$R$21),"")</f>
        <v/>
      </c>
      <c r="V112" s="43" t="str">
        <f ca="1">IF(AND('Mapa final'!$AB$19="Media",'Mapa final'!$AD$19="Catastrófico"),CONCATENATE("R7C",'Mapa final'!$R$19),"")</f>
        <v/>
      </c>
      <c r="W112" s="44" t="str">
        <f>IF(AND('Mapa final'!$AB$20="Media",'Mapa final'!$AD$20="Catastrófico"),CONCATENATE("R7C",'Mapa final'!$R$20),"")</f>
        <v/>
      </c>
      <c r="X112" s="99" t="str">
        <f>IF(AND('Mapa final'!$AB$21="Media",'Mapa final'!$AD$21="Catastrófico"),CONCATENATE("R7C",'Mapa final'!$R$21),"")</f>
        <v/>
      </c>
      <c r="Y112" s="56"/>
      <c r="Z112" s="297"/>
      <c r="AA112" s="298"/>
      <c r="AB112" s="298"/>
      <c r="AC112" s="298"/>
      <c r="AD112" s="298"/>
      <c r="AE112" s="299"/>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row>
    <row r="113" spans="1:61" ht="15" customHeight="1" x14ac:dyDescent="0.25">
      <c r="A113" s="56"/>
      <c r="B113" s="286"/>
      <c r="C113" s="286"/>
      <c r="D113" s="287"/>
      <c r="E113" s="276"/>
      <c r="F113" s="275"/>
      <c r="G113" s="275"/>
      <c r="H113" s="275"/>
      <c r="I113" s="275"/>
      <c r="J113" s="49" t="str">
        <f ca="1">IF(AND('Mapa final'!$AB$22="Media",'Mapa final'!$AD$22="Leve"),CONCATENATE("R8C",'Mapa final'!$R$22),"")</f>
        <v/>
      </c>
      <c r="K113" s="50" t="str">
        <f>IF(AND('Mapa final'!$AB$23="Media",'Mapa final'!$AD$23="Leve"),CONCATENATE("R8C",'Mapa final'!$R$23),"")</f>
        <v/>
      </c>
      <c r="L113" s="110" t="str">
        <f>IF(AND('Mapa final'!$AB$24="Media",'Mapa final'!$AD$24="Leve"),CONCATENATE("R8C",'Mapa final'!$R$24),"")</f>
        <v/>
      </c>
      <c r="M113" s="49" t="str">
        <f ca="1">IF(AND('Mapa final'!$AB$22="Media",'Mapa final'!$AD$22="Menor"),CONCATENATE("R8C",'Mapa final'!$R$22),"")</f>
        <v/>
      </c>
      <c r="N113" s="50" t="str">
        <f>IF(AND('Mapa final'!$AB$23="Media",'Mapa final'!$AD$23="Menor"),CONCATENATE("R8C",'Mapa final'!$R$23),"")</f>
        <v/>
      </c>
      <c r="O113" s="110" t="str">
        <f>IF(AND('Mapa final'!$AB$24="Media",'Mapa final'!$AD$24="Menor"),CONCATENATE("R8C",'Mapa final'!$R$24),"")</f>
        <v/>
      </c>
      <c r="P113" s="49" t="str">
        <f ca="1">IF(AND('Mapa final'!$AB$22="Media",'Mapa final'!$AD$22="Moderado"),CONCATENATE("R8C",'Mapa final'!$R$22),"")</f>
        <v>R8C1</v>
      </c>
      <c r="Q113" s="50" t="str">
        <f>IF(AND('Mapa final'!$AB$23="Media",'Mapa final'!$AD$23="Moderado"),CONCATENATE("R8C",'Mapa final'!$R$23),"")</f>
        <v/>
      </c>
      <c r="R113" s="110" t="str">
        <f>IF(AND('Mapa final'!$AB$24="Media",'Mapa final'!$AD$24="Moderado"),CONCATENATE("R8C",'Mapa final'!$R$24),"")</f>
        <v/>
      </c>
      <c r="S113" s="104" t="str">
        <f ca="1">IF(AND('Mapa final'!$AB$22="Media",'Mapa final'!$AD$22="Mayor"),CONCATENATE("R8C",'Mapa final'!$R$22),"")</f>
        <v/>
      </c>
      <c r="T113" s="42" t="str">
        <f>IF(AND('Mapa final'!$AB$23="Media",'Mapa final'!$AD$23="Mayor"),CONCATENATE("R8C",'Mapa final'!$R$23),"")</f>
        <v/>
      </c>
      <c r="U113" s="105" t="str">
        <f>IF(AND('Mapa final'!$AB$24="Media",'Mapa final'!$AD$24="Mayor"),CONCATENATE("R8C",'Mapa final'!$R$24),"")</f>
        <v/>
      </c>
      <c r="V113" s="43" t="str">
        <f ca="1">IF(AND('Mapa final'!$AB$22="Media",'Mapa final'!$AD$22="Catastrófico"),CONCATENATE("R8C",'Mapa final'!$R$22),"")</f>
        <v/>
      </c>
      <c r="W113" s="44" t="str">
        <f>IF(AND('Mapa final'!$AB$23="Media",'Mapa final'!$AD$23="Catastrófico"),CONCATENATE("R8C",'Mapa final'!$R$23),"")</f>
        <v/>
      </c>
      <c r="X113" s="99" t="str">
        <f>IF(AND('Mapa final'!$AB$24="Media",'Mapa final'!$AD$24="Catastrófico"),CONCATENATE("R8C",'Mapa final'!$R$24),"")</f>
        <v/>
      </c>
      <c r="Y113" s="56"/>
      <c r="Z113" s="297"/>
      <c r="AA113" s="298"/>
      <c r="AB113" s="298"/>
      <c r="AC113" s="298"/>
      <c r="AD113" s="298"/>
      <c r="AE113" s="299"/>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row>
    <row r="114" spans="1:61" ht="15" customHeight="1" x14ac:dyDescent="0.25">
      <c r="A114" s="56"/>
      <c r="B114" s="286"/>
      <c r="C114" s="286"/>
      <c r="D114" s="287"/>
      <c r="E114" s="276"/>
      <c r="F114" s="275"/>
      <c r="G114" s="275"/>
      <c r="H114" s="275"/>
      <c r="I114" s="275"/>
      <c r="J114" s="49" t="str">
        <f ca="1">IF(AND('Mapa final'!$AB$25="Media",'Mapa final'!$AD$25="Leve"),CONCATENATE("R9C",'Mapa final'!$R$25),"")</f>
        <v/>
      </c>
      <c r="K114" s="50" t="str">
        <f>IF(AND('Mapa final'!$AB$26="Media",'Mapa final'!$AD$26="Leve"),CONCATENATE("R9C",'Mapa final'!$R$26),"")</f>
        <v/>
      </c>
      <c r="L114" s="110" t="str">
        <f>IF(AND('Mapa final'!$AB$27="Media",'Mapa final'!$AD$27="Leve"),CONCATENATE("R9C",'Mapa final'!$R$27),"")</f>
        <v/>
      </c>
      <c r="M114" s="49" t="str">
        <f ca="1">IF(AND('Mapa final'!$AB$25="Media",'Mapa final'!$AD$25="Menor"),CONCATENATE("R9C",'Mapa final'!$R$25),"")</f>
        <v/>
      </c>
      <c r="N114" s="50" t="str">
        <f>IF(AND('Mapa final'!$AB$26="Media",'Mapa final'!$AD$26="Menor"),CONCATENATE("R9C",'Mapa final'!$R$26),"")</f>
        <v/>
      </c>
      <c r="O114" s="110" t="str">
        <f>IF(AND('Mapa final'!$AB$27="Media",'Mapa final'!$AD$27="Menor"),CONCATENATE("R9C",'Mapa final'!$R$27),"")</f>
        <v/>
      </c>
      <c r="P114" s="49" t="str">
        <f ca="1">IF(AND('Mapa final'!$AB$25="Media",'Mapa final'!$AD$25="Moderado"),CONCATENATE("R9C",'Mapa final'!$R$25),"")</f>
        <v/>
      </c>
      <c r="Q114" s="50" t="str">
        <f>IF(AND('Mapa final'!$AB$26="Media",'Mapa final'!$AD$26="Moderado"),CONCATENATE("R9C",'Mapa final'!$R$26),"")</f>
        <v/>
      </c>
      <c r="R114" s="110" t="str">
        <f>IF(AND('Mapa final'!$AB$27="Media",'Mapa final'!$AD$27="Moderado"),CONCATENATE("R9C",'Mapa final'!$R$27),"")</f>
        <v/>
      </c>
      <c r="S114" s="104" t="str">
        <f ca="1">IF(AND('Mapa final'!$AB$25="Media",'Mapa final'!$AD$25="Mayor"),CONCATENATE("R9C",'Mapa final'!$R$25),"")</f>
        <v>R9C1</v>
      </c>
      <c r="T114" s="42" t="str">
        <f>IF(AND('Mapa final'!$AB$26="Media",'Mapa final'!$AD$26="Mayor"),CONCATENATE("R9C",'Mapa final'!$R$26),"")</f>
        <v/>
      </c>
      <c r="U114" s="105" t="str">
        <f>IF(AND('Mapa final'!$AB$27="Media",'Mapa final'!$AD$27="Mayor"),CONCATENATE("R9C",'Mapa final'!$R$27),"")</f>
        <v/>
      </c>
      <c r="V114" s="43" t="str">
        <f ca="1">IF(AND('Mapa final'!$AB$25="Media",'Mapa final'!$AD$25="Catastrófico"),CONCATENATE("R9C",'Mapa final'!$R$25),"")</f>
        <v/>
      </c>
      <c r="W114" s="44" t="str">
        <f>IF(AND('Mapa final'!$AB$26="Media",'Mapa final'!$AD$26="Catastrófico"),CONCATENATE("R9C",'Mapa final'!$R$26),"")</f>
        <v/>
      </c>
      <c r="X114" s="99" t="str">
        <f>IF(AND('Mapa final'!$AB$27="Media",'Mapa final'!$AD$27="Catastrófico"),CONCATENATE("R9C",'Mapa final'!$R$27),"")</f>
        <v/>
      </c>
      <c r="Y114" s="56"/>
      <c r="Z114" s="297"/>
      <c r="AA114" s="298"/>
      <c r="AB114" s="298"/>
      <c r="AC114" s="298"/>
      <c r="AD114" s="298"/>
      <c r="AE114" s="299"/>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row>
    <row r="115" spans="1:61" ht="15" customHeight="1" x14ac:dyDescent="0.25">
      <c r="A115" s="56"/>
      <c r="B115" s="286"/>
      <c r="C115" s="286"/>
      <c r="D115" s="287"/>
      <c r="E115" s="276"/>
      <c r="F115" s="275"/>
      <c r="G115" s="275"/>
      <c r="H115" s="275"/>
      <c r="I115" s="275"/>
      <c r="J115" s="49" t="str">
        <f ca="1">IF(AND('Mapa final'!$AB$28="Media",'Mapa final'!$AD$28="Leve"),CONCATENATE("R10C",'Mapa final'!$R$28),"")</f>
        <v/>
      </c>
      <c r="K115" s="50" t="str">
        <f>IF(AND('Mapa final'!$AB$29="Media",'Mapa final'!$AD$29="Leve"),CONCATENATE("R10C",'Mapa final'!$R$29),"")</f>
        <v/>
      </c>
      <c r="L115" s="110" t="str">
        <f>IF(AND('Mapa final'!$AB$30="Media",'Mapa final'!$AD$30="Leve"),CONCATENATE("R10C",'Mapa final'!$R$30),"")</f>
        <v/>
      </c>
      <c r="M115" s="49" t="str">
        <f ca="1">IF(AND('Mapa final'!$AB$28="Media",'Mapa final'!$AD$28="Menor"),CONCATENATE("R10C",'Mapa final'!$R$28),"")</f>
        <v/>
      </c>
      <c r="N115" s="50" t="str">
        <f>IF(AND('Mapa final'!$AB$29="Media",'Mapa final'!$AD$29="Menor"),CONCATENATE("R10C",'Mapa final'!$R$29),"")</f>
        <v/>
      </c>
      <c r="O115" s="110" t="str">
        <f>IF(AND('Mapa final'!$AB$30="Media",'Mapa final'!$AD$30="Menor"),CONCATENATE("R10C",'Mapa final'!$R$30),"")</f>
        <v/>
      </c>
      <c r="P115" s="49" t="str">
        <f ca="1">IF(AND('Mapa final'!$AB$28="Media",'Mapa final'!$AD$28="Moderado"),CONCATENATE("R10C",'Mapa final'!$R$28),"")</f>
        <v>R10C1</v>
      </c>
      <c r="Q115" s="50" t="str">
        <f>IF(AND('Mapa final'!$AB$29="Media",'Mapa final'!$AD$29="Moderado"),CONCATENATE("R10C",'Mapa final'!$R$29),"")</f>
        <v/>
      </c>
      <c r="R115" s="110" t="str">
        <f>IF(AND('Mapa final'!$AB$30="Media",'Mapa final'!$AD$30="Moderado"),CONCATENATE("R10C",'Mapa final'!$R$30),"")</f>
        <v/>
      </c>
      <c r="S115" s="104" t="str">
        <f ca="1">IF(AND('Mapa final'!$AB$28="Media",'Mapa final'!$AD$28="Mayor"),CONCATENATE("R10C",'Mapa final'!$R$28),"")</f>
        <v/>
      </c>
      <c r="T115" s="42" t="str">
        <f>IF(AND('Mapa final'!$AB$29="Media",'Mapa final'!$AD$29="Mayor"),CONCATENATE("R10C",'Mapa final'!$R$29),"")</f>
        <v/>
      </c>
      <c r="U115" s="105" t="str">
        <f>IF(AND('Mapa final'!$AB$30="Media",'Mapa final'!$AD$30="Mayor"),CONCATENATE("R10C",'Mapa final'!$R$30),"")</f>
        <v/>
      </c>
      <c r="V115" s="43" t="str">
        <f ca="1">IF(AND('Mapa final'!$AB$28="Media",'Mapa final'!$AD$28="Catastrófico"),CONCATENATE("R10C",'Mapa final'!$R$28),"")</f>
        <v/>
      </c>
      <c r="W115" s="44" t="str">
        <f>IF(AND('Mapa final'!$AB$29="Media",'Mapa final'!$AD$29="Catastrófico"),CONCATENATE("R10C",'Mapa final'!$R$29),"")</f>
        <v/>
      </c>
      <c r="X115" s="99" t="str">
        <f>IF(AND('Mapa final'!$AB$30="Media",'Mapa final'!$AD$30="Catastrófico"),CONCATENATE("R10C",'Mapa final'!$R$30),"")</f>
        <v/>
      </c>
      <c r="Y115" s="56"/>
      <c r="Z115" s="297"/>
      <c r="AA115" s="298"/>
      <c r="AB115" s="298"/>
      <c r="AC115" s="298"/>
      <c r="AD115" s="298"/>
      <c r="AE115" s="299"/>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row>
    <row r="116" spans="1:61" ht="15" customHeight="1" x14ac:dyDescent="0.25">
      <c r="A116" s="56"/>
      <c r="B116" s="286"/>
      <c r="C116" s="286"/>
      <c r="D116" s="287"/>
      <c r="E116" s="276"/>
      <c r="F116" s="275"/>
      <c r="G116" s="275"/>
      <c r="H116" s="275"/>
      <c r="I116" s="275"/>
      <c r="J116" s="49" t="str">
        <f ca="1">IF(AND('Mapa final'!$AB$31="Media",'Mapa final'!$AD$31="Leve"),CONCATENATE("R11C",'Mapa final'!$R$31),"")</f>
        <v/>
      </c>
      <c r="K116" s="50" t="str">
        <f>IF(AND('Mapa final'!$AB$32="Media",'Mapa final'!$AD$32="Leve"),CONCATENATE("R11C",'Mapa final'!$R$32),"")</f>
        <v/>
      </c>
      <c r="L116" s="110" t="str">
        <f>IF(AND('Mapa final'!$AB$33="Media",'Mapa final'!$AD$33="Leve"),CONCATENATE("R11C",'Mapa final'!$R$33),"")</f>
        <v/>
      </c>
      <c r="M116" s="49" t="str">
        <f ca="1">IF(AND('Mapa final'!$AB$31="Media",'Mapa final'!$AD$31="Menor"),CONCATENATE("R11C",'Mapa final'!$R$31),"")</f>
        <v/>
      </c>
      <c r="N116" s="50" t="str">
        <f>IF(AND('Mapa final'!$AB$32="Media",'Mapa final'!$AD$32="Menor"),CONCATENATE("R11C",'Mapa final'!$R$32),"")</f>
        <v/>
      </c>
      <c r="O116" s="110" t="str">
        <f>IF(AND('Mapa final'!$AB$33="Media",'Mapa final'!$AD$33="Menor"),CONCATENATE("R11C",'Mapa final'!$R$33),"")</f>
        <v/>
      </c>
      <c r="P116" s="49" t="str">
        <f ca="1">IF(AND('Mapa final'!$AB$31="Media",'Mapa final'!$AD$31="Moderado"),CONCATENATE("R11C",'Mapa final'!$R$31),"")</f>
        <v/>
      </c>
      <c r="Q116" s="50" t="str">
        <f>IF(AND('Mapa final'!$AB$32="Media",'Mapa final'!$AD$32="Moderado"),CONCATENATE("R11C",'Mapa final'!$R$32),"")</f>
        <v/>
      </c>
      <c r="R116" s="110" t="str">
        <f>IF(AND('Mapa final'!$AB$33="Media",'Mapa final'!$AD$33="Moderado"),CONCATENATE("R11C",'Mapa final'!$R$33),"")</f>
        <v/>
      </c>
      <c r="S116" s="104" t="str">
        <f ca="1">IF(AND('Mapa final'!$AB$31="Media",'Mapa final'!$AD$31="Mayor"),CONCATENATE("R11C",'Mapa final'!$R$31),"")</f>
        <v/>
      </c>
      <c r="T116" s="42" t="str">
        <f>IF(AND('Mapa final'!$AB$32="Media",'Mapa final'!$AD$32="Mayor"),CONCATENATE("R11C",'Mapa final'!$R$32),"")</f>
        <v/>
      </c>
      <c r="U116" s="105" t="str">
        <f>IF(AND('Mapa final'!$AB$33="Media",'Mapa final'!$AD$33="Mayor"),CONCATENATE("R11C",'Mapa final'!$R$33),"")</f>
        <v/>
      </c>
      <c r="V116" s="43" t="str">
        <f ca="1">IF(AND('Mapa final'!$AB$31="Media",'Mapa final'!$AD$31="Catastrófico"),CONCATENATE("R11C",'Mapa final'!$R$31),"")</f>
        <v/>
      </c>
      <c r="W116" s="44" t="str">
        <f>IF(AND('Mapa final'!$AB$32="Media",'Mapa final'!$AD$32="Catastrófico"),CONCATENATE("R11C",'Mapa final'!$R$32),"")</f>
        <v/>
      </c>
      <c r="X116" s="99" t="str">
        <f>IF(AND('Mapa final'!$AB$33="Media",'Mapa final'!$AD$33="Catastrófico"),CONCATENATE("R11C",'Mapa final'!$R$33),"")</f>
        <v/>
      </c>
      <c r="Y116" s="56"/>
      <c r="Z116" s="297"/>
      <c r="AA116" s="298"/>
      <c r="AB116" s="298"/>
      <c r="AC116" s="298"/>
      <c r="AD116" s="298"/>
      <c r="AE116" s="299"/>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row>
    <row r="117" spans="1:61" ht="15" customHeight="1" x14ac:dyDescent="0.25">
      <c r="A117" s="56"/>
      <c r="B117" s="286"/>
      <c r="C117" s="286"/>
      <c r="D117" s="287"/>
      <c r="E117" s="276"/>
      <c r="F117" s="275"/>
      <c r="G117" s="275"/>
      <c r="H117" s="275"/>
      <c r="I117" s="275"/>
      <c r="J117" s="49" t="str">
        <f ca="1">IF(AND('Mapa final'!$AB$34="Media",'Mapa final'!$AD$34="Leve"),CONCATENATE("R12C",'Mapa final'!$R$34),"")</f>
        <v/>
      </c>
      <c r="K117" s="50" t="str">
        <f>IF(AND('Mapa final'!$AB$35="Media",'Mapa final'!$AD$35="Leve"),CONCATENATE("R12C",'Mapa final'!$R$35),"")</f>
        <v/>
      </c>
      <c r="L117" s="110" t="str">
        <f>IF(AND('Mapa final'!$AB$36="Media",'Mapa final'!$AD$36="Leve"),CONCATENATE("R12C",'Mapa final'!$R$36),"")</f>
        <v/>
      </c>
      <c r="M117" s="49" t="str">
        <f ca="1">IF(AND('Mapa final'!$AB$34="Media",'Mapa final'!$AD$34="Menor"),CONCATENATE("R12C",'Mapa final'!$R$34),"")</f>
        <v/>
      </c>
      <c r="N117" s="50" t="str">
        <f>IF(AND('Mapa final'!$AB$35="Media",'Mapa final'!$AD$35="Menor"),CONCATENATE("R12C",'Mapa final'!$R$35),"")</f>
        <v/>
      </c>
      <c r="O117" s="110" t="str">
        <f>IF(AND('Mapa final'!$AB$36="Media",'Mapa final'!$AD$36="Menor"),CONCATENATE("R12C",'Mapa final'!$R$36),"")</f>
        <v/>
      </c>
      <c r="P117" s="49" t="str">
        <f ca="1">IF(AND('Mapa final'!$AB$34="Media",'Mapa final'!$AD$34="Moderado"),CONCATENATE("R12C",'Mapa final'!$R$34),"")</f>
        <v/>
      </c>
      <c r="Q117" s="50" t="str">
        <f>IF(AND('Mapa final'!$AB$35="Media",'Mapa final'!$AD$35="Moderado"),CONCATENATE("R12C",'Mapa final'!$R$35),"")</f>
        <v/>
      </c>
      <c r="R117" s="110" t="str">
        <f>IF(AND('Mapa final'!$AB$36="Media",'Mapa final'!$AD$36="Moderado"),CONCATENATE("R12C",'Mapa final'!$R$36),"")</f>
        <v/>
      </c>
      <c r="S117" s="104" t="str">
        <f ca="1">IF(AND('Mapa final'!$AB$34="Media",'Mapa final'!$AD$34="Mayor"),CONCATENATE("R12C",'Mapa final'!$R$34),"")</f>
        <v/>
      </c>
      <c r="T117" s="42" t="str">
        <f>IF(AND('Mapa final'!$AB$35="Media",'Mapa final'!$AD$35="Mayor"),CONCATENATE("R12C",'Mapa final'!$R$35),"")</f>
        <v/>
      </c>
      <c r="U117" s="105" t="str">
        <f>IF(AND('Mapa final'!$AB$36="Media",'Mapa final'!$AD$36="Mayor"),CONCATENATE("R12C",'Mapa final'!$R$36),"")</f>
        <v/>
      </c>
      <c r="V117" s="43" t="str">
        <f ca="1">IF(AND('Mapa final'!$AB$34="Media",'Mapa final'!$AD$34="Catastrófico"),CONCATENATE("R12C",'Mapa final'!$R$34),"")</f>
        <v/>
      </c>
      <c r="W117" s="44" t="str">
        <f>IF(AND('Mapa final'!$AB$35="Media",'Mapa final'!$AD$35="Catastrófico"),CONCATENATE("R12C",'Mapa final'!$R$35),"")</f>
        <v/>
      </c>
      <c r="X117" s="99" t="str">
        <f>IF(AND('Mapa final'!$AB$36="Media",'Mapa final'!$AD$36="Catastrófico"),CONCATENATE("R12C",'Mapa final'!$R$36),"")</f>
        <v/>
      </c>
      <c r="Y117" s="56"/>
      <c r="Z117" s="297"/>
      <c r="AA117" s="298"/>
      <c r="AB117" s="298"/>
      <c r="AC117" s="298"/>
      <c r="AD117" s="298"/>
      <c r="AE117" s="299"/>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row>
    <row r="118" spans="1:61" ht="15" customHeight="1" x14ac:dyDescent="0.25">
      <c r="A118" s="56"/>
      <c r="B118" s="286"/>
      <c r="C118" s="286"/>
      <c r="D118" s="287"/>
      <c r="E118" s="276"/>
      <c r="F118" s="275"/>
      <c r="G118" s="275"/>
      <c r="H118" s="275"/>
      <c r="I118" s="275"/>
      <c r="J118" s="49" t="str">
        <f ca="1">IF(AND('Mapa final'!$AB$37="Media",'Mapa final'!$AD$37="Leve"),CONCATENATE("R13C",'Mapa final'!$R$37),"")</f>
        <v/>
      </c>
      <c r="K118" s="50" t="str">
        <f>IF(AND('Mapa final'!$AB$38="Media",'Mapa final'!$AD$38="Leve"),CONCATENATE("R13C",'Mapa final'!$R$38),"")</f>
        <v/>
      </c>
      <c r="L118" s="110" t="str">
        <f>IF(AND('Mapa final'!$AB$39="Media",'Mapa final'!$AD$39="Leve"),CONCATENATE("R13C",'Mapa final'!$R$39),"")</f>
        <v/>
      </c>
      <c r="M118" s="49" t="str">
        <f ca="1">IF(AND('Mapa final'!$AB$37="Media",'Mapa final'!$AD$37="Menor"),CONCATENATE("R13C",'Mapa final'!$R$37),"")</f>
        <v/>
      </c>
      <c r="N118" s="50" t="str">
        <f>IF(AND('Mapa final'!$AB$38="Media",'Mapa final'!$AD$38="Menor"),CONCATENATE("R13C",'Mapa final'!$R$38),"")</f>
        <v/>
      </c>
      <c r="O118" s="110" t="str">
        <f>IF(AND('Mapa final'!$AB$39="Media",'Mapa final'!$AD$39="Menor"),CONCATENATE("R13C",'Mapa final'!$R$39),"")</f>
        <v/>
      </c>
      <c r="P118" s="49" t="str">
        <f ca="1">IF(AND('Mapa final'!$AB$37="Media",'Mapa final'!$AD$37="Moderado"),CONCATENATE("R13C",'Mapa final'!$R$37),"")</f>
        <v/>
      </c>
      <c r="Q118" s="50" t="str">
        <f>IF(AND('Mapa final'!$AB$38="Media",'Mapa final'!$AD$38="Moderado"),CONCATENATE("R13C",'Mapa final'!$R$38),"")</f>
        <v/>
      </c>
      <c r="R118" s="110" t="str">
        <f>IF(AND('Mapa final'!$AB$39="Media",'Mapa final'!$AD$39="Moderado"),CONCATENATE("R13C",'Mapa final'!$R$39),"")</f>
        <v/>
      </c>
      <c r="S118" s="104" t="str">
        <f ca="1">IF(AND('Mapa final'!$AB$37="Media",'Mapa final'!$AD$37="Mayor"),CONCATENATE("R13C",'Mapa final'!$R$37),"")</f>
        <v/>
      </c>
      <c r="T118" s="42" t="str">
        <f>IF(AND('Mapa final'!$AB$38="Media",'Mapa final'!$AD$38="Mayor"),CONCATENATE("R13C",'Mapa final'!$R$38),"")</f>
        <v/>
      </c>
      <c r="U118" s="105" t="str">
        <f>IF(AND('Mapa final'!$AB$39="Media",'Mapa final'!$AD$39="Mayor"),CONCATENATE("R13C",'Mapa final'!$R$39),"")</f>
        <v/>
      </c>
      <c r="V118" s="43" t="str">
        <f ca="1">IF(AND('Mapa final'!$AB$37="Media",'Mapa final'!$AD$37="Catastrófico"),CONCATENATE("R13C",'Mapa final'!$R$37),"")</f>
        <v/>
      </c>
      <c r="W118" s="44" t="str">
        <f>IF(AND('Mapa final'!$AB$38="Media",'Mapa final'!$AD$38="Catastrófico"),CONCATENATE("R13C",'Mapa final'!$R$38),"")</f>
        <v/>
      </c>
      <c r="X118" s="99" t="str">
        <f>IF(AND('Mapa final'!$AB$39="Media",'Mapa final'!$AD$39="Catastrófico"),CONCATENATE("R13C",'Mapa final'!$R$39),"")</f>
        <v/>
      </c>
      <c r="Y118" s="56"/>
      <c r="Z118" s="297"/>
      <c r="AA118" s="298"/>
      <c r="AB118" s="298"/>
      <c r="AC118" s="298"/>
      <c r="AD118" s="298"/>
      <c r="AE118" s="299"/>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row>
    <row r="119" spans="1:61" ht="15" customHeight="1" x14ac:dyDescent="0.25">
      <c r="A119" s="56"/>
      <c r="B119" s="286"/>
      <c r="C119" s="286"/>
      <c r="D119" s="287"/>
      <c r="E119" s="276"/>
      <c r="F119" s="275"/>
      <c r="G119" s="275"/>
      <c r="H119" s="275"/>
      <c r="I119" s="275"/>
      <c r="J119" s="49" t="str">
        <f ca="1">IF(AND('Mapa final'!$AB$40="Media",'Mapa final'!$AD$40="Leve"),CONCATENATE("R14C",'Mapa final'!$R$40),"")</f>
        <v/>
      </c>
      <c r="K119" s="50" t="str">
        <f>IF(AND('Mapa final'!$AB$41="Media",'Mapa final'!$AD$41="Leve"),CONCATENATE("R14C",'Mapa final'!$R$41),"")</f>
        <v/>
      </c>
      <c r="L119" s="110" t="str">
        <f>IF(AND('Mapa final'!$AB$42="Media",'Mapa final'!$AD$42="Leve"),CONCATENATE("R14C",'Mapa final'!$R$42),"")</f>
        <v/>
      </c>
      <c r="M119" s="49" t="str">
        <f ca="1">IF(AND('Mapa final'!$AB$40="Media",'Mapa final'!$AD$40="Menor"),CONCATENATE("R14C",'Mapa final'!$R$40),"")</f>
        <v/>
      </c>
      <c r="N119" s="50" t="str">
        <f>IF(AND('Mapa final'!$AB$41="Media",'Mapa final'!$AD$41="Menor"),CONCATENATE("R14C",'Mapa final'!$R$41),"")</f>
        <v/>
      </c>
      <c r="O119" s="110" t="str">
        <f>IF(AND('Mapa final'!$AB$42="Media",'Mapa final'!$AD$42="Menor"),CONCATENATE("R14C",'Mapa final'!$R$42),"")</f>
        <v/>
      </c>
      <c r="P119" s="49" t="str">
        <f ca="1">IF(AND('Mapa final'!$AB$40="Media",'Mapa final'!$AD$40="Moderado"),CONCATENATE("R14C",'Mapa final'!$R$40),"")</f>
        <v/>
      </c>
      <c r="Q119" s="50" t="str">
        <f>IF(AND('Mapa final'!$AB$41="Media",'Mapa final'!$AD$41="Moderado"),CONCATENATE("R14C",'Mapa final'!$R$41),"")</f>
        <v/>
      </c>
      <c r="R119" s="110" t="str">
        <f>IF(AND('Mapa final'!$AB$42="Media",'Mapa final'!$AD$42="Moderado"),CONCATENATE("R14C",'Mapa final'!$R$42),"")</f>
        <v/>
      </c>
      <c r="S119" s="104" t="str">
        <f ca="1">IF(AND('Mapa final'!$AB$40="Media",'Mapa final'!$AD$40="Mayor"),CONCATENATE("R14C",'Mapa final'!$R$40),"")</f>
        <v/>
      </c>
      <c r="T119" s="42" t="str">
        <f>IF(AND('Mapa final'!$AB$41="Media",'Mapa final'!$AD$41="Mayor"),CONCATENATE("R14C",'Mapa final'!$R$41),"")</f>
        <v/>
      </c>
      <c r="U119" s="105" t="str">
        <f>IF(AND('Mapa final'!$AB$42="Media",'Mapa final'!$AD$42="Mayor"),CONCATENATE("R14C",'Mapa final'!$R$42),"")</f>
        <v/>
      </c>
      <c r="V119" s="43" t="str">
        <f ca="1">IF(AND('Mapa final'!$AB$40="Media",'Mapa final'!$AD$40="Catastrófico"),CONCATENATE("R14C",'Mapa final'!$R$40),"")</f>
        <v/>
      </c>
      <c r="W119" s="44" t="str">
        <f>IF(AND('Mapa final'!$AB$41="Media",'Mapa final'!$AD$41="Catastrófico"),CONCATENATE("R14C",'Mapa final'!$R$41),"")</f>
        <v/>
      </c>
      <c r="X119" s="99" t="str">
        <f>IF(AND('Mapa final'!$AB$42="Media",'Mapa final'!$AD$42="Catastrófico"),CONCATENATE("R14C",'Mapa final'!$R$42),"")</f>
        <v/>
      </c>
      <c r="Y119" s="56"/>
      <c r="Z119" s="297"/>
      <c r="AA119" s="298"/>
      <c r="AB119" s="298"/>
      <c r="AC119" s="298"/>
      <c r="AD119" s="298"/>
      <c r="AE119" s="299"/>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row>
    <row r="120" spans="1:61" ht="15" customHeight="1" x14ac:dyDescent="0.25">
      <c r="A120" s="56"/>
      <c r="B120" s="286"/>
      <c r="C120" s="286"/>
      <c r="D120" s="287"/>
      <c r="E120" s="276"/>
      <c r="F120" s="275"/>
      <c r="G120" s="275"/>
      <c r="H120" s="275"/>
      <c r="I120" s="275"/>
      <c r="J120" s="49" t="str">
        <f ca="1">IF(AND('Mapa final'!$AB$43="Media",'Mapa final'!$AD$43="Leve"),CONCATENATE("R15C",'Mapa final'!$R$43),"")</f>
        <v/>
      </c>
      <c r="K120" s="50" t="str">
        <f>IF(AND('Mapa final'!$AB$44="Media",'Mapa final'!$AD$44="Leve"),CONCATENATE("R15C",'Mapa final'!$R$44),"")</f>
        <v/>
      </c>
      <c r="L120" s="110" t="str">
        <f>IF(AND('Mapa final'!$AB$45="Media",'Mapa final'!$AD$45="Leve"),CONCATENATE("R15C",'Mapa final'!$R$45),"")</f>
        <v/>
      </c>
      <c r="M120" s="49" t="str">
        <f ca="1">IF(AND('Mapa final'!$AB$43="Media",'Mapa final'!$AD$43="Menor"),CONCATENATE("R15C",'Mapa final'!$R$43),"")</f>
        <v/>
      </c>
      <c r="N120" s="50" t="str">
        <f>IF(AND('Mapa final'!$AB$44="Media",'Mapa final'!$AD$44="Menor"),CONCATENATE("R15C",'Mapa final'!$R$44),"")</f>
        <v/>
      </c>
      <c r="O120" s="110" t="str">
        <f>IF(AND('Mapa final'!$AB$45="Media",'Mapa final'!$AD$45="Menor"),CONCATENATE("R15C",'Mapa final'!$R$45),"")</f>
        <v/>
      </c>
      <c r="P120" s="49" t="str">
        <f ca="1">IF(AND('Mapa final'!$AB$43="Media",'Mapa final'!$AD$43="Moderado"),CONCATENATE("R15C",'Mapa final'!$R$43),"")</f>
        <v>R15C1</v>
      </c>
      <c r="Q120" s="50" t="str">
        <f>IF(AND('Mapa final'!$AB$44="Media",'Mapa final'!$AD$44="Moderado"),CONCATENATE("R15C",'Mapa final'!$R$44),"")</f>
        <v/>
      </c>
      <c r="R120" s="110" t="str">
        <f>IF(AND('Mapa final'!$AB$45="Media",'Mapa final'!$AD$45="Moderado"),CONCATENATE("R15C",'Mapa final'!$R$45),"")</f>
        <v/>
      </c>
      <c r="S120" s="104" t="str">
        <f ca="1">IF(AND('Mapa final'!$AB$43="Media",'Mapa final'!$AD$43="Mayor"),CONCATENATE("R15C",'Mapa final'!$R$43),"")</f>
        <v/>
      </c>
      <c r="T120" s="42" t="str">
        <f>IF(AND('Mapa final'!$AB$44="Media",'Mapa final'!$AD$44="Mayor"),CONCATENATE("R15C",'Mapa final'!$R$44),"")</f>
        <v/>
      </c>
      <c r="U120" s="105" t="str">
        <f>IF(AND('Mapa final'!$AB$45="Media",'Mapa final'!$AD$45="Mayor"),CONCATENATE("R15C",'Mapa final'!$R$45),"")</f>
        <v/>
      </c>
      <c r="V120" s="43" t="str">
        <f ca="1">IF(AND('Mapa final'!$AB$43="Media",'Mapa final'!$AD$43="Catastrófico"),CONCATENATE("R15C",'Mapa final'!$R$43),"")</f>
        <v/>
      </c>
      <c r="W120" s="44" t="str">
        <f>IF(AND('Mapa final'!$AB$44="Media",'Mapa final'!$AD$44="Catastrófico"),CONCATENATE("R15C",'Mapa final'!$R$44),"")</f>
        <v/>
      </c>
      <c r="X120" s="99" t="str">
        <f>IF(AND('Mapa final'!$AB$45="Media",'Mapa final'!$AD$45="Catastrófico"),CONCATENATE("R15C",'Mapa final'!$R$45),"")</f>
        <v/>
      </c>
      <c r="Y120" s="56"/>
      <c r="Z120" s="297"/>
      <c r="AA120" s="298"/>
      <c r="AB120" s="298"/>
      <c r="AC120" s="298"/>
      <c r="AD120" s="298"/>
      <c r="AE120" s="299"/>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row>
    <row r="121" spans="1:61" ht="15" customHeight="1" x14ac:dyDescent="0.25">
      <c r="A121" s="56"/>
      <c r="B121" s="286"/>
      <c r="C121" s="286"/>
      <c r="D121" s="287"/>
      <c r="E121" s="276"/>
      <c r="F121" s="275"/>
      <c r="G121" s="275"/>
      <c r="H121" s="275"/>
      <c r="I121" s="275"/>
      <c r="J121" s="49" t="str">
        <f ca="1">IF(AND('Mapa final'!$AB$46="Media",'Mapa final'!$AD$46="Leve"),CONCATENATE("R16C",'Mapa final'!$R$46),"")</f>
        <v/>
      </c>
      <c r="K121" s="50" t="str">
        <f>IF(AND('Mapa final'!$AB$47="Media",'Mapa final'!$AD$47="Leve"),CONCATENATE("R16C",'Mapa final'!$R$47),"")</f>
        <v/>
      </c>
      <c r="L121" s="110" t="str">
        <f>IF(AND('Mapa final'!$AB$48="Media",'Mapa final'!$AD$48="Leve"),CONCATENATE("R16C",'Mapa final'!$R$48),"")</f>
        <v/>
      </c>
      <c r="M121" s="49" t="str">
        <f ca="1">IF(AND('Mapa final'!$AB$46="Media",'Mapa final'!$AD$46="Menor"),CONCATENATE("R16C",'Mapa final'!$R$46),"")</f>
        <v/>
      </c>
      <c r="N121" s="50" t="str">
        <f>IF(AND('Mapa final'!$AB$47="Media",'Mapa final'!$AD$47="Menor"),CONCATENATE("R16C",'Mapa final'!$R$47),"")</f>
        <v/>
      </c>
      <c r="O121" s="110" t="str">
        <f>IF(AND('Mapa final'!$AB$48="Media",'Mapa final'!$AD$48="Menor"),CONCATENATE("R16C",'Mapa final'!$R$48),"")</f>
        <v/>
      </c>
      <c r="P121" s="49" t="str">
        <f ca="1">IF(AND('Mapa final'!$AB$46="Media",'Mapa final'!$AD$46="Moderado"),CONCATENATE("R16C",'Mapa final'!$R$46),"")</f>
        <v/>
      </c>
      <c r="Q121" s="50" t="str">
        <f>IF(AND('Mapa final'!$AB$47="Media",'Mapa final'!$AD$47="Moderado"),CONCATENATE("R16C",'Mapa final'!$R$47),"")</f>
        <v/>
      </c>
      <c r="R121" s="110" t="str">
        <f>IF(AND('Mapa final'!$AB$48="Media",'Mapa final'!$AD$48="Moderado"),CONCATENATE("R16C",'Mapa final'!$R$48),"")</f>
        <v/>
      </c>
      <c r="S121" s="104" t="str">
        <f ca="1">IF(AND('Mapa final'!$AB$46="Media",'Mapa final'!$AD$46="Mayor"),CONCATENATE("R16C",'Mapa final'!$R$46),"")</f>
        <v/>
      </c>
      <c r="T121" s="42" t="str">
        <f>IF(AND('Mapa final'!$AB$47="Media",'Mapa final'!$AD$47="Mayor"),CONCATENATE("R16C",'Mapa final'!$R$47),"")</f>
        <v/>
      </c>
      <c r="U121" s="105" t="str">
        <f>IF(AND('Mapa final'!$AB$48="Media",'Mapa final'!$AD$48="Mayor"),CONCATENATE("R16C",'Mapa final'!$R$48),"")</f>
        <v/>
      </c>
      <c r="V121" s="43" t="str">
        <f ca="1">IF(AND('Mapa final'!$AB$46="Media",'Mapa final'!$AD$46="Catastrófico"),CONCATENATE("R16C",'Mapa final'!$R$46),"")</f>
        <v/>
      </c>
      <c r="W121" s="44" t="str">
        <f>IF(AND('Mapa final'!$AB$47="Media",'Mapa final'!$AD$47="Catastrófico"),CONCATENATE("R16C",'Mapa final'!$R$47),"")</f>
        <v/>
      </c>
      <c r="X121" s="99" t="str">
        <f>IF(AND('Mapa final'!$AB$48="Media",'Mapa final'!$AD$48="Catastrófico"),CONCATENATE("R16C",'Mapa final'!$R$48),"")</f>
        <v/>
      </c>
      <c r="Y121" s="56"/>
      <c r="Z121" s="297"/>
      <c r="AA121" s="298"/>
      <c r="AB121" s="298"/>
      <c r="AC121" s="298"/>
      <c r="AD121" s="298"/>
      <c r="AE121" s="299"/>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row>
    <row r="122" spans="1:61" ht="15" customHeight="1" x14ac:dyDescent="0.25">
      <c r="A122" s="56"/>
      <c r="B122" s="286"/>
      <c r="C122" s="286"/>
      <c r="D122" s="287"/>
      <c r="E122" s="276"/>
      <c r="F122" s="275"/>
      <c r="G122" s="275"/>
      <c r="H122" s="275"/>
      <c r="I122" s="275"/>
      <c r="J122" s="49" t="str">
        <f ca="1">IF(AND('Mapa final'!$AB$49="Media",'Mapa final'!$AD$49="Leve"),CONCATENATE("R17C",'Mapa final'!$R$49),"")</f>
        <v/>
      </c>
      <c r="K122" s="50" t="str">
        <f>IF(AND('Mapa final'!$AB$50="Media",'Mapa final'!$AD$50="Leve"),CONCATENATE("R17C",'Mapa final'!$R$50),"")</f>
        <v/>
      </c>
      <c r="L122" s="110" t="str">
        <f>IF(AND('Mapa final'!$AB$51="Media",'Mapa final'!$AD$51="Leve"),CONCATENATE("R17C",'Mapa final'!$R$51),"")</f>
        <v/>
      </c>
      <c r="M122" s="49" t="str">
        <f ca="1">IF(AND('Mapa final'!$AB$49="Media",'Mapa final'!$AD$49="Menor"),CONCATENATE("R17C",'Mapa final'!$R$49),"")</f>
        <v/>
      </c>
      <c r="N122" s="50" t="str">
        <f>IF(AND('Mapa final'!$AB$50="Media",'Mapa final'!$AD$50="Menor"),CONCATENATE("R17C",'Mapa final'!$R$50),"")</f>
        <v/>
      </c>
      <c r="O122" s="110" t="str">
        <f>IF(AND('Mapa final'!$AB$51="Media",'Mapa final'!$AD$51="Menor"),CONCATENATE("R17C",'Mapa final'!$R$51),"")</f>
        <v/>
      </c>
      <c r="P122" s="49" t="str">
        <f ca="1">IF(AND('Mapa final'!$AB$49="Media",'Mapa final'!$AD$49="Moderado"),CONCATENATE("R17C",'Mapa final'!$R$49),"")</f>
        <v/>
      </c>
      <c r="Q122" s="50" t="str">
        <f>IF(AND('Mapa final'!$AB$50="Media",'Mapa final'!$AD$50="Moderado"),CONCATENATE("R17C",'Mapa final'!$R$50),"")</f>
        <v/>
      </c>
      <c r="R122" s="110" t="str">
        <f>IF(AND('Mapa final'!$AB$51="Media",'Mapa final'!$AD$51="Moderado"),CONCATENATE("R17C",'Mapa final'!$R$51),"")</f>
        <v/>
      </c>
      <c r="S122" s="104" t="str">
        <f ca="1">IF(AND('Mapa final'!$AB$49="Media",'Mapa final'!$AD$49="Mayor"),CONCATENATE("R17C",'Mapa final'!$R$49),"")</f>
        <v>R17C1</v>
      </c>
      <c r="T122" s="42" t="str">
        <f>IF(AND('Mapa final'!$AB$50="Media",'Mapa final'!$AD$50="Mayor"),CONCATENATE("R17C",'Mapa final'!$R$50),"")</f>
        <v/>
      </c>
      <c r="U122" s="105" t="str">
        <f>IF(AND('Mapa final'!$AB$51="Media",'Mapa final'!$AD$51="Mayor"),CONCATENATE("R17C",'Mapa final'!$R$51),"")</f>
        <v/>
      </c>
      <c r="V122" s="43" t="str">
        <f ca="1">IF(AND('Mapa final'!$AB$49="Media",'Mapa final'!$AD$49="Catastrófico"),CONCATENATE("R17C",'Mapa final'!$R$49),"")</f>
        <v/>
      </c>
      <c r="W122" s="44" t="str">
        <f>IF(AND('Mapa final'!$AB$50="Media",'Mapa final'!$AD$50="Catastrófico"),CONCATENATE("R17C",'Mapa final'!$R$50),"")</f>
        <v/>
      </c>
      <c r="X122" s="99" t="str">
        <f>IF(AND('Mapa final'!$AB$51="Media",'Mapa final'!$AD$51="Catastrófico"),CONCATENATE("R17C",'Mapa final'!$R$51),"")</f>
        <v/>
      </c>
      <c r="Y122" s="56"/>
      <c r="Z122" s="297"/>
      <c r="AA122" s="298"/>
      <c r="AB122" s="298"/>
      <c r="AC122" s="298"/>
      <c r="AD122" s="298"/>
      <c r="AE122" s="299"/>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row>
    <row r="123" spans="1:61" ht="15" customHeight="1" x14ac:dyDescent="0.25">
      <c r="A123" s="56"/>
      <c r="B123" s="286"/>
      <c r="C123" s="286"/>
      <c r="D123" s="287"/>
      <c r="E123" s="276"/>
      <c r="F123" s="275"/>
      <c r="G123" s="275"/>
      <c r="H123" s="275"/>
      <c r="I123" s="275"/>
      <c r="J123" s="49" t="str">
        <f ca="1">IF(AND('Mapa final'!$AB$52="Media",'Mapa final'!$AD$52="Leve"),CONCATENATE("R18C",'Mapa final'!$R$52),"")</f>
        <v/>
      </c>
      <c r="K123" s="50" t="str">
        <f>IF(AND('Mapa final'!$AB$53="Media",'Mapa final'!$AD$53="Leve"),CONCATENATE("R18C",'Mapa final'!$R$53),"")</f>
        <v/>
      </c>
      <c r="L123" s="110" t="str">
        <f>IF(AND('Mapa final'!$AB$54="Media",'Mapa final'!$AD$54="Leve"),CONCATENATE("R18C",'Mapa final'!$R$54),"")</f>
        <v/>
      </c>
      <c r="M123" s="49" t="str">
        <f ca="1">IF(AND('Mapa final'!$AB$52="Media",'Mapa final'!$AD$52="Menor"),CONCATENATE("R18C",'Mapa final'!$R$52),"")</f>
        <v/>
      </c>
      <c r="N123" s="50" t="str">
        <f>IF(AND('Mapa final'!$AB$53="Media",'Mapa final'!$AD$53="Menor"),CONCATENATE("R18C",'Mapa final'!$R$53),"")</f>
        <v/>
      </c>
      <c r="O123" s="110" t="str">
        <f>IF(AND('Mapa final'!$AB$54="Media",'Mapa final'!$AD$54="Menor"),CONCATENATE("R18C",'Mapa final'!$R$54),"")</f>
        <v/>
      </c>
      <c r="P123" s="49" t="str">
        <f ca="1">IF(AND('Mapa final'!$AB$52="Media",'Mapa final'!$AD$52="Moderado"),CONCATENATE("R18C",'Mapa final'!$R$52),"")</f>
        <v>R18C1</v>
      </c>
      <c r="Q123" s="50" t="str">
        <f>IF(AND('Mapa final'!$AB$53="Media",'Mapa final'!$AD$53="Moderado"),CONCATENATE("R18C",'Mapa final'!$R$53),"")</f>
        <v/>
      </c>
      <c r="R123" s="110" t="str">
        <f>IF(AND('Mapa final'!$AB$54="Media",'Mapa final'!$AD$54="Moderado"),CONCATENATE("R18C",'Mapa final'!$R$54),"")</f>
        <v/>
      </c>
      <c r="S123" s="104" t="str">
        <f ca="1">IF(AND('Mapa final'!$AB$52="Media",'Mapa final'!$AD$52="Mayor"),CONCATENATE("R18C",'Mapa final'!$R$52),"")</f>
        <v/>
      </c>
      <c r="T123" s="42" t="str">
        <f>IF(AND('Mapa final'!$AB$53="Media",'Mapa final'!$AD$53="Mayor"),CONCATENATE("R18C",'Mapa final'!$R$53),"")</f>
        <v/>
      </c>
      <c r="U123" s="105" t="str">
        <f>IF(AND('Mapa final'!$AB$54="Media",'Mapa final'!$AD$54="Mayor"),CONCATENATE("R18C",'Mapa final'!$R$54),"")</f>
        <v/>
      </c>
      <c r="V123" s="43" t="str">
        <f ca="1">IF(AND('Mapa final'!$AB$52="Media",'Mapa final'!$AD$52="Catastrófico"),CONCATENATE("R18C",'Mapa final'!$R$52),"")</f>
        <v/>
      </c>
      <c r="W123" s="44" t="str">
        <f>IF(AND('Mapa final'!$AB$53="Media",'Mapa final'!$AD$53="Catastrófico"),CONCATENATE("R18C",'Mapa final'!$R$53),"")</f>
        <v/>
      </c>
      <c r="X123" s="99" t="str">
        <f>IF(AND('Mapa final'!$AB$54="Media",'Mapa final'!$AD$54="Catastrófico"),CONCATENATE("R18C",'Mapa final'!$R$54),"")</f>
        <v/>
      </c>
      <c r="Y123" s="56"/>
      <c r="Z123" s="297"/>
      <c r="AA123" s="298"/>
      <c r="AB123" s="298"/>
      <c r="AC123" s="298"/>
      <c r="AD123" s="298"/>
      <c r="AE123" s="299"/>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row>
    <row r="124" spans="1:61" ht="15" customHeight="1" x14ac:dyDescent="0.25">
      <c r="A124" s="56"/>
      <c r="B124" s="286"/>
      <c r="C124" s="286"/>
      <c r="D124" s="287"/>
      <c r="E124" s="276"/>
      <c r="F124" s="275"/>
      <c r="G124" s="275"/>
      <c r="H124" s="275"/>
      <c r="I124" s="275"/>
      <c r="J124" s="49" t="str">
        <f ca="1">IF(AND('Mapa final'!$AB$55="Media",'Mapa final'!$AD$55="Leve"),CONCATENATE("R19C",'Mapa final'!$R$55),"")</f>
        <v/>
      </c>
      <c r="K124" s="50" t="str">
        <f>IF(AND('Mapa final'!$AB$56="Media",'Mapa final'!$AD$56="Leve"),CONCATENATE("R19C",'Mapa final'!$R$56),"")</f>
        <v/>
      </c>
      <c r="L124" s="110" t="str">
        <f>IF(AND('Mapa final'!$AB$57="Media",'Mapa final'!$AD$57="Leve"),CONCATENATE("R19C",'Mapa final'!$R$57),"")</f>
        <v/>
      </c>
      <c r="M124" s="49" t="str">
        <f ca="1">IF(AND('Mapa final'!$AB$55="Media",'Mapa final'!$AD$55="Menor"),CONCATENATE("R19C",'Mapa final'!$R$55),"")</f>
        <v/>
      </c>
      <c r="N124" s="50" t="str">
        <f>IF(AND('Mapa final'!$AB$56="Media",'Mapa final'!$AD$56="Menor"),CONCATENATE("R19C",'Mapa final'!$R$56),"")</f>
        <v/>
      </c>
      <c r="O124" s="110" t="str">
        <f>IF(AND('Mapa final'!$AB$57="Media",'Mapa final'!$AD$57="Menor"),CONCATENATE("R19C",'Mapa final'!$R$57),"")</f>
        <v/>
      </c>
      <c r="P124" s="49" t="str">
        <f ca="1">IF(AND('Mapa final'!$AB$55="Media",'Mapa final'!$AD$55="Moderado"),CONCATENATE("R19C",'Mapa final'!$R$55),"")</f>
        <v>R19C1</v>
      </c>
      <c r="Q124" s="50" t="str">
        <f>IF(AND('Mapa final'!$AB$56="Media",'Mapa final'!$AD$56="Moderado"),CONCATENATE("R19C",'Mapa final'!$R$56),"")</f>
        <v/>
      </c>
      <c r="R124" s="110" t="str">
        <f>IF(AND('Mapa final'!$AB$57="Media",'Mapa final'!$AD$57="Moderado"),CONCATENATE("R19C",'Mapa final'!$R$57),"")</f>
        <v/>
      </c>
      <c r="S124" s="104" t="str">
        <f ca="1">IF(AND('Mapa final'!$AB$55="Media",'Mapa final'!$AD$55="Mayor"),CONCATENATE("R19C",'Mapa final'!$R$55),"")</f>
        <v/>
      </c>
      <c r="T124" s="42" t="str">
        <f>IF(AND('Mapa final'!$AB$56="Media",'Mapa final'!$AD$56="Mayor"),CONCATENATE("R19C",'Mapa final'!$R$56),"")</f>
        <v/>
      </c>
      <c r="U124" s="105" t="str">
        <f>IF(AND('Mapa final'!$AB$57="Media",'Mapa final'!$AD$57="Mayor"),CONCATENATE("R19C",'Mapa final'!$R$57),"")</f>
        <v/>
      </c>
      <c r="V124" s="43" t="str">
        <f ca="1">IF(AND('Mapa final'!$AB$55="Media",'Mapa final'!$AD$55="Catastrófico"),CONCATENATE("R19C",'Mapa final'!$R$55),"")</f>
        <v/>
      </c>
      <c r="W124" s="44" t="str">
        <f>IF(AND('Mapa final'!$AB$56="Media",'Mapa final'!$AD$56="Catastrófico"),CONCATENATE("R19C",'Mapa final'!$R$56),"")</f>
        <v/>
      </c>
      <c r="X124" s="99" t="str">
        <f>IF(AND('Mapa final'!$AB$57="Media",'Mapa final'!$AD$57="Catastrófico"),CONCATENATE("R19C",'Mapa final'!$R$57),"")</f>
        <v/>
      </c>
      <c r="Y124" s="56"/>
      <c r="Z124" s="297"/>
      <c r="AA124" s="298"/>
      <c r="AB124" s="298"/>
      <c r="AC124" s="298"/>
      <c r="AD124" s="298"/>
      <c r="AE124" s="299"/>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row>
    <row r="125" spans="1:61" ht="15" customHeight="1" x14ac:dyDescent="0.25">
      <c r="A125" s="56"/>
      <c r="B125" s="286"/>
      <c r="C125" s="286"/>
      <c r="D125" s="287"/>
      <c r="E125" s="276"/>
      <c r="F125" s="275"/>
      <c r="G125" s="275"/>
      <c r="H125" s="275"/>
      <c r="I125" s="275"/>
      <c r="J125" s="49" t="str">
        <f ca="1">IF(AND('Mapa final'!$AB$58="Media",'Mapa final'!$AD$58="Leve"),CONCATENATE("R20C",'Mapa final'!$R$58),"")</f>
        <v/>
      </c>
      <c r="K125" s="50" t="str">
        <f>IF(AND('Mapa final'!$AB$59="Media",'Mapa final'!$AD$59="Leve"),CONCATENATE("R20C",'Mapa final'!$R$59),"")</f>
        <v/>
      </c>
      <c r="L125" s="110" t="str">
        <f>IF(AND('Mapa final'!$AB$60="Media",'Mapa final'!$AD$60="Leve"),CONCATENATE("R20C",'Mapa final'!$R$60),"")</f>
        <v/>
      </c>
      <c r="M125" s="49" t="str">
        <f ca="1">IF(AND('Mapa final'!$AB$58="Media",'Mapa final'!$AD$58="Menor"),CONCATENATE("R20C",'Mapa final'!$R$58),"")</f>
        <v/>
      </c>
      <c r="N125" s="50" t="str">
        <f>IF(AND('Mapa final'!$AB$59="Media",'Mapa final'!$AD$59="Menor"),CONCATENATE("R20C",'Mapa final'!$R$59),"")</f>
        <v/>
      </c>
      <c r="O125" s="110" t="str">
        <f>IF(AND('Mapa final'!$AB$60="Media",'Mapa final'!$AD$60="Menor"),CONCATENATE("R20C",'Mapa final'!$R$60),"")</f>
        <v/>
      </c>
      <c r="P125" s="49" t="str">
        <f ca="1">IF(AND('Mapa final'!$AB$58="Media",'Mapa final'!$AD$58="Moderado"),CONCATENATE("R20C",'Mapa final'!$R$58),"")</f>
        <v/>
      </c>
      <c r="Q125" s="50" t="str">
        <f>IF(AND('Mapa final'!$AB$59="Media",'Mapa final'!$AD$59="Moderado"),CONCATENATE("R20C",'Mapa final'!$R$59),"")</f>
        <v/>
      </c>
      <c r="R125" s="110" t="str">
        <f>IF(AND('Mapa final'!$AB$60="Media",'Mapa final'!$AD$60="Moderado"),CONCATENATE("R20C",'Mapa final'!$R$60),"")</f>
        <v/>
      </c>
      <c r="S125" s="104" t="str">
        <f ca="1">IF(AND('Mapa final'!$AB$58="Media",'Mapa final'!$AD$58="Mayor"),CONCATENATE("R20C",'Mapa final'!$R$58),"")</f>
        <v/>
      </c>
      <c r="T125" s="42" t="str">
        <f>IF(AND('Mapa final'!$AB$59="Media",'Mapa final'!$AD$59="Mayor"),CONCATENATE("R20C",'Mapa final'!$R$59),"")</f>
        <v/>
      </c>
      <c r="U125" s="105" t="str">
        <f>IF(AND('Mapa final'!$AB$60="Media",'Mapa final'!$AD$60="Mayor"),CONCATENATE("R20C",'Mapa final'!$R$60),"")</f>
        <v/>
      </c>
      <c r="V125" s="43" t="str">
        <f ca="1">IF(AND('Mapa final'!$AB$58="Media",'Mapa final'!$AD$58="Catastrófico"),CONCATENATE("R20C",'Mapa final'!$R$58),"")</f>
        <v/>
      </c>
      <c r="W125" s="44" t="str">
        <f>IF(AND('Mapa final'!$AB$59="Media",'Mapa final'!$AD$59="Catastrófico"),CONCATENATE("R20C",'Mapa final'!$R$59),"")</f>
        <v/>
      </c>
      <c r="X125" s="99" t="str">
        <f>IF(AND('Mapa final'!$AB$60="Media",'Mapa final'!$AD$60="Catastrófico"),CONCATENATE("R20C",'Mapa final'!$R$60),"")</f>
        <v/>
      </c>
      <c r="Y125" s="56"/>
      <c r="Z125" s="297"/>
      <c r="AA125" s="298"/>
      <c r="AB125" s="298"/>
      <c r="AC125" s="298"/>
      <c r="AD125" s="298"/>
      <c r="AE125" s="299"/>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row>
    <row r="126" spans="1:61" ht="15" customHeight="1" x14ac:dyDescent="0.25">
      <c r="A126" s="56"/>
      <c r="B126" s="286"/>
      <c r="C126" s="286"/>
      <c r="D126" s="287"/>
      <c r="E126" s="276"/>
      <c r="F126" s="275"/>
      <c r="G126" s="275"/>
      <c r="H126" s="275"/>
      <c r="I126" s="275"/>
      <c r="J126" s="49" t="str">
        <f ca="1">IF(AND('Mapa final'!$AB$61="Media",'Mapa final'!$AD$61="Leve"),CONCATENATE("R21C",'Mapa final'!$R$61),"")</f>
        <v/>
      </c>
      <c r="K126" s="50" t="str">
        <f>IF(AND('Mapa final'!$AB$62="Media",'Mapa final'!$AD$62="Leve"),CONCATENATE("R21C",'Mapa final'!$R$62),"")</f>
        <v/>
      </c>
      <c r="L126" s="110" t="str">
        <f>IF(AND('Mapa final'!$AB$63="Media",'Mapa final'!$AD$63="Leve"),CONCATENATE("R21C",'Mapa final'!$R$63),"")</f>
        <v/>
      </c>
      <c r="M126" s="49" t="str">
        <f ca="1">IF(AND('Mapa final'!$AB$61="Media",'Mapa final'!$AD$61="Menor"),CONCATENATE("R21C",'Mapa final'!$R$61),"")</f>
        <v/>
      </c>
      <c r="N126" s="50" t="str">
        <f>IF(AND('Mapa final'!$AB$62="Media",'Mapa final'!$AD$62="Menor"),CONCATENATE("R21C",'Mapa final'!$R$62),"")</f>
        <v/>
      </c>
      <c r="O126" s="110" t="str">
        <f>IF(AND('Mapa final'!$AB$63="Media",'Mapa final'!$AD$63="Menor"),CONCATENATE("R21C",'Mapa final'!$R$63),"")</f>
        <v/>
      </c>
      <c r="P126" s="49" t="str">
        <f ca="1">IF(AND('Mapa final'!$AB$61="Media",'Mapa final'!$AD$61="Moderado"),CONCATENATE("R21C",'Mapa final'!$R$61),"")</f>
        <v/>
      </c>
      <c r="Q126" s="50" t="str">
        <f>IF(AND('Mapa final'!$AB$62="Media",'Mapa final'!$AD$62="Moderado"),CONCATENATE("R21C",'Mapa final'!$R$62),"")</f>
        <v/>
      </c>
      <c r="R126" s="110" t="str">
        <f>IF(AND('Mapa final'!$AB$63="Media",'Mapa final'!$AD$63="Moderado"),CONCATENATE("R21C",'Mapa final'!$R$63),"")</f>
        <v/>
      </c>
      <c r="S126" s="104" t="str">
        <f ca="1">IF(AND('Mapa final'!$AB$61="Media",'Mapa final'!$AD$61="Mayor"),CONCATENATE("R21C",'Mapa final'!$R$61),"")</f>
        <v/>
      </c>
      <c r="T126" s="42" t="str">
        <f>IF(AND('Mapa final'!$AB$62="Media",'Mapa final'!$AD$62="Mayor"),CONCATENATE("R21C",'Mapa final'!$R$62),"")</f>
        <v/>
      </c>
      <c r="U126" s="105" t="str">
        <f>IF(AND('Mapa final'!$AB$63="Media",'Mapa final'!$AD$63="Mayor"),CONCATENATE("R21C",'Mapa final'!$R$63),"")</f>
        <v/>
      </c>
      <c r="V126" s="43" t="str">
        <f ca="1">IF(AND('Mapa final'!$AB$61="Media",'Mapa final'!$AD$61="Catastrófico"),CONCATENATE("R21C",'Mapa final'!$R$61),"")</f>
        <v/>
      </c>
      <c r="W126" s="44" t="str">
        <f>IF(AND('Mapa final'!$AB$62="Media",'Mapa final'!$AD$62="Catastrófico"),CONCATENATE("R21C",'Mapa final'!$R$62),"")</f>
        <v/>
      </c>
      <c r="X126" s="99" t="str">
        <f>IF(AND('Mapa final'!$AB$63="Media",'Mapa final'!$AD$63="Catastrófico"),CONCATENATE("R21C",'Mapa final'!$R$63),"")</f>
        <v/>
      </c>
      <c r="Y126" s="56"/>
      <c r="Z126" s="297"/>
      <c r="AA126" s="298"/>
      <c r="AB126" s="298"/>
      <c r="AC126" s="298"/>
      <c r="AD126" s="298"/>
      <c r="AE126" s="299"/>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row>
    <row r="127" spans="1:61" ht="15" customHeight="1" x14ac:dyDescent="0.25">
      <c r="A127" s="56"/>
      <c r="B127" s="286"/>
      <c r="C127" s="286"/>
      <c r="D127" s="287"/>
      <c r="E127" s="276"/>
      <c r="F127" s="275"/>
      <c r="G127" s="275"/>
      <c r="H127" s="275"/>
      <c r="I127" s="275"/>
      <c r="J127" s="49" t="str">
        <f ca="1">IF(AND('Mapa final'!$AB$64="Media",'Mapa final'!$AD$64="Leve"),CONCATENATE("R22C",'Mapa final'!$R$64),"")</f>
        <v/>
      </c>
      <c r="K127" s="50" t="str">
        <f>IF(AND('Mapa final'!$AB$65="Media",'Mapa final'!$AD$65="Leve"),CONCATENATE("R22C",'Mapa final'!$R$65),"")</f>
        <v/>
      </c>
      <c r="L127" s="110" t="str">
        <f>IF(AND('Mapa final'!$AB$66="Media",'Mapa final'!$AD$66="Leve"),CONCATENATE("R22C",'Mapa final'!$R$66),"")</f>
        <v/>
      </c>
      <c r="M127" s="49" t="str">
        <f ca="1">IF(AND('Mapa final'!$AB$64="Media",'Mapa final'!$AD$64="Menor"),CONCATENATE("R22C",'Mapa final'!$R$64),"")</f>
        <v/>
      </c>
      <c r="N127" s="50" t="str">
        <f>IF(AND('Mapa final'!$AB$65="Media",'Mapa final'!$AD$65="Menor"),CONCATENATE("R22C",'Mapa final'!$R$65),"")</f>
        <v/>
      </c>
      <c r="O127" s="110" t="str">
        <f>IF(AND('Mapa final'!$AB$66="Media",'Mapa final'!$AD$66="Menor"),CONCATENATE("R22C",'Mapa final'!$R$66),"")</f>
        <v/>
      </c>
      <c r="P127" s="49" t="str">
        <f ca="1">IF(AND('Mapa final'!$AB$64="Media",'Mapa final'!$AD$64="Moderado"),CONCATENATE("R22C",'Mapa final'!$R$64),"")</f>
        <v/>
      </c>
      <c r="Q127" s="50" t="str">
        <f>IF(AND('Mapa final'!$AB$65="Media",'Mapa final'!$AD$65="Moderado"),CONCATENATE("R22C",'Mapa final'!$R$65),"")</f>
        <v/>
      </c>
      <c r="R127" s="110" t="str">
        <f>IF(AND('Mapa final'!$AB$66="Media",'Mapa final'!$AD$66="Moderado"),CONCATENATE("R22C",'Mapa final'!$R$66),"")</f>
        <v/>
      </c>
      <c r="S127" s="104" t="str">
        <f ca="1">IF(AND('Mapa final'!$AB$64="Media",'Mapa final'!$AD$64="Mayor"),CONCATENATE("R22C",'Mapa final'!$R$64),"")</f>
        <v/>
      </c>
      <c r="T127" s="42" t="str">
        <f>IF(AND('Mapa final'!$AB$65="Media",'Mapa final'!$AD$65="Mayor"),CONCATENATE("R22C",'Mapa final'!$R$65),"")</f>
        <v/>
      </c>
      <c r="U127" s="105" t="str">
        <f>IF(AND('Mapa final'!$AB$66="Media",'Mapa final'!$AD$66="Mayor"),CONCATENATE("R22C",'Mapa final'!$R$66),"")</f>
        <v/>
      </c>
      <c r="V127" s="43" t="str">
        <f ca="1">IF(AND('Mapa final'!$AB$64="Media",'Mapa final'!$AD$64="Catastrófico"),CONCATENATE("R22C",'Mapa final'!$R$64),"")</f>
        <v/>
      </c>
      <c r="W127" s="44" t="str">
        <f>IF(AND('Mapa final'!$AB$65="Media",'Mapa final'!$AD$65="Catastrófico"),CONCATENATE("R22C",'Mapa final'!$R$65),"")</f>
        <v/>
      </c>
      <c r="X127" s="99" t="str">
        <f>IF(AND('Mapa final'!$AB$66="Media",'Mapa final'!$AD$66="Catastrófico"),CONCATENATE("R22C",'Mapa final'!$R$66),"")</f>
        <v/>
      </c>
      <c r="Y127" s="56"/>
      <c r="Z127" s="297"/>
      <c r="AA127" s="298"/>
      <c r="AB127" s="298"/>
      <c r="AC127" s="298"/>
      <c r="AD127" s="298"/>
      <c r="AE127" s="299"/>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row>
    <row r="128" spans="1:61" ht="15" customHeight="1" x14ac:dyDescent="0.25">
      <c r="A128" s="56"/>
      <c r="B128" s="286"/>
      <c r="C128" s="286"/>
      <c r="D128" s="287"/>
      <c r="E128" s="276"/>
      <c r="F128" s="275"/>
      <c r="G128" s="275"/>
      <c r="H128" s="275"/>
      <c r="I128" s="275"/>
      <c r="J128" s="49" t="str">
        <f ca="1">IF(AND('Mapa final'!$AB$70="Media",'Mapa final'!$AD$70="Leve"),CONCATENATE("R23C",'Mapa final'!$R$70),"")</f>
        <v/>
      </c>
      <c r="K128" s="50" t="str">
        <f>IF(AND('Mapa final'!$AB$71="Media",'Mapa final'!$AD$71="Leve"),CONCATENATE("R23C",'Mapa final'!$R$71),"")</f>
        <v/>
      </c>
      <c r="L128" s="110" t="str">
        <f>IF(AND('Mapa final'!$AB$72="Media",'Mapa final'!$AD$72="Leve"),CONCATENATE("R23C",'Mapa final'!$R$72),"")</f>
        <v/>
      </c>
      <c r="M128" s="49" t="str">
        <f ca="1">IF(AND('Mapa final'!$AB$70="Media",'Mapa final'!$AD$70="Menor"),CONCATENATE("R23C",'Mapa final'!$R$70),"")</f>
        <v/>
      </c>
      <c r="N128" s="50" t="str">
        <f>IF(AND('Mapa final'!$AB$71="Media",'Mapa final'!$AD$71="Menor"),CONCATENATE("R23C",'Mapa final'!$R$71),"")</f>
        <v/>
      </c>
      <c r="O128" s="110" t="str">
        <f>IF(AND('Mapa final'!$AB$72="Media",'Mapa final'!$AD$72="Menor"),CONCATENATE("R23C",'Mapa final'!$R$72),"")</f>
        <v/>
      </c>
      <c r="P128" s="49" t="str">
        <f ca="1">IF(AND('Mapa final'!$AB$70="Media",'Mapa final'!$AD$70="Moderado"),CONCATENATE("R23C",'Mapa final'!$R$70),"")</f>
        <v/>
      </c>
      <c r="Q128" s="50" t="str">
        <f>IF(AND('Mapa final'!$AB$71="Media",'Mapa final'!$AD$71="Moderado"),CONCATENATE("R23C",'Mapa final'!$R$71),"")</f>
        <v/>
      </c>
      <c r="R128" s="110" t="str">
        <f>IF(AND('Mapa final'!$AB$72="Media",'Mapa final'!$AD$72="Moderado"),CONCATENATE("R23C",'Mapa final'!$R$72),"")</f>
        <v/>
      </c>
      <c r="S128" s="104" t="str">
        <f ca="1">IF(AND('Mapa final'!$AB$70="Media",'Mapa final'!$AD$70="Mayor"),CONCATENATE("R23C",'Mapa final'!$R$70),"")</f>
        <v/>
      </c>
      <c r="T128" s="42" t="str">
        <f>IF(AND('Mapa final'!$AB$71="Media",'Mapa final'!$AD$71="Mayor"),CONCATENATE("R23C",'Mapa final'!$R$71),"")</f>
        <v/>
      </c>
      <c r="U128" s="105" t="str">
        <f>IF(AND('Mapa final'!$AB$72="Media",'Mapa final'!$AD$72="Mayor"),CONCATENATE("R23C",'Mapa final'!$R$72),"")</f>
        <v/>
      </c>
      <c r="V128" s="43" t="str">
        <f ca="1">IF(AND('Mapa final'!$AB$70="Media",'Mapa final'!$AD$70="Catastrófico"),CONCATENATE("R23C",'Mapa final'!$R$70),"")</f>
        <v/>
      </c>
      <c r="W128" s="44" t="str">
        <f>IF(AND('Mapa final'!$AB$71="Media",'Mapa final'!$AD$71="Catastrófico"),CONCATENATE("R23C",'Mapa final'!$R$71),"")</f>
        <v/>
      </c>
      <c r="X128" s="99" t="str">
        <f>IF(AND('Mapa final'!$AB$72="Media",'Mapa final'!$AD$72="Catastrófico"),CONCATENATE("R23C",'Mapa final'!$R$72),"")</f>
        <v/>
      </c>
      <c r="Y128" s="56"/>
      <c r="Z128" s="297"/>
      <c r="AA128" s="298"/>
      <c r="AB128" s="298"/>
      <c r="AC128" s="298"/>
      <c r="AD128" s="298"/>
      <c r="AE128" s="299"/>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row>
    <row r="129" spans="1:61" ht="15" customHeight="1" x14ac:dyDescent="0.25">
      <c r="A129" s="56"/>
      <c r="B129" s="286"/>
      <c r="C129" s="286"/>
      <c r="D129" s="287"/>
      <c r="E129" s="276"/>
      <c r="F129" s="275"/>
      <c r="G129" s="275"/>
      <c r="H129" s="275"/>
      <c r="I129" s="275"/>
      <c r="J129" s="49" t="str">
        <f ca="1">IF(AND('Mapa final'!$AB$73="Media",'Mapa final'!$AD$73="Leve"),CONCATENATE("R24C",'Mapa final'!$R$73),"")</f>
        <v/>
      </c>
      <c r="K129" s="50" t="str">
        <f>IF(AND('Mapa final'!$AB$74="Media",'Mapa final'!$AD$74="Leve"),CONCATENATE("R24C",'Mapa final'!$R$74),"")</f>
        <v/>
      </c>
      <c r="L129" s="110" t="str">
        <f>IF(AND('Mapa final'!$AB$75="Media",'Mapa final'!$AD$75="Leve"),CONCATENATE("R24C",'Mapa final'!$R$75),"")</f>
        <v/>
      </c>
      <c r="M129" s="49" t="str">
        <f ca="1">IF(AND('Mapa final'!$AB$73="Media",'Mapa final'!$AD$73="Menor"),CONCATENATE("R24C",'Mapa final'!$R$73),"")</f>
        <v/>
      </c>
      <c r="N129" s="50" t="str">
        <f>IF(AND('Mapa final'!$AB$74="Media",'Mapa final'!$AD$74="Menor"),CONCATENATE("R24C",'Mapa final'!$R$74),"")</f>
        <v/>
      </c>
      <c r="O129" s="110" t="str">
        <f>IF(AND('Mapa final'!$AB$75="Media",'Mapa final'!$AD$75="Menor"),CONCATENATE("R24C",'Mapa final'!$R$75),"")</f>
        <v/>
      </c>
      <c r="P129" s="49" t="str">
        <f ca="1">IF(AND('Mapa final'!$AB$73="Media",'Mapa final'!$AD$73="Moderado"),CONCATENATE("R24C",'Mapa final'!$R$73),"")</f>
        <v/>
      </c>
      <c r="Q129" s="50" t="str">
        <f>IF(AND('Mapa final'!$AB$74="Media",'Mapa final'!$AD$74="Moderado"),CONCATENATE("R24C",'Mapa final'!$R$74),"")</f>
        <v/>
      </c>
      <c r="R129" s="110" t="str">
        <f>IF(AND('Mapa final'!$AB$75="Media",'Mapa final'!$AD$75="Moderado"),CONCATENATE("R24C",'Mapa final'!$R$75),"")</f>
        <v/>
      </c>
      <c r="S129" s="104" t="str">
        <f ca="1">IF(AND('Mapa final'!$AB$73="Media",'Mapa final'!$AD$73="Mayor"),CONCATENATE("R24C",'Mapa final'!$R$73),"")</f>
        <v/>
      </c>
      <c r="T129" s="42" t="str">
        <f>IF(AND('Mapa final'!$AB$74="Media",'Mapa final'!$AD$74="Mayor"),CONCATENATE("R24C",'Mapa final'!$R$74),"")</f>
        <v/>
      </c>
      <c r="U129" s="105" t="str">
        <f>IF(AND('Mapa final'!$AB$75="Media",'Mapa final'!$AD$75="Mayor"),CONCATENATE("R24C",'Mapa final'!$R$75),"")</f>
        <v/>
      </c>
      <c r="V129" s="43" t="str">
        <f ca="1">IF(AND('Mapa final'!$AB$73="Media",'Mapa final'!$AD$73="Catastrófico"),CONCATENATE("R24C",'Mapa final'!$R$73),"")</f>
        <v/>
      </c>
      <c r="W129" s="44" t="str">
        <f>IF(AND('Mapa final'!$AB$74="Media",'Mapa final'!$AD$74="Catastrófico"),CONCATENATE("R24C",'Mapa final'!$R$74),"")</f>
        <v/>
      </c>
      <c r="X129" s="99" t="str">
        <f>IF(AND('Mapa final'!$AB$75="Media",'Mapa final'!$AD$75="Catastrófico"),CONCATENATE("R24C",'Mapa final'!$R$75),"")</f>
        <v/>
      </c>
      <c r="Y129" s="56"/>
      <c r="Z129" s="297"/>
      <c r="AA129" s="298"/>
      <c r="AB129" s="298"/>
      <c r="AC129" s="298"/>
      <c r="AD129" s="298"/>
      <c r="AE129" s="299"/>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row>
    <row r="130" spans="1:61" ht="15" customHeight="1" x14ac:dyDescent="0.25">
      <c r="A130" s="56"/>
      <c r="B130" s="286"/>
      <c r="C130" s="286"/>
      <c r="D130" s="287"/>
      <c r="E130" s="276"/>
      <c r="F130" s="275"/>
      <c r="G130" s="275"/>
      <c r="H130" s="275"/>
      <c r="I130" s="275"/>
      <c r="J130" s="49" t="str">
        <f ca="1">IF(AND('Mapa final'!$AB$76="Media",'Mapa final'!$AD$76="Leve"),CONCATENATE("R25C",'Mapa final'!$R$76),"")</f>
        <v/>
      </c>
      <c r="K130" s="50" t="str">
        <f>IF(AND('Mapa final'!$AB$77="Media",'Mapa final'!$AD$77="Leve"),CONCATENATE("R25C",'Mapa final'!$R$77),"")</f>
        <v/>
      </c>
      <c r="L130" s="110" t="str">
        <f>IF(AND('Mapa final'!$AB$78="Media",'Mapa final'!$AD$78="Leve"),CONCATENATE("R25C",'Mapa final'!$R$78),"")</f>
        <v/>
      </c>
      <c r="M130" s="49" t="str">
        <f ca="1">IF(AND('Mapa final'!$AB$76="Media",'Mapa final'!$AD$76="Menor"),CONCATENATE("R25C",'Mapa final'!$R$76),"")</f>
        <v/>
      </c>
      <c r="N130" s="50" t="str">
        <f>IF(AND('Mapa final'!$AB$77="Media",'Mapa final'!$AD$77="Menor"),CONCATENATE("R25C",'Mapa final'!$R$77),"")</f>
        <v/>
      </c>
      <c r="O130" s="110" t="str">
        <f>IF(AND('Mapa final'!$AB$78="Media",'Mapa final'!$AD$78="Menor"),CONCATENATE("R25C",'Mapa final'!$R$78),"")</f>
        <v/>
      </c>
      <c r="P130" s="49" t="str">
        <f ca="1">IF(AND('Mapa final'!$AB$76="Media",'Mapa final'!$AD$76="Moderado"),CONCATENATE("R25C",'Mapa final'!$R$76),"")</f>
        <v/>
      </c>
      <c r="Q130" s="50" t="str">
        <f>IF(AND('Mapa final'!$AB$77="Media",'Mapa final'!$AD$77="Moderado"),CONCATENATE("R25C",'Mapa final'!$R$77),"")</f>
        <v/>
      </c>
      <c r="R130" s="110" t="str">
        <f>IF(AND('Mapa final'!$AB$78="Media",'Mapa final'!$AD$78="Moderado"),CONCATENATE("R25C",'Mapa final'!$R$78),"")</f>
        <v/>
      </c>
      <c r="S130" s="104" t="str">
        <f ca="1">IF(AND('Mapa final'!$AB$76="Media",'Mapa final'!$AD$76="Mayor"),CONCATENATE("R25C",'Mapa final'!$R$76),"")</f>
        <v/>
      </c>
      <c r="T130" s="42" t="str">
        <f>IF(AND('Mapa final'!$AB$77="Media",'Mapa final'!$AD$77="Mayor"),CONCATENATE("R25C",'Mapa final'!$R$77),"")</f>
        <v/>
      </c>
      <c r="U130" s="105" t="str">
        <f>IF(AND('Mapa final'!$AB$78="Media",'Mapa final'!$AD$78="Mayor"),CONCATENATE("R25C",'Mapa final'!$R$78),"")</f>
        <v/>
      </c>
      <c r="V130" s="43" t="str">
        <f ca="1">IF(AND('Mapa final'!$AB$76="Media",'Mapa final'!$AD$76="Catastrófico"),CONCATENATE("R25C",'Mapa final'!$R$76),"")</f>
        <v/>
      </c>
      <c r="W130" s="44" t="str">
        <f>IF(AND('Mapa final'!$AB$77="Media",'Mapa final'!$AD$77="Catastrófico"),CONCATENATE("R25C",'Mapa final'!$R$77),"")</f>
        <v/>
      </c>
      <c r="X130" s="99" t="str">
        <f>IF(AND('Mapa final'!$AB$78="Media",'Mapa final'!$AD$78="Catastrófico"),CONCATENATE("R25C",'Mapa final'!$R$78),"")</f>
        <v/>
      </c>
      <c r="Y130" s="56"/>
      <c r="Z130" s="297"/>
      <c r="AA130" s="298"/>
      <c r="AB130" s="298"/>
      <c r="AC130" s="298"/>
      <c r="AD130" s="298"/>
      <c r="AE130" s="299"/>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row>
    <row r="131" spans="1:61" ht="15" customHeight="1" x14ac:dyDescent="0.25">
      <c r="A131" s="56"/>
      <c r="B131" s="286"/>
      <c r="C131" s="286"/>
      <c r="D131" s="287"/>
      <c r="E131" s="276"/>
      <c r="F131" s="275"/>
      <c r="G131" s="275"/>
      <c r="H131" s="275"/>
      <c r="I131" s="275"/>
      <c r="J131" s="49" t="str">
        <f ca="1">IF(AND('Mapa final'!$AB$79="Media",'Mapa final'!$AD$79="Leve"),CONCATENATE("R26C",'Mapa final'!$R$79),"")</f>
        <v/>
      </c>
      <c r="K131" s="50" t="str">
        <f ca="1">IF(AND('Mapa final'!$AB$80="Media",'Mapa final'!$AD$80="Leve"),CONCATENATE("R26C",'Mapa final'!$R$80),"")</f>
        <v/>
      </c>
      <c r="L131" s="110" t="str">
        <f ca="1">IF(AND('Mapa final'!$AB$81="Media",'Mapa final'!$AD$81="Leve"),CONCATENATE("R26C",'Mapa final'!$R$81),"")</f>
        <v/>
      </c>
      <c r="M131" s="49" t="str">
        <f ca="1">IF(AND('Mapa final'!$AB$79="Media",'Mapa final'!$AD$79="Menor"),CONCATENATE("R26C",'Mapa final'!$R$79),"")</f>
        <v/>
      </c>
      <c r="N131" s="50" t="str">
        <f ca="1">IF(AND('Mapa final'!$AB$80="Media",'Mapa final'!$AD$80="Menor"),CONCATENATE("R26C",'Mapa final'!$R$80),"")</f>
        <v/>
      </c>
      <c r="O131" s="110" t="str">
        <f ca="1">IF(AND('Mapa final'!$AB$81="Media",'Mapa final'!$AD$81="Menor"),CONCATENATE("R26C",'Mapa final'!$R$81),"")</f>
        <v/>
      </c>
      <c r="P131" s="49" t="str">
        <f ca="1">IF(AND('Mapa final'!$AB$79="Media",'Mapa final'!$AD$79="Moderado"),CONCATENATE("R26C",'Mapa final'!$R$79),"")</f>
        <v/>
      </c>
      <c r="Q131" s="50" t="str">
        <f ca="1">IF(AND('Mapa final'!$AB$80="Media",'Mapa final'!$AD$80="Moderado"),CONCATENATE("R26C",'Mapa final'!$R$80),"")</f>
        <v/>
      </c>
      <c r="R131" s="110" t="str">
        <f ca="1">IF(AND('Mapa final'!$AB$81="Media",'Mapa final'!$AD$81="Moderado"),CONCATENATE("R26C",'Mapa final'!$R$81),"")</f>
        <v/>
      </c>
      <c r="S131" s="104" t="str">
        <f ca="1">IF(AND('Mapa final'!$AB$79="Media",'Mapa final'!$AD$79="Mayor"),CONCATENATE("R26C",'Mapa final'!$R$79),"")</f>
        <v/>
      </c>
      <c r="T131" s="42" t="str">
        <f ca="1">IF(AND('Mapa final'!$AB$80="Media",'Mapa final'!$AD$80="Mayor"),CONCATENATE("R26C",'Mapa final'!$R$80),"")</f>
        <v/>
      </c>
      <c r="U131" s="105" t="str">
        <f ca="1">IF(AND('Mapa final'!$AB$81="Media",'Mapa final'!$AD$81="Mayor"),CONCATENATE("R26C",'Mapa final'!$R$81),"")</f>
        <v/>
      </c>
      <c r="V131" s="43" t="str">
        <f ca="1">IF(AND('Mapa final'!$AB$79="Media",'Mapa final'!$AD$79="Catastrófico"),CONCATENATE("R26C",'Mapa final'!$R$79),"")</f>
        <v/>
      </c>
      <c r="W131" s="44" t="str">
        <f ca="1">IF(AND('Mapa final'!$AB$80="Media",'Mapa final'!$AD$80="Catastrófico"),CONCATENATE("R26C",'Mapa final'!$R$80),"")</f>
        <v/>
      </c>
      <c r="X131" s="99" t="str">
        <f ca="1">IF(AND('Mapa final'!$AB$81="Media",'Mapa final'!$AD$81="Catastrófico"),CONCATENATE("R26C",'Mapa final'!$R$81),"")</f>
        <v/>
      </c>
      <c r="Y131" s="56"/>
      <c r="Z131" s="297"/>
      <c r="AA131" s="298"/>
      <c r="AB131" s="298"/>
      <c r="AC131" s="298"/>
      <c r="AD131" s="298"/>
      <c r="AE131" s="299"/>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row>
    <row r="132" spans="1:61" ht="15" customHeight="1" x14ac:dyDescent="0.25">
      <c r="A132" s="56"/>
      <c r="B132" s="286"/>
      <c r="C132" s="286"/>
      <c r="D132" s="287"/>
      <c r="E132" s="276"/>
      <c r="F132" s="275"/>
      <c r="G132" s="275"/>
      <c r="H132" s="275"/>
      <c r="I132" s="275"/>
      <c r="J132" s="49" t="str">
        <f ca="1">IF(AND('Mapa final'!$AB$82="Media",'Mapa final'!$AD$82="Leve"),CONCATENATE("R27C",'Mapa final'!$R$82),"")</f>
        <v/>
      </c>
      <c r="K132" s="50" t="str">
        <f>IF(AND('Mapa final'!$AB$83="Media",'Mapa final'!$AD$83="Leve"),CONCATENATE("R27C",'Mapa final'!$R$83),"")</f>
        <v/>
      </c>
      <c r="L132" s="110" t="str">
        <f>IF(AND('Mapa final'!$AB$84="Media",'Mapa final'!$AD$84="Leve"),CONCATENATE("R27C",'Mapa final'!$R$84),"")</f>
        <v/>
      </c>
      <c r="M132" s="49" t="str">
        <f ca="1">IF(AND('Mapa final'!$AB$82="Media",'Mapa final'!$AD$82="Menor"),CONCATENATE("R27C",'Mapa final'!$R$82),"")</f>
        <v/>
      </c>
      <c r="N132" s="50" t="str">
        <f>IF(AND('Mapa final'!$AB$83="Media",'Mapa final'!$AD$83="Menor"),CONCATENATE("R27C",'Mapa final'!$R$83),"")</f>
        <v/>
      </c>
      <c r="O132" s="110" t="str">
        <f>IF(AND('Mapa final'!$AB$84="Media",'Mapa final'!$AD$84="Menor"),CONCATENATE("R27C",'Mapa final'!$R$84),"")</f>
        <v/>
      </c>
      <c r="P132" s="49" t="str">
        <f ca="1">IF(AND('Mapa final'!$AB$82="Media",'Mapa final'!$AD$82="Moderado"),CONCATENATE("R27C",'Mapa final'!$R$82),"")</f>
        <v/>
      </c>
      <c r="Q132" s="50" t="str">
        <f>IF(AND('Mapa final'!$AB$83="Media",'Mapa final'!$AD$83="Moderado"),CONCATENATE("R27C",'Mapa final'!$R$83),"")</f>
        <v/>
      </c>
      <c r="R132" s="110" t="str">
        <f>IF(AND('Mapa final'!$AB$84="Media",'Mapa final'!$AD$84="Moderado"),CONCATENATE("R27C",'Mapa final'!$R$84),"")</f>
        <v/>
      </c>
      <c r="S132" s="104" t="str">
        <f ca="1">IF(AND('Mapa final'!$AB$82="Media",'Mapa final'!$AD$82="Mayor"),CONCATENATE("R27C",'Mapa final'!$R$82),"")</f>
        <v/>
      </c>
      <c r="T132" s="42" t="str">
        <f>IF(AND('Mapa final'!$AB$83="Media",'Mapa final'!$AD$83="Mayor"),CONCATENATE("R27C",'Mapa final'!$R$83),"")</f>
        <v/>
      </c>
      <c r="U132" s="105" t="str">
        <f>IF(AND('Mapa final'!$AB$84="Media",'Mapa final'!$AD$84="Mayor"),CONCATENATE("R27C",'Mapa final'!$R$84),"")</f>
        <v/>
      </c>
      <c r="V132" s="43" t="str">
        <f ca="1">IF(AND('Mapa final'!$AB$82="Media",'Mapa final'!$AD$82="Catastrófico"),CONCATENATE("R27C",'Mapa final'!$R$82),"")</f>
        <v/>
      </c>
      <c r="W132" s="44" t="str">
        <f>IF(AND('Mapa final'!$AB$83="Media",'Mapa final'!$AD$83="Catastrófico"),CONCATENATE("R27C",'Mapa final'!$R$83),"")</f>
        <v/>
      </c>
      <c r="X132" s="99" t="str">
        <f>IF(AND('Mapa final'!$AB$84="Media",'Mapa final'!$AD$84="Catastrófico"),CONCATENATE("R27C",'Mapa final'!$R$84),"")</f>
        <v/>
      </c>
      <c r="Y132" s="56"/>
      <c r="Z132" s="297"/>
      <c r="AA132" s="298"/>
      <c r="AB132" s="298"/>
      <c r="AC132" s="298"/>
      <c r="AD132" s="298"/>
      <c r="AE132" s="299"/>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row>
    <row r="133" spans="1:61" ht="15" customHeight="1" x14ac:dyDescent="0.25">
      <c r="A133" s="56"/>
      <c r="B133" s="286"/>
      <c r="C133" s="286"/>
      <c r="D133" s="287"/>
      <c r="E133" s="276"/>
      <c r="F133" s="275"/>
      <c r="G133" s="275"/>
      <c r="H133" s="275"/>
      <c r="I133" s="275"/>
      <c r="J133" s="49" t="str">
        <f ca="1">IF(AND('Mapa final'!$AB$85="Media",'Mapa final'!$AD$85="Leve"),CONCATENATE("R28C",'Mapa final'!$R$85),"")</f>
        <v/>
      </c>
      <c r="K133" s="50" t="str">
        <f>IF(AND('Mapa final'!$AB$86="Media",'Mapa final'!$AD$86="Leve"),CONCATENATE("R28C",'Mapa final'!$R$86),"")</f>
        <v/>
      </c>
      <c r="L133" s="110" t="str">
        <f>IF(AND('Mapa final'!$AB$87="Media",'Mapa final'!$AD$87="Leve"),CONCATENATE("R28C",'Mapa final'!$R$87),"")</f>
        <v/>
      </c>
      <c r="M133" s="49" t="str">
        <f ca="1">IF(AND('Mapa final'!$AB$85="Media",'Mapa final'!$AD$85="Menor"),CONCATENATE("R28C",'Mapa final'!$R$85),"")</f>
        <v/>
      </c>
      <c r="N133" s="50" t="str">
        <f>IF(AND('Mapa final'!$AB$86="Media",'Mapa final'!$AD$86="Menor"),CONCATENATE("R28C",'Mapa final'!$R$86),"")</f>
        <v/>
      </c>
      <c r="O133" s="110" t="str">
        <f>IF(AND('Mapa final'!$AB$87="Media",'Mapa final'!$AD$87="Menor"),CONCATENATE("R28C",'Mapa final'!$R$87),"")</f>
        <v/>
      </c>
      <c r="P133" s="49" t="str">
        <f ca="1">IF(AND('Mapa final'!$AB$85="Media",'Mapa final'!$AD$85="Moderado"),CONCATENATE("R28C",'Mapa final'!$R$85),"")</f>
        <v/>
      </c>
      <c r="Q133" s="50" t="str">
        <f>IF(AND('Mapa final'!$AB$86="Media",'Mapa final'!$AD$86="Moderado"),CONCATENATE("R28C",'Mapa final'!$R$86),"")</f>
        <v/>
      </c>
      <c r="R133" s="110" t="str">
        <f>IF(AND('Mapa final'!$AB$87="Media",'Mapa final'!$AD$87="Moderado"),CONCATENATE("R28C",'Mapa final'!$R$87),"")</f>
        <v/>
      </c>
      <c r="S133" s="104" t="str">
        <f ca="1">IF(AND('Mapa final'!$AB$85="Media",'Mapa final'!$AD$85="Mayor"),CONCATENATE("R28C",'Mapa final'!$R$85),"")</f>
        <v/>
      </c>
      <c r="T133" s="42" t="str">
        <f>IF(AND('Mapa final'!$AB$86="Media",'Mapa final'!$AD$86="Mayor"),CONCATENATE("R28C",'Mapa final'!$R$86),"")</f>
        <v/>
      </c>
      <c r="U133" s="105" t="str">
        <f>IF(AND('Mapa final'!$AB$87="Media",'Mapa final'!$AD$87="Mayor"),CONCATENATE("R28C",'Mapa final'!$R$87),"")</f>
        <v/>
      </c>
      <c r="V133" s="43" t="str">
        <f ca="1">IF(AND('Mapa final'!$AB$85="Media",'Mapa final'!$AD$85="Catastrófico"),CONCATENATE("R28C",'Mapa final'!$R$85),"")</f>
        <v/>
      </c>
      <c r="W133" s="44" t="str">
        <f>IF(AND('Mapa final'!$AB$86="Media",'Mapa final'!$AD$86="Catastrófico"),CONCATENATE("R28C",'Mapa final'!$R$86),"")</f>
        <v/>
      </c>
      <c r="X133" s="99" t="str">
        <f>IF(AND('Mapa final'!$AB$87="Media",'Mapa final'!$AD$87="Catastrófico"),CONCATENATE("R28C",'Mapa final'!$R$87),"")</f>
        <v/>
      </c>
      <c r="Y133" s="56"/>
      <c r="Z133" s="297"/>
      <c r="AA133" s="298"/>
      <c r="AB133" s="298"/>
      <c r="AC133" s="298"/>
      <c r="AD133" s="298"/>
      <c r="AE133" s="299"/>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row>
    <row r="134" spans="1:61" ht="15" customHeight="1" x14ac:dyDescent="0.25">
      <c r="A134" s="56"/>
      <c r="B134" s="286"/>
      <c r="C134" s="286"/>
      <c r="D134" s="287"/>
      <c r="E134" s="276"/>
      <c r="F134" s="275"/>
      <c r="G134" s="275"/>
      <c r="H134" s="275"/>
      <c r="I134" s="275"/>
      <c r="J134" s="49" t="str">
        <f ca="1">IF(AND('Mapa final'!$AB$88="Media",'Mapa final'!$AD$88="Leve"),CONCATENATE("R29C",'Mapa final'!$R$88),"")</f>
        <v/>
      </c>
      <c r="K134" s="50" t="str">
        <f>IF(AND('Mapa final'!$AB$89="Media",'Mapa final'!$AD$89="Leve"),CONCATENATE("R29C",'Mapa final'!$R$89),"")</f>
        <v/>
      </c>
      <c r="L134" s="110" t="str">
        <f>IF(AND('Mapa final'!$AB$90="Media",'Mapa final'!$AD$90="Leve"),CONCATENATE("R29C",'Mapa final'!$R$90),"")</f>
        <v/>
      </c>
      <c r="M134" s="49" t="str">
        <f ca="1">IF(AND('Mapa final'!$AB$88="Media",'Mapa final'!$AD$88="Menor"),CONCATENATE("R29C",'Mapa final'!$R$88),"")</f>
        <v/>
      </c>
      <c r="N134" s="50" t="str">
        <f>IF(AND('Mapa final'!$AB$89="Media",'Mapa final'!$AD$89="Menor"),CONCATENATE("R29C",'Mapa final'!$R$89),"")</f>
        <v/>
      </c>
      <c r="O134" s="110" t="str">
        <f>IF(AND('Mapa final'!$AB$90="Media",'Mapa final'!$AD$90="Menor"),CONCATENATE("R29C",'Mapa final'!$R$90),"")</f>
        <v/>
      </c>
      <c r="P134" s="49" t="str">
        <f ca="1">IF(AND('Mapa final'!$AB$88="Media",'Mapa final'!$AD$88="Moderado"),CONCATENATE("R29C",'Mapa final'!$R$88),"")</f>
        <v/>
      </c>
      <c r="Q134" s="50" t="str">
        <f>IF(AND('Mapa final'!$AB$89="Media",'Mapa final'!$AD$89="Moderado"),CONCATENATE("R29C",'Mapa final'!$R$89),"")</f>
        <v/>
      </c>
      <c r="R134" s="110" t="str">
        <f>IF(AND('Mapa final'!$AB$90="Media",'Mapa final'!$AD$90="Moderado"),CONCATENATE("R29C",'Mapa final'!$R$90),"")</f>
        <v/>
      </c>
      <c r="S134" s="104" t="str">
        <f ca="1">IF(AND('Mapa final'!$AB$88="Media",'Mapa final'!$AD$88="Mayor"),CONCATENATE("R29C",'Mapa final'!$R$88),"")</f>
        <v/>
      </c>
      <c r="T134" s="42" t="str">
        <f>IF(AND('Mapa final'!$AB$89="Media",'Mapa final'!$AD$89="Mayor"),CONCATENATE("R29C",'Mapa final'!$R$89),"")</f>
        <v/>
      </c>
      <c r="U134" s="105" t="str">
        <f>IF(AND('Mapa final'!$AB$90="Media",'Mapa final'!$AD$90="Mayor"),CONCATENATE("R29C",'Mapa final'!$R$90),"")</f>
        <v/>
      </c>
      <c r="V134" s="43" t="str">
        <f ca="1">IF(AND('Mapa final'!$AB$88="Media",'Mapa final'!$AD$88="Catastrófico"),CONCATENATE("R29C",'Mapa final'!$R$88),"")</f>
        <v/>
      </c>
      <c r="W134" s="44" t="str">
        <f>IF(AND('Mapa final'!$AB$89="Media",'Mapa final'!$AD$89="Catastrófico"),CONCATENATE("R29C",'Mapa final'!$R$89),"")</f>
        <v/>
      </c>
      <c r="X134" s="99" t="str">
        <f>IF(AND('Mapa final'!$AB$90="Media",'Mapa final'!$AD$90="Catastrófico"),CONCATENATE("R29C",'Mapa final'!$R$90),"")</f>
        <v/>
      </c>
      <c r="Y134" s="56"/>
      <c r="Z134" s="297"/>
      <c r="AA134" s="298"/>
      <c r="AB134" s="298"/>
      <c r="AC134" s="298"/>
      <c r="AD134" s="298"/>
      <c r="AE134" s="299"/>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row>
    <row r="135" spans="1:61" ht="15" customHeight="1" x14ac:dyDescent="0.25">
      <c r="A135" s="56"/>
      <c r="B135" s="286"/>
      <c r="C135" s="286"/>
      <c r="D135" s="287"/>
      <c r="E135" s="276"/>
      <c r="F135" s="275"/>
      <c r="G135" s="275"/>
      <c r="H135" s="275"/>
      <c r="I135" s="275"/>
      <c r="J135" s="49" t="str">
        <f ca="1">IF(AND('Mapa final'!$AB$91="Media",'Mapa final'!$AD$91="Leve"),CONCATENATE("R30C",'Mapa final'!$R$91),"")</f>
        <v/>
      </c>
      <c r="K135" s="50" t="str">
        <f>IF(AND('Mapa final'!$AB$92="Media",'Mapa final'!$AD$92="Leve"),CONCATENATE("R30C",'Mapa final'!$R$92),"")</f>
        <v/>
      </c>
      <c r="L135" s="110" t="str">
        <f>IF(AND('Mapa final'!$AB$93="Media",'Mapa final'!$AD$93="Leve"),CONCATENATE("R30C",'Mapa final'!$R$93),"")</f>
        <v/>
      </c>
      <c r="M135" s="49" t="str">
        <f ca="1">IF(AND('Mapa final'!$AB$91="Media",'Mapa final'!$AD$91="Menor"),CONCATENATE("R30C",'Mapa final'!$R$91),"")</f>
        <v/>
      </c>
      <c r="N135" s="50" t="str">
        <f>IF(AND('Mapa final'!$AB$92="Media",'Mapa final'!$AD$92="Menor"),CONCATENATE("R30C",'Mapa final'!$R$92),"")</f>
        <v/>
      </c>
      <c r="O135" s="110" t="str">
        <f>IF(AND('Mapa final'!$AB$93="Media",'Mapa final'!$AD$93="Menor"),CONCATENATE("R30C",'Mapa final'!$R$93),"")</f>
        <v/>
      </c>
      <c r="P135" s="49" t="str">
        <f ca="1">IF(AND('Mapa final'!$AB$91="Media",'Mapa final'!$AD$91="Moderado"),CONCATENATE("R30C",'Mapa final'!$R$91),"")</f>
        <v/>
      </c>
      <c r="Q135" s="50" t="str">
        <f>IF(AND('Mapa final'!$AB$92="Media",'Mapa final'!$AD$92="Moderado"),CONCATENATE("R30C",'Mapa final'!$R$92),"")</f>
        <v/>
      </c>
      <c r="R135" s="110" t="str">
        <f>IF(AND('Mapa final'!$AB$93="Media",'Mapa final'!$AD$93="Moderado"),CONCATENATE("R30C",'Mapa final'!$R$93),"")</f>
        <v/>
      </c>
      <c r="S135" s="104" t="str">
        <f ca="1">IF(AND('Mapa final'!$AB$91="Media",'Mapa final'!$AD$91="Mayor"),CONCATENATE("R30C",'Mapa final'!$R$91),"")</f>
        <v>R30C1</v>
      </c>
      <c r="T135" s="42" t="str">
        <f>IF(AND('Mapa final'!$AB$92="Media",'Mapa final'!$AD$92="Mayor"),CONCATENATE("R30C",'Mapa final'!$R$92),"")</f>
        <v/>
      </c>
      <c r="U135" s="105" t="str">
        <f>IF(AND('Mapa final'!$AB$93="Media",'Mapa final'!$AD$93="Mayor"),CONCATENATE("R30C",'Mapa final'!$R$93),"")</f>
        <v/>
      </c>
      <c r="V135" s="43" t="str">
        <f ca="1">IF(AND('Mapa final'!$AB$91="Media",'Mapa final'!$AD$91="Catastrófico"),CONCATENATE("R30C",'Mapa final'!$R$91),"")</f>
        <v/>
      </c>
      <c r="W135" s="44" t="str">
        <f>IF(AND('Mapa final'!$AB$92="Media",'Mapa final'!$AD$92="Catastrófico"),CONCATENATE("R30C",'Mapa final'!$R$92),"")</f>
        <v/>
      </c>
      <c r="X135" s="99" t="str">
        <f>IF(AND('Mapa final'!$AB$93="Media",'Mapa final'!$AD$93="Catastrófico"),CONCATENATE("R30C",'Mapa final'!$R$93),"")</f>
        <v/>
      </c>
      <c r="Y135" s="56"/>
      <c r="Z135" s="297"/>
      <c r="AA135" s="298"/>
      <c r="AB135" s="298"/>
      <c r="AC135" s="298"/>
      <c r="AD135" s="298"/>
      <c r="AE135" s="299"/>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row>
    <row r="136" spans="1:61" ht="15" customHeight="1" x14ac:dyDescent="0.25">
      <c r="A136" s="56"/>
      <c r="B136" s="286"/>
      <c r="C136" s="286"/>
      <c r="D136" s="287"/>
      <c r="E136" s="276"/>
      <c r="F136" s="275"/>
      <c r="G136" s="275"/>
      <c r="H136" s="275"/>
      <c r="I136" s="275"/>
      <c r="J136" s="49" t="str">
        <f ca="1">IF(AND('Mapa final'!$AB$94="Media",'Mapa final'!$AD$94="Leve"),CONCATENATE("R31C",'Mapa final'!$R$94),"")</f>
        <v/>
      </c>
      <c r="K136" s="50" t="str">
        <f>IF(AND('Mapa final'!$AB$95="Media",'Mapa final'!$AD$95="Leve"),CONCATENATE("R31C",'Mapa final'!$R$95),"")</f>
        <v/>
      </c>
      <c r="L136" s="110" t="str">
        <f>IF(AND('Mapa final'!$AB$96="Media",'Mapa final'!$AD$96="Leve"),CONCATENATE("R31C",'Mapa final'!$R$96),"")</f>
        <v/>
      </c>
      <c r="M136" s="49" t="str">
        <f ca="1">IF(AND('Mapa final'!$AB$94="Media",'Mapa final'!$AD$94="Menor"),CONCATENATE("R31C",'Mapa final'!$R$94),"")</f>
        <v/>
      </c>
      <c r="N136" s="50" t="str">
        <f>IF(AND('Mapa final'!$AB$95="Media",'Mapa final'!$AD$95="Menor"),CONCATENATE("R31C",'Mapa final'!$R$95),"")</f>
        <v/>
      </c>
      <c r="O136" s="110" t="str">
        <f>IF(AND('Mapa final'!$AB$96="Media",'Mapa final'!$AD$96="Menor"),CONCATENATE("R31C",'Mapa final'!$R$96),"")</f>
        <v/>
      </c>
      <c r="P136" s="49" t="str">
        <f ca="1">IF(AND('Mapa final'!$AB$94="Media",'Mapa final'!$AD$94="Moderado"),CONCATENATE("R31C",'Mapa final'!$R$94),"")</f>
        <v/>
      </c>
      <c r="Q136" s="50" t="str">
        <f>IF(AND('Mapa final'!$AB$95="Media",'Mapa final'!$AD$95="Moderado"),CONCATENATE("R31C",'Mapa final'!$R$95),"")</f>
        <v/>
      </c>
      <c r="R136" s="110" t="str">
        <f>IF(AND('Mapa final'!$AB$96="Media",'Mapa final'!$AD$96="Moderado"),CONCATENATE("R31C",'Mapa final'!$R$96),"")</f>
        <v/>
      </c>
      <c r="S136" s="104" t="str">
        <f ca="1">IF(AND('Mapa final'!$AB$94="Media",'Mapa final'!$AD$94="Mayor"),CONCATENATE("R31C",'Mapa final'!$R$94),"")</f>
        <v/>
      </c>
      <c r="T136" s="42" t="str">
        <f>IF(AND('Mapa final'!$AB$95="Media",'Mapa final'!$AD$95="Mayor"),CONCATENATE("R31C",'Mapa final'!$R$95),"")</f>
        <v/>
      </c>
      <c r="U136" s="105" t="str">
        <f>IF(AND('Mapa final'!$AB$96="Media",'Mapa final'!$AD$96="Mayor"),CONCATENATE("R31C",'Mapa final'!$R$96),"")</f>
        <v/>
      </c>
      <c r="V136" s="43" t="str">
        <f ca="1">IF(AND('Mapa final'!$AB$94="Media",'Mapa final'!$AD$94="Catastrófico"),CONCATENATE("R31C",'Mapa final'!$R$94),"")</f>
        <v/>
      </c>
      <c r="W136" s="44" t="str">
        <f>IF(AND('Mapa final'!$AB$95="Media",'Mapa final'!$AD$95="Catastrófico"),CONCATENATE("R31C",'Mapa final'!$R$95),"")</f>
        <v/>
      </c>
      <c r="X136" s="99" t="str">
        <f>IF(AND('Mapa final'!$AB$96="Media",'Mapa final'!$AD$96="Catastrófico"),CONCATENATE("R31C",'Mapa final'!$R$96),"")</f>
        <v/>
      </c>
      <c r="Y136" s="56"/>
      <c r="Z136" s="297"/>
      <c r="AA136" s="298"/>
      <c r="AB136" s="298"/>
      <c r="AC136" s="298"/>
      <c r="AD136" s="298"/>
      <c r="AE136" s="299"/>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row>
    <row r="137" spans="1:61" ht="15" customHeight="1" x14ac:dyDescent="0.25">
      <c r="A137" s="56"/>
      <c r="B137" s="286"/>
      <c r="C137" s="286"/>
      <c r="D137" s="287"/>
      <c r="E137" s="276"/>
      <c r="F137" s="275"/>
      <c r="G137" s="275"/>
      <c r="H137" s="275"/>
      <c r="I137" s="275"/>
      <c r="J137" s="49" t="e">
        <f>IF(AND('Mapa final'!#REF!="Media",'Mapa final'!#REF!="Leve"),CONCATENATE("R32C",'Mapa final'!#REF!),"")</f>
        <v>#REF!</v>
      </c>
      <c r="K137" s="50" t="e">
        <f>IF(AND('Mapa final'!#REF!="Media",'Mapa final'!#REF!="Leve"),CONCATENATE("R32C",'Mapa final'!#REF!),"")</f>
        <v>#REF!</v>
      </c>
      <c r="L137" s="110" t="e">
        <f>IF(AND('Mapa final'!#REF!="Media",'Mapa final'!#REF!="Leve"),CONCATENATE("R32C",'Mapa final'!#REF!),"")</f>
        <v>#REF!</v>
      </c>
      <c r="M137" s="49" t="e">
        <f>IF(AND('Mapa final'!#REF!="Media",'Mapa final'!#REF!="Menor"),CONCATENATE("R32C",'Mapa final'!#REF!),"")</f>
        <v>#REF!</v>
      </c>
      <c r="N137" s="50" t="e">
        <f>IF(AND('Mapa final'!#REF!="Media",'Mapa final'!#REF!="Menor"),CONCATENATE("R32C",'Mapa final'!#REF!),"")</f>
        <v>#REF!</v>
      </c>
      <c r="O137" s="110" t="e">
        <f>IF(AND('Mapa final'!#REF!="Media",'Mapa final'!#REF!="Menor"),CONCATENATE("R32C",'Mapa final'!#REF!),"")</f>
        <v>#REF!</v>
      </c>
      <c r="P137" s="49" t="e">
        <f>IF(AND('Mapa final'!#REF!="Media",'Mapa final'!#REF!="Moderado"),CONCATENATE("R32C",'Mapa final'!#REF!),"")</f>
        <v>#REF!</v>
      </c>
      <c r="Q137" s="50" t="e">
        <f>IF(AND('Mapa final'!#REF!="Media",'Mapa final'!#REF!="Moderado"),CONCATENATE("R32C",'Mapa final'!#REF!),"")</f>
        <v>#REF!</v>
      </c>
      <c r="R137" s="110" t="e">
        <f>IF(AND('Mapa final'!#REF!="Media",'Mapa final'!#REF!="Moderado"),CONCATENATE("R32C",'Mapa final'!#REF!),"")</f>
        <v>#REF!</v>
      </c>
      <c r="S137" s="104" t="e">
        <f>IF(AND('Mapa final'!#REF!="Media",'Mapa final'!#REF!="Mayor"),CONCATENATE("R32C",'Mapa final'!#REF!),"")</f>
        <v>#REF!</v>
      </c>
      <c r="T137" s="42" t="e">
        <f>IF(AND('Mapa final'!#REF!="Media",'Mapa final'!#REF!="Mayor"),CONCATENATE("R32C",'Mapa final'!#REF!),"")</f>
        <v>#REF!</v>
      </c>
      <c r="U137" s="105" t="e">
        <f>IF(AND('Mapa final'!#REF!="Media",'Mapa final'!#REF!="Mayor"),CONCATENATE("R32C",'Mapa final'!#REF!),"")</f>
        <v>#REF!</v>
      </c>
      <c r="V137" s="43" t="e">
        <f>IF(AND('Mapa final'!#REF!="Media",'Mapa final'!#REF!="Catastrófico"),CONCATENATE("R32C",'Mapa final'!#REF!),"")</f>
        <v>#REF!</v>
      </c>
      <c r="W137" s="44" t="e">
        <f>IF(AND('Mapa final'!#REF!="Media",'Mapa final'!#REF!="Catastrófico"),CONCATENATE("R32C",'Mapa final'!#REF!),"")</f>
        <v>#REF!</v>
      </c>
      <c r="X137" s="99" t="e">
        <f>IF(AND('Mapa final'!#REF!="Media",'Mapa final'!#REF!="Catastrófico"),CONCATENATE("R32C",'Mapa final'!#REF!),"")</f>
        <v>#REF!</v>
      </c>
      <c r="Y137" s="56"/>
      <c r="Z137" s="297"/>
      <c r="AA137" s="298"/>
      <c r="AB137" s="298"/>
      <c r="AC137" s="298"/>
      <c r="AD137" s="298"/>
      <c r="AE137" s="299"/>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row>
    <row r="138" spans="1:61" ht="15" customHeight="1" x14ac:dyDescent="0.25">
      <c r="A138" s="56"/>
      <c r="B138" s="286"/>
      <c r="C138" s="286"/>
      <c r="D138" s="287"/>
      <c r="E138" s="276"/>
      <c r="F138" s="275"/>
      <c r="G138" s="275"/>
      <c r="H138" s="275"/>
      <c r="I138" s="275"/>
      <c r="J138" s="49" t="str">
        <f>IF(AND('Mapa final'!$AB$97="Media",'Mapa final'!$AD$97="Leve"),CONCATENATE("R33C",'Mapa final'!$R$97),"")</f>
        <v/>
      </c>
      <c r="K138" s="50" t="str">
        <f>IF(AND('Mapa final'!$AB$98="Media",'Mapa final'!$AD$98="Leve"),CONCATENATE("R33C",'Mapa final'!$R$98),"")</f>
        <v/>
      </c>
      <c r="L138" s="110" t="str">
        <f>IF(AND('Mapa final'!$AB$99="Media",'Mapa final'!$AD$99="Leve"),CONCATENATE("R33C",'Mapa final'!$R$99),"")</f>
        <v/>
      </c>
      <c r="M138" s="49" t="str">
        <f>IF(AND('Mapa final'!$AB$97="Media",'Mapa final'!$AD$97="Menor"),CONCATENATE("R33C",'Mapa final'!$R$97),"")</f>
        <v/>
      </c>
      <c r="N138" s="50" t="str">
        <f>IF(AND('Mapa final'!$AB$98="Media",'Mapa final'!$AD$98="Menor"),CONCATENATE("R33C",'Mapa final'!$R$98),"")</f>
        <v/>
      </c>
      <c r="O138" s="110" t="str">
        <f>IF(AND('Mapa final'!$AB$99="Media",'Mapa final'!$AD$99="Menor"),CONCATENATE("R33C",'Mapa final'!$R$99),"")</f>
        <v/>
      </c>
      <c r="P138" s="49" t="str">
        <f>IF(AND('Mapa final'!$AB$97="Media",'Mapa final'!$AD$97="Moderado"),CONCATENATE("R33C",'Mapa final'!$R$97),"")</f>
        <v>R33C1</v>
      </c>
      <c r="Q138" s="50" t="str">
        <f>IF(AND('Mapa final'!$AB$98="Media",'Mapa final'!$AD$98="Moderado"),CONCATENATE("R33C",'Mapa final'!$R$98),"")</f>
        <v/>
      </c>
      <c r="R138" s="110" t="str">
        <f>IF(AND('Mapa final'!$AB$99="Media",'Mapa final'!$AD$99="Moderado"),CONCATENATE("R33C",'Mapa final'!$R$99),"")</f>
        <v/>
      </c>
      <c r="S138" s="104" t="str">
        <f>IF(AND('Mapa final'!$AB$97="Media",'Mapa final'!$AD$97="Mayor"),CONCATENATE("R33C",'Mapa final'!$R$97),"")</f>
        <v/>
      </c>
      <c r="T138" s="42" t="str">
        <f>IF(AND('Mapa final'!$AB$98="Media",'Mapa final'!$AD$98="Mayor"),CONCATENATE("R33C",'Mapa final'!$R$98),"")</f>
        <v/>
      </c>
      <c r="U138" s="105" t="str">
        <f>IF(AND('Mapa final'!$AB$99="Media",'Mapa final'!$AD$99="Mayor"),CONCATENATE("R33C",'Mapa final'!$R$99),"")</f>
        <v/>
      </c>
      <c r="V138" s="43" t="str">
        <f>IF(AND('Mapa final'!$AB$97="Media",'Mapa final'!$AD$97="Catastrófico"),CONCATENATE("R33C",'Mapa final'!$R$97),"")</f>
        <v/>
      </c>
      <c r="W138" s="44" t="str">
        <f>IF(AND('Mapa final'!$AB$98="Media",'Mapa final'!$AD$98="Catastrófico"),CONCATENATE("R33C",'Mapa final'!$R$98),"")</f>
        <v/>
      </c>
      <c r="X138" s="99" t="str">
        <f>IF(AND('Mapa final'!$AB$99="Media",'Mapa final'!$AD$99="Catastrófico"),CONCATENATE("R33C",'Mapa final'!$R$99),"")</f>
        <v/>
      </c>
      <c r="Y138" s="56"/>
      <c r="Z138" s="297"/>
      <c r="AA138" s="298"/>
      <c r="AB138" s="298"/>
      <c r="AC138" s="298"/>
      <c r="AD138" s="298"/>
      <c r="AE138" s="299"/>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row>
    <row r="139" spans="1:61" ht="15" customHeight="1" x14ac:dyDescent="0.25">
      <c r="A139" s="56"/>
      <c r="B139" s="286"/>
      <c r="C139" s="286"/>
      <c r="D139" s="287"/>
      <c r="E139" s="276"/>
      <c r="F139" s="275"/>
      <c r="G139" s="275"/>
      <c r="H139" s="275"/>
      <c r="I139" s="275"/>
      <c r="J139" s="49" t="str">
        <f ca="1">IF(AND('Mapa final'!$AB$100="Media",'Mapa final'!$AD$100="Leve"),CONCATENATE("R34C",'Mapa final'!$R$100),"")</f>
        <v/>
      </c>
      <c r="K139" s="50" t="str">
        <f>IF(AND('Mapa final'!$AB$101="Media",'Mapa final'!$AD$101="Leve"),CONCATENATE("R34C",'Mapa final'!$R$101),"")</f>
        <v/>
      </c>
      <c r="L139" s="110" t="str">
        <f>IF(AND('Mapa final'!$AB$102="Media",'Mapa final'!$AD$102="Leve"),CONCATENATE("R34C",'Mapa final'!$R$102),"")</f>
        <v/>
      </c>
      <c r="M139" s="49" t="str">
        <f ca="1">IF(AND('Mapa final'!$AB$100="Media",'Mapa final'!$AD$100="Menor"),CONCATENATE("R34C",'Mapa final'!$R$100),"")</f>
        <v/>
      </c>
      <c r="N139" s="50" t="str">
        <f>IF(AND('Mapa final'!$AB$101="Media",'Mapa final'!$AD$101="Menor"),CONCATENATE("R34C",'Mapa final'!$R$101),"")</f>
        <v/>
      </c>
      <c r="O139" s="110" t="str">
        <f>IF(AND('Mapa final'!$AB$102="Media",'Mapa final'!$AD$102="Menor"),CONCATENATE("R34C",'Mapa final'!$R$102),"")</f>
        <v/>
      </c>
      <c r="P139" s="49" t="str">
        <f ca="1">IF(AND('Mapa final'!$AB$100="Media",'Mapa final'!$AD$100="Moderado"),CONCATENATE("R34C",'Mapa final'!$R$100),"")</f>
        <v>R34C1</v>
      </c>
      <c r="Q139" s="50" t="str">
        <f>IF(AND('Mapa final'!$AB$101="Media",'Mapa final'!$AD$101="Moderado"),CONCATENATE("R34C",'Mapa final'!$R$101),"")</f>
        <v/>
      </c>
      <c r="R139" s="110" t="str">
        <f>IF(AND('Mapa final'!$AB$102="Media",'Mapa final'!$AD$102="Moderado"),CONCATENATE("R34C",'Mapa final'!$R$102),"")</f>
        <v/>
      </c>
      <c r="S139" s="104" t="str">
        <f ca="1">IF(AND('Mapa final'!$AB$100="Media",'Mapa final'!$AD$100="Mayor"),CONCATENATE("R34C",'Mapa final'!$R$100),"")</f>
        <v/>
      </c>
      <c r="T139" s="42" t="str">
        <f>IF(AND('Mapa final'!$AB$101="Media",'Mapa final'!$AD$101="Mayor"),CONCATENATE("R34C",'Mapa final'!$R$101),"")</f>
        <v/>
      </c>
      <c r="U139" s="105" t="str">
        <f>IF(AND('Mapa final'!$AB$102="Media",'Mapa final'!$AD$102="Mayor"),CONCATENATE("R34C",'Mapa final'!$R$102),"")</f>
        <v/>
      </c>
      <c r="V139" s="43" t="str">
        <f ca="1">IF(AND('Mapa final'!$AB$100="Media",'Mapa final'!$AD$100="Catastrófico"),CONCATENATE("R34C",'Mapa final'!$R$100),"")</f>
        <v/>
      </c>
      <c r="W139" s="44" t="str">
        <f>IF(AND('Mapa final'!$AB$101="Media",'Mapa final'!$AD$101="Catastrófico"),CONCATENATE("R34C",'Mapa final'!$R$101),"")</f>
        <v/>
      </c>
      <c r="X139" s="99" t="str">
        <f>IF(AND('Mapa final'!$AB$102="Media",'Mapa final'!$AD$102="Catastrófico"),CONCATENATE("R34C",'Mapa final'!$R$102),"")</f>
        <v/>
      </c>
      <c r="Y139" s="56"/>
      <c r="Z139" s="297"/>
      <c r="AA139" s="298"/>
      <c r="AB139" s="298"/>
      <c r="AC139" s="298"/>
      <c r="AD139" s="298"/>
      <c r="AE139" s="299"/>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row>
    <row r="140" spans="1:61" ht="15" customHeight="1" x14ac:dyDescent="0.25">
      <c r="A140" s="56"/>
      <c r="B140" s="286"/>
      <c r="C140" s="286"/>
      <c r="D140" s="287"/>
      <c r="E140" s="276"/>
      <c r="F140" s="275"/>
      <c r="G140" s="275"/>
      <c r="H140" s="275"/>
      <c r="I140" s="275"/>
      <c r="J140" s="49" t="str">
        <f ca="1">IF(AND('Mapa final'!$AB$103="Media",'Mapa final'!$AD$103="Leve"),CONCATENATE("R35C",'Mapa final'!$R$103),"")</f>
        <v/>
      </c>
      <c r="K140" s="50" t="str">
        <f>IF(AND('Mapa final'!$AB$104="Media",'Mapa final'!$AD$104="Leve"),CONCATENATE("R35C",'Mapa final'!$R$104),"")</f>
        <v/>
      </c>
      <c r="L140" s="110" t="str">
        <f>IF(AND('Mapa final'!$AB$105="Media",'Mapa final'!$AD$105="Leve"),CONCATENATE("R35C",'Mapa final'!$R$105),"")</f>
        <v/>
      </c>
      <c r="M140" s="49" t="str">
        <f ca="1">IF(AND('Mapa final'!$AB$103="Media",'Mapa final'!$AD$103="Menor"),CONCATENATE("R35C",'Mapa final'!$R$103),"")</f>
        <v/>
      </c>
      <c r="N140" s="50" t="str">
        <f>IF(AND('Mapa final'!$AB$104="Media",'Mapa final'!$AD$104="Menor"),CONCATENATE("R35C",'Mapa final'!$R$104),"")</f>
        <v/>
      </c>
      <c r="O140" s="110" t="str">
        <f>IF(AND('Mapa final'!$AB$105="Media",'Mapa final'!$AD$105="Menor"),CONCATENATE("R35C",'Mapa final'!$R$105),"")</f>
        <v/>
      </c>
      <c r="P140" s="49" t="str">
        <f ca="1">IF(AND('Mapa final'!$AB$103="Media",'Mapa final'!$AD$103="Moderado"),CONCATENATE("R35C",'Mapa final'!$R$103),"")</f>
        <v/>
      </c>
      <c r="Q140" s="50" t="str">
        <f>IF(AND('Mapa final'!$AB$104="Media",'Mapa final'!$AD$104="Moderado"),CONCATENATE("R35C",'Mapa final'!$R$104),"")</f>
        <v/>
      </c>
      <c r="R140" s="110" t="str">
        <f>IF(AND('Mapa final'!$AB$105="Media",'Mapa final'!$AD$105="Moderado"),CONCATENATE("R35C",'Mapa final'!$R$105),"")</f>
        <v/>
      </c>
      <c r="S140" s="104" t="str">
        <f ca="1">IF(AND('Mapa final'!$AB$103="Media",'Mapa final'!$AD$103="Mayor"),CONCATENATE("R35C",'Mapa final'!$R$103),"")</f>
        <v/>
      </c>
      <c r="T140" s="42" t="str">
        <f>IF(AND('Mapa final'!$AB$104="Media",'Mapa final'!$AD$104="Mayor"),CONCATENATE("R35C",'Mapa final'!$R$104),"")</f>
        <v/>
      </c>
      <c r="U140" s="105" t="str">
        <f>IF(AND('Mapa final'!$AB$105="Media",'Mapa final'!$AD$105="Mayor"),CONCATENATE("R35C",'Mapa final'!$R$105),"")</f>
        <v/>
      </c>
      <c r="V140" s="43" t="str">
        <f ca="1">IF(AND('Mapa final'!$AB$103="Media",'Mapa final'!$AD$103="Catastrófico"),CONCATENATE("R35C",'Mapa final'!$R$103),"")</f>
        <v/>
      </c>
      <c r="W140" s="44" t="str">
        <f>IF(AND('Mapa final'!$AB$104="Media",'Mapa final'!$AD$104="Catastrófico"),CONCATENATE("R35C",'Mapa final'!$R$104),"")</f>
        <v/>
      </c>
      <c r="X140" s="99" t="str">
        <f>IF(AND('Mapa final'!$AB$105="Media",'Mapa final'!$AD$105="Catastrófico"),CONCATENATE("R35C",'Mapa final'!$R$105),"")</f>
        <v/>
      </c>
      <c r="Y140" s="56"/>
      <c r="Z140" s="297"/>
      <c r="AA140" s="298"/>
      <c r="AB140" s="298"/>
      <c r="AC140" s="298"/>
      <c r="AD140" s="298"/>
      <c r="AE140" s="299"/>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row>
    <row r="141" spans="1:61" ht="15" customHeight="1" x14ac:dyDescent="0.25">
      <c r="A141" s="56"/>
      <c r="B141" s="286"/>
      <c r="C141" s="286"/>
      <c r="D141" s="287"/>
      <c r="E141" s="276"/>
      <c r="F141" s="275"/>
      <c r="G141" s="275"/>
      <c r="H141" s="275"/>
      <c r="I141" s="275"/>
      <c r="J141" s="49" t="str">
        <f ca="1">IF(AND('Mapa final'!$AB$106="Media",'Mapa final'!$AD$106="Leve"),CONCATENATE("R36C",'Mapa final'!$R$106),"")</f>
        <v/>
      </c>
      <c r="K141" s="50" t="str">
        <f>IF(AND('Mapa final'!$AB$107="Media",'Mapa final'!$AD$107="Leve"),CONCATENATE("R36C",'Mapa final'!$R$107),"")</f>
        <v/>
      </c>
      <c r="L141" s="110" t="str">
        <f>IF(AND('Mapa final'!$AB$108="Media",'Mapa final'!$AD$108="Leve"),CONCATENATE("R36C",'Mapa final'!$R$108),"")</f>
        <v/>
      </c>
      <c r="M141" s="49" t="str">
        <f ca="1">IF(AND('Mapa final'!$AB$106="Media",'Mapa final'!$AD$106="Menor"),CONCATENATE("R36C",'Mapa final'!$R$106),"")</f>
        <v/>
      </c>
      <c r="N141" s="50" t="str">
        <f>IF(AND('Mapa final'!$AB$107="Media",'Mapa final'!$AD$107="Menor"),CONCATENATE("R36C",'Mapa final'!$R$107),"")</f>
        <v/>
      </c>
      <c r="O141" s="110" t="str">
        <f>IF(AND('Mapa final'!$AB$108="Media",'Mapa final'!$AD$108="Menor"),CONCATENATE("R36C",'Mapa final'!$R$108),"")</f>
        <v/>
      </c>
      <c r="P141" s="49" t="str">
        <f ca="1">IF(AND('Mapa final'!$AB$106="Media",'Mapa final'!$AD$106="Moderado"),CONCATENATE("R36C",'Mapa final'!$R$106),"")</f>
        <v/>
      </c>
      <c r="Q141" s="50" t="str">
        <f>IF(AND('Mapa final'!$AB$107="Media",'Mapa final'!$AD$107="Moderado"),CONCATENATE("R36C",'Mapa final'!$R$107),"")</f>
        <v/>
      </c>
      <c r="R141" s="110" t="str">
        <f>IF(AND('Mapa final'!$AB$108="Media",'Mapa final'!$AD$108="Moderado"),CONCATENATE("R36C",'Mapa final'!$R$108),"")</f>
        <v/>
      </c>
      <c r="S141" s="104" t="str">
        <f ca="1">IF(AND('Mapa final'!$AB$106="Media",'Mapa final'!$AD$106="Mayor"),CONCATENATE("R36C",'Mapa final'!$R$106),"")</f>
        <v/>
      </c>
      <c r="T141" s="42" t="str">
        <f>IF(AND('Mapa final'!$AB$107="Media",'Mapa final'!$AD$107="Mayor"),CONCATENATE("R36C",'Mapa final'!$R$107),"")</f>
        <v/>
      </c>
      <c r="U141" s="105" t="str">
        <f>IF(AND('Mapa final'!$AB$108="Media",'Mapa final'!$AD$108="Mayor"),CONCATENATE("R36C",'Mapa final'!$R$108),"")</f>
        <v/>
      </c>
      <c r="V141" s="43" t="str">
        <f ca="1">IF(AND('Mapa final'!$AB$106="Media",'Mapa final'!$AD$106="Catastrófico"),CONCATENATE("R36C",'Mapa final'!$R$106),"")</f>
        <v/>
      </c>
      <c r="W141" s="44" t="str">
        <f>IF(AND('Mapa final'!$AB$107="Media",'Mapa final'!$AD$107="Catastrófico"),CONCATENATE("R36C",'Mapa final'!$R$107),"")</f>
        <v/>
      </c>
      <c r="X141" s="99" t="str">
        <f>IF(AND('Mapa final'!$AB$108="Media",'Mapa final'!$AD$108="Catastrófico"),CONCATENATE("R36C",'Mapa final'!$R$108),"")</f>
        <v/>
      </c>
      <c r="Y141" s="56"/>
      <c r="Z141" s="297"/>
      <c r="AA141" s="298"/>
      <c r="AB141" s="298"/>
      <c r="AC141" s="298"/>
      <c r="AD141" s="298"/>
      <c r="AE141" s="299"/>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row>
    <row r="142" spans="1:61" ht="15" customHeight="1" x14ac:dyDescent="0.25">
      <c r="A142" s="56"/>
      <c r="B142" s="286"/>
      <c r="C142" s="286"/>
      <c r="D142" s="287"/>
      <c r="E142" s="276"/>
      <c r="F142" s="275"/>
      <c r="G142" s="275"/>
      <c r="H142" s="275"/>
      <c r="I142" s="275"/>
      <c r="J142" s="49" t="str">
        <f ca="1">IF(AND('Mapa final'!$AB$109="Media",'Mapa final'!$AD$109="Leve"),CONCATENATE("R37C",'Mapa final'!$R$109),"")</f>
        <v/>
      </c>
      <c r="K142" s="50" t="str">
        <f>IF(AND('Mapa final'!$AB$110="Media",'Mapa final'!$AD$110="Leve"),CONCATENATE("R37C",'Mapa final'!$R$110),"")</f>
        <v/>
      </c>
      <c r="L142" s="110" t="str">
        <f>IF(AND('Mapa final'!$AB$111="Media",'Mapa final'!$AD$111="Leve"),CONCATENATE("R37C",'Mapa final'!$R$111),"")</f>
        <v/>
      </c>
      <c r="M142" s="49" t="str">
        <f ca="1">IF(AND('Mapa final'!$AB$109="Media",'Mapa final'!$AD$109="Menor"),CONCATENATE("R37C",'Mapa final'!$R$109),"")</f>
        <v/>
      </c>
      <c r="N142" s="50" t="str">
        <f>IF(AND('Mapa final'!$AB$110="Media",'Mapa final'!$AD$110="Menor"),CONCATENATE("R37C",'Mapa final'!$R$110),"")</f>
        <v/>
      </c>
      <c r="O142" s="110" t="str">
        <f>IF(AND('Mapa final'!$AB$111="Media",'Mapa final'!$AD$111="Menor"),CONCATENATE("R37C",'Mapa final'!$R$111),"")</f>
        <v/>
      </c>
      <c r="P142" s="49" t="str">
        <f ca="1">IF(AND('Mapa final'!$AB$109="Media",'Mapa final'!$AD$109="Moderado"),CONCATENATE("R37C",'Mapa final'!$R$109),"")</f>
        <v/>
      </c>
      <c r="Q142" s="50" t="str">
        <f>IF(AND('Mapa final'!$AB$110="Media",'Mapa final'!$AD$110="Moderado"),CONCATENATE("R37C",'Mapa final'!$R$110),"")</f>
        <v/>
      </c>
      <c r="R142" s="110" t="str">
        <f>IF(AND('Mapa final'!$AB$111="Media",'Mapa final'!$AD$111="Moderado"),CONCATENATE("R37C",'Mapa final'!$R$111),"")</f>
        <v/>
      </c>
      <c r="S142" s="104" t="str">
        <f ca="1">IF(AND('Mapa final'!$AB$109="Media",'Mapa final'!$AD$109="Mayor"),CONCATENATE("R37C",'Mapa final'!$R$109),"")</f>
        <v/>
      </c>
      <c r="T142" s="42" t="str">
        <f>IF(AND('Mapa final'!$AB$110="Media",'Mapa final'!$AD$110="Mayor"),CONCATENATE("R37C",'Mapa final'!$R$110),"")</f>
        <v/>
      </c>
      <c r="U142" s="105" t="str">
        <f>IF(AND('Mapa final'!$AB$111="Media",'Mapa final'!$AD$111="Mayor"),CONCATENATE("R37C",'Mapa final'!$R$111),"")</f>
        <v/>
      </c>
      <c r="V142" s="43" t="str">
        <f ca="1">IF(AND('Mapa final'!$AB$109="Media",'Mapa final'!$AD$109="Catastrófico"),CONCATENATE("R37C",'Mapa final'!$R$109),"")</f>
        <v/>
      </c>
      <c r="W142" s="44" t="str">
        <f>IF(AND('Mapa final'!$AB$110="Media",'Mapa final'!$AD$110="Catastrófico"),CONCATENATE("R37C",'Mapa final'!$R$110),"")</f>
        <v/>
      </c>
      <c r="X142" s="99" t="str">
        <f>IF(AND('Mapa final'!$AB$111="Media",'Mapa final'!$AD$111="Catastrófico"),CONCATENATE("R37C",'Mapa final'!$R$111),"")</f>
        <v/>
      </c>
      <c r="Y142" s="56"/>
      <c r="Z142" s="297"/>
      <c r="AA142" s="298"/>
      <c r="AB142" s="298"/>
      <c r="AC142" s="298"/>
      <c r="AD142" s="298"/>
      <c r="AE142" s="299"/>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row>
    <row r="143" spans="1:61" ht="15" customHeight="1" x14ac:dyDescent="0.25">
      <c r="A143" s="56"/>
      <c r="B143" s="286"/>
      <c r="C143" s="286"/>
      <c r="D143" s="287"/>
      <c r="E143" s="276"/>
      <c r="F143" s="275"/>
      <c r="G143" s="275"/>
      <c r="H143" s="275"/>
      <c r="I143" s="275"/>
      <c r="J143" s="49" t="str">
        <f ca="1">IF(AND('Mapa final'!$AB$112="Media",'Mapa final'!$AD$112="Leve"),CONCATENATE("R38C",'Mapa final'!$R$112),"")</f>
        <v/>
      </c>
      <c r="K143" s="50" t="str">
        <f>IF(AND('Mapa final'!$AB$113="Media",'Mapa final'!$AD$113="Leve"),CONCATENATE("R38C",'Mapa final'!$R$113),"")</f>
        <v/>
      </c>
      <c r="L143" s="110" t="str">
        <f>IF(AND('Mapa final'!$AB$114="Media",'Mapa final'!$AD$114="Leve"),CONCATENATE("R38C",'Mapa final'!$R$114),"")</f>
        <v/>
      </c>
      <c r="M143" s="49" t="str">
        <f ca="1">IF(AND('Mapa final'!$AB$112="Media",'Mapa final'!$AD$112="Menor"),CONCATENATE("R38C",'Mapa final'!$R$112),"")</f>
        <v/>
      </c>
      <c r="N143" s="50" t="str">
        <f>IF(AND('Mapa final'!$AB$113="Media",'Mapa final'!$AD$113="Menor"),CONCATENATE("R38C",'Mapa final'!$R$113),"")</f>
        <v/>
      </c>
      <c r="O143" s="110" t="str">
        <f>IF(AND('Mapa final'!$AB$114="Media",'Mapa final'!$AD$114="Menor"),CONCATENATE("R38C",'Mapa final'!$R$114),"")</f>
        <v/>
      </c>
      <c r="P143" s="49" t="str">
        <f ca="1">IF(AND('Mapa final'!$AB$112="Media",'Mapa final'!$AD$112="Moderado"),CONCATENATE("R38C",'Mapa final'!$R$112),"")</f>
        <v/>
      </c>
      <c r="Q143" s="50" t="str">
        <f>IF(AND('Mapa final'!$AB$113="Media",'Mapa final'!$AD$113="Moderado"),CONCATENATE("R38C",'Mapa final'!$R$113),"")</f>
        <v/>
      </c>
      <c r="R143" s="110" t="str">
        <f>IF(AND('Mapa final'!$AB$114="Media",'Mapa final'!$AD$114="Moderado"),CONCATENATE("R38C",'Mapa final'!$R$114),"")</f>
        <v/>
      </c>
      <c r="S143" s="104" t="str">
        <f ca="1">IF(AND('Mapa final'!$AB$112="Media",'Mapa final'!$AD$112="Mayor"),CONCATENATE("R38C",'Mapa final'!$R$112),"")</f>
        <v/>
      </c>
      <c r="T143" s="42" t="str">
        <f>IF(AND('Mapa final'!$AB$113="Media",'Mapa final'!$AD$113="Mayor"),CONCATENATE("R38C",'Mapa final'!$R$113),"")</f>
        <v/>
      </c>
      <c r="U143" s="105" t="str">
        <f>IF(AND('Mapa final'!$AB$114="Media",'Mapa final'!$AD$114="Mayor"),CONCATENATE("R38C",'Mapa final'!$R$114),"")</f>
        <v/>
      </c>
      <c r="V143" s="43" t="str">
        <f ca="1">IF(AND('Mapa final'!$AB$112="Media",'Mapa final'!$AD$112="Catastrófico"),CONCATENATE("R38C",'Mapa final'!$R$112),"")</f>
        <v/>
      </c>
      <c r="W143" s="44" t="str">
        <f>IF(AND('Mapa final'!$AB$113="Media",'Mapa final'!$AD$113="Catastrófico"),CONCATENATE("R38C",'Mapa final'!$R$113),"")</f>
        <v/>
      </c>
      <c r="X143" s="99" t="str">
        <f>IF(AND('Mapa final'!$AB$114="Media",'Mapa final'!$AD$114="Catastrófico"),CONCATENATE("R38C",'Mapa final'!$R$114),"")</f>
        <v/>
      </c>
      <c r="Y143" s="56"/>
      <c r="Z143" s="297"/>
      <c r="AA143" s="298"/>
      <c r="AB143" s="298"/>
      <c r="AC143" s="298"/>
      <c r="AD143" s="298"/>
      <c r="AE143" s="299"/>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row>
    <row r="144" spans="1:61" ht="15" customHeight="1" x14ac:dyDescent="0.25">
      <c r="A144" s="56"/>
      <c r="B144" s="286"/>
      <c r="C144" s="286"/>
      <c r="D144" s="287"/>
      <c r="E144" s="276"/>
      <c r="F144" s="275"/>
      <c r="G144" s="275"/>
      <c r="H144" s="275"/>
      <c r="I144" s="275"/>
      <c r="J144" s="49" t="str">
        <f ca="1">IF(AND('Mapa final'!$AB$115="Media",'Mapa final'!$AD$115="Leve"),CONCATENATE("R39C",'Mapa final'!$R$115),"")</f>
        <v/>
      </c>
      <c r="K144" s="50" t="str">
        <f>IF(AND('Mapa final'!$AB$116="Media",'Mapa final'!$AD$116="Leve"),CONCATENATE("R39C",'Mapa final'!$R$116),"")</f>
        <v/>
      </c>
      <c r="L144" s="110" t="str">
        <f>IF(AND('Mapa final'!$AB$117="Media",'Mapa final'!$AD$117="Leve"),CONCATENATE("R39C",'Mapa final'!$R$117),"")</f>
        <v/>
      </c>
      <c r="M144" s="49" t="str">
        <f ca="1">IF(AND('Mapa final'!$AB$115="Media",'Mapa final'!$AD$115="Menor"),CONCATENATE("R39C",'Mapa final'!$R$115),"")</f>
        <v/>
      </c>
      <c r="N144" s="50" t="str">
        <f>IF(AND('Mapa final'!$AB$116="Media",'Mapa final'!$AD$116="Menor"),CONCATENATE("R39C",'Mapa final'!$R$116),"")</f>
        <v/>
      </c>
      <c r="O144" s="110" t="str">
        <f>IF(AND('Mapa final'!$AB$117="Media",'Mapa final'!$AD$117="Menor"),CONCATENATE("R39C",'Mapa final'!$R$117),"")</f>
        <v/>
      </c>
      <c r="P144" s="49" t="str">
        <f ca="1">IF(AND('Mapa final'!$AB$115="Media",'Mapa final'!$AD$115="Moderado"),CONCATENATE("R39C",'Mapa final'!$R$115),"")</f>
        <v>R39C1</v>
      </c>
      <c r="Q144" s="50" t="str">
        <f>IF(AND('Mapa final'!$AB$116="Media",'Mapa final'!$AD$116="Moderado"),CONCATENATE("R39C",'Mapa final'!$R$116),"")</f>
        <v/>
      </c>
      <c r="R144" s="110" t="str">
        <f>IF(AND('Mapa final'!$AB$117="Media",'Mapa final'!$AD$117="Moderado"),CONCATENATE("R39C",'Mapa final'!$R$117),"")</f>
        <v/>
      </c>
      <c r="S144" s="104" t="str">
        <f ca="1">IF(AND('Mapa final'!$AB$115="Media",'Mapa final'!$AD$115="Mayor"),CONCATENATE("R39C",'Mapa final'!$R$115),"")</f>
        <v/>
      </c>
      <c r="T144" s="42" t="str">
        <f>IF(AND('Mapa final'!$AB$116="Media",'Mapa final'!$AD$116="Mayor"),CONCATENATE("R39C",'Mapa final'!$R$116),"")</f>
        <v/>
      </c>
      <c r="U144" s="105" t="str">
        <f>IF(AND('Mapa final'!$AB$117="Media",'Mapa final'!$AD$117="Mayor"),CONCATENATE("R39C",'Mapa final'!$R$117),"")</f>
        <v/>
      </c>
      <c r="V144" s="43" t="str">
        <f ca="1">IF(AND('Mapa final'!$AB$115="Media",'Mapa final'!$AD$115="Catastrófico"),CONCATENATE("R39C",'Mapa final'!$R$115),"")</f>
        <v/>
      </c>
      <c r="W144" s="44" t="str">
        <f>IF(AND('Mapa final'!$AB$116="Media",'Mapa final'!$AD$116="Catastrófico"),CONCATENATE("R39C",'Mapa final'!$R$116),"")</f>
        <v/>
      </c>
      <c r="X144" s="99" t="str">
        <f>IF(AND('Mapa final'!$AB$117="Media",'Mapa final'!$AD$117="Catastrófico"),CONCATENATE("R39C",'Mapa final'!$R$117),"")</f>
        <v/>
      </c>
      <c r="Y144" s="56"/>
      <c r="Z144" s="297"/>
      <c r="AA144" s="298"/>
      <c r="AB144" s="298"/>
      <c r="AC144" s="298"/>
      <c r="AD144" s="298"/>
      <c r="AE144" s="299"/>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row>
    <row r="145" spans="1:61" ht="15" customHeight="1" x14ac:dyDescent="0.25">
      <c r="A145" s="56"/>
      <c r="B145" s="286"/>
      <c r="C145" s="286"/>
      <c r="D145" s="287"/>
      <c r="E145" s="276"/>
      <c r="F145" s="275"/>
      <c r="G145" s="275"/>
      <c r="H145" s="275"/>
      <c r="I145" s="275"/>
      <c r="J145" s="49" t="str">
        <f ca="1">IF(AND('Mapa final'!$AB$118="Media",'Mapa final'!$AD$118="Leve"),CONCATENATE("R40C",'Mapa final'!$R$118),"")</f>
        <v/>
      </c>
      <c r="K145" s="50" t="str">
        <f>IF(AND('Mapa final'!$AB$119="Media",'Mapa final'!$AD$119="Leve"),CONCATENATE("R40C",'Mapa final'!$R$119),"")</f>
        <v/>
      </c>
      <c r="L145" s="110" t="str">
        <f>IF(AND('Mapa final'!$AB$120="Media",'Mapa final'!$AD$120="Leve"),CONCATENATE("R40C",'Mapa final'!$R$120),"")</f>
        <v/>
      </c>
      <c r="M145" s="49" t="str">
        <f ca="1">IF(AND('Mapa final'!$AB$118="Media",'Mapa final'!$AD$118="Menor"),CONCATENATE("R40C",'Mapa final'!$R$118),"")</f>
        <v/>
      </c>
      <c r="N145" s="50" t="str">
        <f>IF(AND('Mapa final'!$AB$119="Media",'Mapa final'!$AD$119="Menor"),CONCATENATE("R40C",'Mapa final'!$R$119),"")</f>
        <v/>
      </c>
      <c r="O145" s="110" t="str">
        <f>IF(AND('Mapa final'!$AB$120="Media",'Mapa final'!$AD$120="Menor"),CONCATENATE("R40C",'Mapa final'!$R$120),"")</f>
        <v/>
      </c>
      <c r="P145" s="49" t="str">
        <f ca="1">IF(AND('Mapa final'!$AB$118="Media",'Mapa final'!$AD$118="Moderado"),CONCATENATE("R40C",'Mapa final'!$R$118),"")</f>
        <v/>
      </c>
      <c r="Q145" s="50" t="str">
        <f>IF(AND('Mapa final'!$AB$119="Media",'Mapa final'!$AD$119="Moderado"),CONCATENATE("R40C",'Mapa final'!$R$119),"")</f>
        <v/>
      </c>
      <c r="R145" s="110" t="str">
        <f>IF(AND('Mapa final'!$AB$120="Media",'Mapa final'!$AD$120="Moderado"),CONCATENATE("R40C",'Mapa final'!$R$120),"")</f>
        <v/>
      </c>
      <c r="S145" s="104" t="str">
        <f ca="1">IF(AND('Mapa final'!$AB$118="Media",'Mapa final'!$AD$118="Mayor"),CONCATENATE("R40C",'Mapa final'!$R$118),"")</f>
        <v/>
      </c>
      <c r="T145" s="42" t="str">
        <f>IF(AND('Mapa final'!$AB$119="Media",'Mapa final'!$AD$119="Mayor"),CONCATENATE("R40C",'Mapa final'!$R$119),"")</f>
        <v/>
      </c>
      <c r="U145" s="105" t="str">
        <f>IF(AND('Mapa final'!$AB$120="Media",'Mapa final'!$AD$120="Mayor"),CONCATENATE("R40C",'Mapa final'!$R$120),"")</f>
        <v/>
      </c>
      <c r="V145" s="43" t="str">
        <f ca="1">IF(AND('Mapa final'!$AB$118="Media",'Mapa final'!$AD$118="Catastrófico"),CONCATENATE("R40C",'Mapa final'!$R$118),"")</f>
        <v/>
      </c>
      <c r="W145" s="44" t="str">
        <f>IF(AND('Mapa final'!$AB$119="Media",'Mapa final'!$AD$119="Catastrófico"),CONCATENATE("R40C",'Mapa final'!$R$119),"")</f>
        <v/>
      </c>
      <c r="X145" s="99" t="str">
        <f>IF(AND('Mapa final'!$AB$120="Media",'Mapa final'!$AD$120="Catastrófico"),CONCATENATE("R40C",'Mapa final'!$R$120),"")</f>
        <v/>
      </c>
      <c r="Y145" s="56"/>
      <c r="Z145" s="297"/>
      <c r="AA145" s="298"/>
      <c r="AB145" s="298"/>
      <c r="AC145" s="298"/>
      <c r="AD145" s="298"/>
      <c r="AE145" s="299"/>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row>
    <row r="146" spans="1:61" ht="15" customHeight="1" x14ac:dyDescent="0.25">
      <c r="A146" s="56"/>
      <c r="B146" s="286"/>
      <c r="C146" s="286"/>
      <c r="D146" s="287"/>
      <c r="E146" s="276"/>
      <c r="F146" s="275"/>
      <c r="G146" s="275"/>
      <c r="H146" s="275"/>
      <c r="I146" s="275"/>
      <c r="J146" s="49" t="str">
        <f ca="1">IF(AND('Mapa final'!$AB$121="Media",'Mapa final'!$AD$121="Leve"),CONCATENATE("R41C",'Mapa final'!$R$121),"")</f>
        <v/>
      </c>
      <c r="K146" s="50" t="str">
        <f>IF(AND('Mapa final'!$AB$122="Media",'Mapa final'!$AD$122="Leve"),CONCATENATE("R41C",'Mapa final'!$R$122),"")</f>
        <v/>
      </c>
      <c r="L146" s="110" t="str">
        <f>IF(AND('Mapa final'!$AB$123="Media",'Mapa final'!$AD$123="Leve"),CONCATENATE("R41C",'Mapa final'!$R$123),"")</f>
        <v/>
      </c>
      <c r="M146" s="49" t="str">
        <f ca="1">IF(AND('Mapa final'!$AB$121="Media",'Mapa final'!$AD$121="Menor"),CONCATENATE("R41C",'Mapa final'!$R$121),"")</f>
        <v/>
      </c>
      <c r="N146" s="50" t="str">
        <f>IF(AND('Mapa final'!$AB$122="Media",'Mapa final'!$AD$122="Menor"),CONCATENATE("R41C",'Mapa final'!$R$122),"")</f>
        <v/>
      </c>
      <c r="O146" s="110" t="str">
        <f>IF(AND('Mapa final'!$AB$123="Media",'Mapa final'!$AD$123="Menor"),CONCATENATE("R41C",'Mapa final'!$R$123),"")</f>
        <v/>
      </c>
      <c r="P146" s="49" t="str">
        <f ca="1">IF(AND('Mapa final'!$AB$121="Media",'Mapa final'!$AD$121="Moderado"),CONCATENATE("R41C",'Mapa final'!$R$121),"")</f>
        <v>R41C1</v>
      </c>
      <c r="Q146" s="50" t="str">
        <f>IF(AND('Mapa final'!$AB$122="Media",'Mapa final'!$AD$122="Moderado"),CONCATENATE("R41C",'Mapa final'!$R$122),"")</f>
        <v/>
      </c>
      <c r="R146" s="110" t="str">
        <f>IF(AND('Mapa final'!$AB$123="Media",'Mapa final'!$AD$123="Moderado"),CONCATENATE("R41C",'Mapa final'!$R$123),"")</f>
        <v/>
      </c>
      <c r="S146" s="104" t="str">
        <f ca="1">IF(AND('Mapa final'!$AB$121="Media",'Mapa final'!$AD$121="Mayor"),CONCATENATE("R41C",'Mapa final'!$R$121),"")</f>
        <v/>
      </c>
      <c r="T146" s="42" t="str">
        <f>IF(AND('Mapa final'!$AB$122="Media",'Mapa final'!$AD$122="Mayor"),CONCATENATE("R41C",'Mapa final'!$R$122),"")</f>
        <v/>
      </c>
      <c r="U146" s="105" t="str">
        <f>IF(AND('Mapa final'!$AB$123="Media",'Mapa final'!$AD$123="Mayor"),CONCATENATE("R41C",'Mapa final'!$R$123),"")</f>
        <v/>
      </c>
      <c r="V146" s="43" t="str">
        <f ca="1">IF(AND('Mapa final'!$AB$121="Media",'Mapa final'!$AD$121="Catastrófico"),CONCATENATE("R41C",'Mapa final'!$R$121),"")</f>
        <v/>
      </c>
      <c r="W146" s="44" t="str">
        <f>IF(AND('Mapa final'!$AB$122="Media",'Mapa final'!$AD$122="Catastrófico"),CONCATENATE("R41C",'Mapa final'!$R$122),"")</f>
        <v/>
      </c>
      <c r="X146" s="99" t="str">
        <f>IF(AND('Mapa final'!$AB$123="Media",'Mapa final'!$AD$123="Catastrófico"),CONCATENATE("R41C",'Mapa final'!$R$123),"")</f>
        <v/>
      </c>
      <c r="Y146" s="56"/>
      <c r="Z146" s="297"/>
      <c r="AA146" s="298"/>
      <c r="AB146" s="298"/>
      <c r="AC146" s="298"/>
      <c r="AD146" s="298"/>
      <c r="AE146" s="299"/>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row>
    <row r="147" spans="1:61" ht="15" customHeight="1" x14ac:dyDescent="0.25">
      <c r="A147" s="56"/>
      <c r="B147" s="286"/>
      <c r="C147" s="286"/>
      <c r="D147" s="287"/>
      <c r="E147" s="276"/>
      <c r="F147" s="275"/>
      <c r="G147" s="275"/>
      <c r="H147" s="275"/>
      <c r="I147" s="275"/>
      <c r="J147" s="49" t="str">
        <f ca="1">IF(AND('Mapa final'!$AB$124="Media",'Mapa final'!$AD$124="Leve"),CONCATENATE("R42C",'Mapa final'!$R$124),"")</f>
        <v/>
      </c>
      <c r="K147" s="50" t="str">
        <f>IF(AND('Mapa final'!$AB$125="Media",'Mapa final'!$AD$125="Leve"),CONCATENATE("R42C",'Mapa final'!$R$125),"")</f>
        <v/>
      </c>
      <c r="L147" s="110" t="str">
        <f>IF(AND('Mapa final'!$AB$126="Media",'Mapa final'!$AD$126="Leve"),CONCATENATE("R42C",'Mapa final'!$R$126),"")</f>
        <v/>
      </c>
      <c r="M147" s="49" t="str">
        <f ca="1">IF(AND('Mapa final'!$AB$124="Media",'Mapa final'!$AD$124="Menor"),CONCATENATE("R42C",'Mapa final'!$R$124),"")</f>
        <v/>
      </c>
      <c r="N147" s="50" t="str">
        <f>IF(AND('Mapa final'!$AB$125="Media",'Mapa final'!$AD$125="Menor"),CONCATENATE("R42C",'Mapa final'!$R$125),"")</f>
        <v/>
      </c>
      <c r="O147" s="110" t="str">
        <f>IF(AND('Mapa final'!$AB$126="Media",'Mapa final'!$AD$126="Menor"),CONCATENATE("R42C",'Mapa final'!$R$126),"")</f>
        <v/>
      </c>
      <c r="P147" s="49" t="str">
        <f ca="1">IF(AND('Mapa final'!$AB$124="Media",'Mapa final'!$AD$124="Moderado"),CONCATENATE("R42C",'Mapa final'!$R$124),"")</f>
        <v/>
      </c>
      <c r="Q147" s="50" t="str">
        <f>IF(AND('Mapa final'!$AB$125="Media",'Mapa final'!$AD$125="Moderado"),CONCATENATE("R42C",'Mapa final'!$R$125),"")</f>
        <v/>
      </c>
      <c r="R147" s="110" t="str">
        <f>IF(AND('Mapa final'!$AB$126="Media",'Mapa final'!$AD$126="Moderado"),CONCATENATE("R42C",'Mapa final'!$R$126),"")</f>
        <v/>
      </c>
      <c r="S147" s="104" t="str">
        <f ca="1">IF(AND('Mapa final'!$AB$124="Media",'Mapa final'!$AD$124="Mayor"),CONCATENATE("R42C",'Mapa final'!$R$124),"")</f>
        <v/>
      </c>
      <c r="T147" s="42" t="str">
        <f>IF(AND('Mapa final'!$AB$125="Media",'Mapa final'!$AD$125="Mayor"),CONCATENATE("R42C",'Mapa final'!$R$125),"")</f>
        <v/>
      </c>
      <c r="U147" s="105" t="str">
        <f>IF(AND('Mapa final'!$AB$126="Media",'Mapa final'!$AD$126="Mayor"),CONCATENATE("R42C",'Mapa final'!$R$126),"")</f>
        <v/>
      </c>
      <c r="V147" s="43" t="str">
        <f ca="1">IF(AND('Mapa final'!$AB$124="Media",'Mapa final'!$AD$124="Catastrófico"),CONCATENATE("R42C",'Mapa final'!$R$124),"")</f>
        <v/>
      </c>
      <c r="W147" s="44" t="str">
        <f>IF(AND('Mapa final'!$AB$125="Media",'Mapa final'!$AD$125="Catastrófico"),CONCATENATE("R42C",'Mapa final'!$R$125),"")</f>
        <v/>
      </c>
      <c r="X147" s="99" t="str">
        <f>IF(AND('Mapa final'!$AB$126="Media",'Mapa final'!$AD$126="Catastrófico"),CONCATENATE("R42C",'Mapa final'!$R$126),"")</f>
        <v/>
      </c>
      <c r="Y147" s="56"/>
      <c r="Z147" s="297"/>
      <c r="AA147" s="298"/>
      <c r="AB147" s="298"/>
      <c r="AC147" s="298"/>
      <c r="AD147" s="298"/>
      <c r="AE147" s="299"/>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row>
    <row r="148" spans="1:61" ht="15" customHeight="1" x14ac:dyDescent="0.25">
      <c r="A148" s="56"/>
      <c r="B148" s="286"/>
      <c r="C148" s="286"/>
      <c r="D148" s="287"/>
      <c r="E148" s="276"/>
      <c r="F148" s="275"/>
      <c r="G148" s="275"/>
      <c r="H148" s="275"/>
      <c r="I148" s="275"/>
      <c r="J148" s="49" t="str">
        <f ca="1">IF(AND('Mapa final'!$AB$127="Media",'Mapa final'!$AD$127="Leve"),CONCATENATE("R43C",'Mapa final'!$R$127),"")</f>
        <v/>
      </c>
      <c r="K148" s="50" t="str">
        <f>IF(AND('Mapa final'!$AB$128="Media",'Mapa final'!$AD$128="Leve"),CONCATENATE("R43C",'Mapa final'!$R$128),"")</f>
        <v/>
      </c>
      <c r="L148" s="110" t="str">
        <f>IF(AND('Mapa final'!$AB$129="Media",'Mapa final'!$AD$129="Leve"),CONCATENATE("R43C",'Mapa final'!$R$129),"")</f>
        <v/>
      </c>
      <c r="M148" s="49" t="str">
        <f ca="1">IF(AND('Mapa final'!$AB$127="Media",'Mapa final'!$AD$127="Menor"),CONCATENATE("R43C",'Mapa final'!$R$127),"")</f>
        <v/>
      </c>
      <c r="N148" s="50" t="str">
        <f>IF(AND('Mapa final'!$AB$128="Media",'Mapa final'!$AD$128="Menor"),CONCATENATE("R43C",'Mapa final'!$R$128),"")</f>
        <v/>
      </c>
      <c r="O148" s="110" t="str">
        <f>IF(AND('Mapa final'!$AB$129="Media",'Mapa final'!$AD$129="Menor"),CONCATENATE("R43C",'Mapa final'!$R$129),"")</f>
        <v/>
      </c>
      <c r="P148" s="49" t="str">
        <f ca="1">IF(AND('Mapa final'!$AB$127="Media",'Mapa final'!$AD$127="Moderado"),CONCATENATE("R43C",'Mapa final'!$R$127),"")</f>
        <v/>
      </c>
      <c r="Q148" s="50" t="str">
        <f>IF(AND('Mapa final'!$AB$128="Media",'Mapa final'!$AD$128="Moderado"),CONCATENATE("R43C",'Mapa final'!$R$128),"")</f>
        <v/>
      </c>
      <c r="R148" s="110" t="str">
        <f>IF(AND('Mapa final'!$AB$129="Media",'Mapa final'!$AD$129="Moderado"),CONCATENATE("R43C",'Mapa final'!$R$129),"")</f>
        <v/>
      </c>
      <c r="S148" s="104" t="str">
        <f ca="1">IF(AND('Mapa final'!$AB$127="Media",'Mapa final'!$AD$127="Mayor"),CONCATENATE("R43C",'Mapa final'!$R$127),"")</f>
        <v>R43C1</v>
      </c>
      <c r="T148" s="42" t="str">
        <f>IF(AND('Mapa final'!$AB$128="Media",'Mapa final'!$AD$128="Mayor"),CONCATENATE("R43C",'Mapa final'!$R$128),"")</f>
        <v/>
      </c>
      <c r="U148" s="105" t="str">
        <f>IF(AND('Mapa final'!$AB$129="Media",'Mapa final'!$AD$129="Mayor"),CONCATENATE("R43C",'Mapa final'!$R$129),"")</f>
        <v/>
      </c>
      <c r="V148" s="43" t="str">
        <f ca="1">IF(AND('Mapa final'!$AB$127="Media",'Mapa final'!$AD$127="Catastrófico"),CONCATENATE("R43C",'Mapa final'!$R$127),"")</f>
        <v/>
      </c>
      <c r="W148" s="44" t="str">
        <f>IF(AND('Mapa final'!$AB$128="Media",'Mapa final'!$AD$128="Catastrófico"),CONCATENATE("R43C",'Mapa final'!$R$128),"")</f>
        <v/>
      </c>
      <c r="X148" s="99" t="str">
        <f>IF(AND('Mapa final'!$AB$129="Media",'Mapa final'!$AD$129="Catastrófico"),CONCATENATE("R43C",'Mapa final'!$R$129),"")</f>
        <v/>
      </c>
      <c r="Y148" s="56"/>
      <c r="Z148" s="297"/>
      <c r="AA148" s="298"/>
      <c r="AB148" s="298"/>
      <c r="AC148" s="298"/>
      <c r="AD148" s="298"/>
      <c r="AE148" s="299"/>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row>
    <row r="149" spans="1:61" ht="15" customHeight="1" x14ac:dyDescent="0.25">
      <c r="A149" s="56"/>
      <c r="B149" s="286"/>
      <c r="C149" s="286"/>
      <c r="D149" s="287"/>
      <c r="E149" s="276"/>
      <c r="F149" s="275"/>
      <c r="G149" s="275"/>
      <c r="H149" s="275"/>
      <c r="I149" s="275"/>
      <c r="J149" s="49" t="str">
        <f ca="1">IF(AND('Mapa final'!$AB$130="Media",'Mapa final'!$AD$130="Leve"),CONCATENATE("R44C",'Mapa final'!$R$130),"")</f>
        <v/>
      </c>
      <c r="K149" s="50" t="str">
        <f>IF(AND('Mapa final'!$AB$131="Media",'Mapa final'!$AD$131="Leve"),CONCATENATE("R44C",'Mapa final'!$R$131),"")</f>
        <v/>
      </c>
      <c r="L149" s="110" t="str">
        <f>IF(AND('Mapa final'!$AB$132="Media",'Mapa final'!$AD$132="Leve"),CONCATENATE("R44C",'Mapa final'!$R$132),"")</f>
        <v/>
      </c>
      <c r="M149" s="49" t="str">
        <f ca="1">IF(AND('Mapa final'!$AB$130="Media",'Mapa final'!$AD$130="Menor"),CONCATENATE("R44C",'Mapa final'!$R$130),"")</f>
        <v/>
      </c>
      <c r="N149" s="50" t="str">
        <f>IF(AND('Mapa final'!$AB$131="Media",'Mapa final'!$AD$131="Menor"),CONCATENATE("R44C",'Mapa final'!$R$131),"")</f>
        <v/>
      </c>
      <c r="O149" s="110" t="str">
        <f>IF(AND('Mapa final'!$AB$132="Media",'Mapa final'!$AD$132="Menor"),CONCATENATE("R44C",'Mapa final'!$R$132),"")</f>
        <v/>
      </c>
      <c r="P149" s="49" t="str">
        <f ca="1">IF(AND('Mapa final'!$AB$130="Media",'Mapa final'!$AD$130="Moderado"),CONCATENATE("R44C",'Mapa final'!$R$130),"")</f>
        <v>R44C1</v>
      </c>
      <c r="Q149" s="50" t="str">
        <f>IF(AND('Mapa final'!$AB$131="Media",'Mapa final'!$AD$131="Moderado"),CONCATENATE("R44C",'Mapa final'!$R$131),"")</f>
        <v/>
      </c>
      <c r="R149" s="110" t="str">
        <f>IF(AND('Mapa final'!$AB$132="Media",'Mapa final'!$AD$132="Moderado"),CONCATENATE("R44C",'Mapa final'!$R$132),"")</f>
        <v/>
      </c>
      <c r="S149" s="104" t="str">
        <f ca="1">IF(AND('Mapa final'!$AB$130="Media",'Mapa final'!$AD$130="Mayor"),CONCATENATE("R44C",'Mapa final'!$R$130),"")</f>
        <v/>
      </c>
      <c r="T149" s="42" t="str">
        <f>IF(AND('Mapa final'!$AB$131="Media",'Mapa final'!$AD$131="Mayor"),CONCATENATE("R44C",'Mapa final'!$R$131),"")</f>
        <v/>
      </c>
      <c r="U149" s="105" t="str">
        <f>IF(AND('Mapa final'!$AB$132="Media",'Mapa final'!$AD$132="Mayor"),CONCATENATE("R44C",'Mapa final'!$R$132),"")</f>
        <v/>
      </c>
      <c r="V149" s="43" t="str">
        <f ca="1">IF(AND('Mapa final'!$AB$130="Media",'Mapa final'!$AD$130="Catastrófico"),CONCATENATE("R44C",'Mapa final'!$R$130),"")</f>
        <v/>
      </c>
      <c r="W149" s="44" t="str">
        <f>IF(AND('Mapa final'!$AB$131="Media",'Mapa final'!$AD$131="Catastrófico"),CONCATENATE("R44C",'Mapa final'!$R$131),"")</f>
        <v/>
      </c>
      <c r="X149" s="99" t="str">
        <f>IF(AND('Mapa final'!$AB$132="Media",'Mapa final'!$AD$132="Catastrófico"),CONCATENATE("R44C",'Mapa final'!$R$132),"")</f>
        <v/>
      </c>
      <c r="Y149" s="56"/>
      <c r="Z149" s="297"/>
      <c r="AA149" s="298"/>
      <c r="AB149" s="298"/>
      <c r="AC149" s="298"/>
      <c r="AD149" s="298"/>
      <c r="AE149" s="299"/>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row>
    <row r="150" spans="1:61" ht="15" customHeight="1" x14ac:dyDescent="0.25">
      <c r="A150" s="56"/>
      <c r="B150" s="286"/>
      <c r="C150" s="286"/>
      <c r="D150" s="287"/>
      <c r="E150" s="276"/>
      <c r="F150" s="275"/>
      <c r="G150" s="275"/>
      <c r="H150" s="275"/>
      <c r="I150" s="275"/>
      <c r="J150" s="49" t="str">
        <f ca="1">IF(AND('Mapa final'!$AB$133="Media",'Mapa final'!$AD$133="Leve"),CONCATENATE("R45C",'Mapa final'!$R$133),"")</f>
        <v/>
      </c>
      <c r="K150" s="50" t="str">
        <f>IF(AND('Mapa final'!$AB$134="Media",'Mapa final'!$AD$134="Leve"),CONCATENATE("R45C",'Mapa final'!$R$134),"")</f>
        <v/>
      </c>
      <c r="L150" s="110" t="str">
        <f>IF(AND('Mapa final'!$AB$135="Media",'Mapa final'!$AD$135="Leve"),CONCATENATE("R45C",'Mapa final'!$R$135),"")</f>
        <v/>
      </c>
      <c r="M150" s="49" t="str">
        <f ca="1">IF(AND('Mapa final'!$AB$133="Media",'Mapa final'!$AD$133="Menor"),CONCATENATE("R45C",'Mapa final'!$R$133),"")</f>
        <v/>
      </c>
      <c r="N150" s="50" t="str">
        <f>IF(AND('Mapa final'!$AB$134="Media",'Mapa final'!$AD$134="Menor"),CONCATENATE("R45C",'Mapa final'!$R$134),"")</f>
        <v/>
      </c>
      <c r="O150" s="110" t="str">
        <f>IF(AND('Mapa final'!$AB$135="Media",'Mapa final'!$AD$135="Menor"),CONCATENATE("R45C",'Mapa final'!$R$135),"")</f>
        <v/>
      </c>
      <c r="P150" s="49" t="str">
        <f ca="1">IF(AND('Mapa final'!$AB$133="Media",'Mapa final'!$AD$133="Moderado"),CONCATENATE("R45C",'Mapa final'!$R$133),"")</f>
        <v/>
      </c>
      <c r="Q150" s="50" t="str">
        <f>IF(AND('Mapa final'!$AB$134="Media",'Mapa final'!$AD$134="Moderado"),CONCATENATE("R45C",'Mapa final'!$R$134),"")</f>
        <v/>
      </c>
      <c r="R150" s="110" t="str">
        <f>IF(AND('Mapa final'!$AB$135="Media",'Mapa final'!$AD$135="Moderado"),CONCATENATE("R45C",'Mapa final'!$R$135),"")</f>
        <v/>
      </c>
      <c r="S150" s="104" t="str">
        <f ca="1">IF(AND('Mapa final'!$AB$133="Media",'Mapa final'!$AD$133="Mayor"),CONCATENATE("R45C",'Mapa final'!$R$133),"")</f>
        <v>R45C1</v>
      </c>
      <c r="T150" s="42" t="str">
        <f>IF(AND('Mapa final'!$AB$134="Media",'Mapa final'!$AD$134="Mayor"),CONCATENATE("R45C",'Mapa final'!$R$134),"")</f>
        <v/>
      </c>
      <c r="U150" s="105" t="str">
        <f>IF(AND('Mapa final'!$AB$135="Media",'Mapa final'!$AD$135="Mayor"),CONCATENATE("R45C",'Mapa final'!$R$135),"")</f>
        <v/>
      </c>
      <c r="V150" s="43" t="str">
        <f ca="1">IF(AND('Mapa final'!$AB$133="Media",'Mapa final'!$AD$133="Catastrófico"),CONCATENATE("R45C",'Mapa final'!$R$133),"")</f>
        <v/>
      </c>
      <c r="W150" s="44" t="str">
        <f>IF(AND('Mapa final'!$AB$134="Media",'Mapa final'!$AD$134="Catastrófico"),CONCATENATE("R45C",'Mapa final'!$R$134),"")</f>
        <v/>
      </c>
      <c r="X150" s="99" t="str">
        <f>IF(AND('Mapa final'!$AB$135="Media",'Mapa final'!$AD$135="Catastrófico"),CONCATENATE("R45C",'Mapa final'!$R$135),"")</f>
        <v/>
      </c>
      <c r="Y150" s="56"/>
      <c r="Z150" s="297"/>
      <c r="AA150" s="298"/>
      <c r="AB150" s="298"/>
      <c r="AC150" s="298"/>
      <c r="AD150" s="298"/>
      <c r="AE150" s="299"/>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row>
    <row r="151" spans="1:61" ht="15" customHeight="1" x14ac:dyDescent="0.25">
      <c r="A151" s="56"/>
      <c r="B151" s="286"/>
      <c r="C151" s="286"/>
      <c r="D151" s="287"/>
      <c r="E151" s="276"/>
      <c r="F151" s="275"/>
      <c r="G151" s="275"/>
      <c r="H151" s="275"/>
      <c r="I151" s="275"/>
      <c r="J151" s="49" t="str">
        <f ca="1">IF(AND('Mapa final'!$AB$136="Media",'Mapa final'!$AD$136="Leve"),CONCATENATE("R46C",'Mapa final'!$R$136),"")</f>
        <v/>
      </c>
      <c r="K151" s="50" t="str">
        <f>IF(AND('Mapa final'!$AB$137="Media",'Mapa final'!$AD$137="Leve"),CONCATENATE("R46C",'Mapa final'!$R$137),"")</f>
        <v/>
      </c>
      <c r="L151" s="110" t="str">
        <f>IF(AND('Mapa final'!$AB$138="Media",'Mapa final'!$AD$138="Leve"),CONCATENATE("R46C",'Mapa final'!$R$138),"")</f>
        <v/>
      </c>
      <c r="M151" s="49" t="str">
        <f ca="1">IF(AND('Mapa final'!$AB$136="Media",'Mapa final'!$AD$136="Menor"),CONCATENATE("R46C",'Mapa final'!$R$136),"")</f>
        <v/>
      </c>
      <c r="N151" s="50" t="str">
        <f>IF(AND('Mapa final'!$AB$137="Media",'Mapa final'!$AD$137="Menor"),CONCATENATE("R46C",'Mapa final'!$R$137),"")</f>
        <v/>
      </c>
      <c r="O151" s="110" t="str">
        <f>IF(AND('Mapa final'!$AB$138="Media",'Mapa final'!$AD$138="Menor"),CONCATENATE("R46C",'Mapa final'!$R$138),"")</f>
        <v/>
      </c>
      <c r="P151" s="49" t="str">
        <f ca="1">IF(AND('Mapa final'!$AB$136="Media",'Mapa final'!$AD$136="Moderado"),CONCATENATE("R46C",'Mapa final'!$R$136),"")</f>
        <v/>
      </c>
      <c r="Q151" s="50" t="str">
        <f>IF(AND('Mapa final'!$AB$137="Media",'Mapa final'!$AD$137="Moderado"),CONCATENATE("R46C",'Mapa final'!$R$137),"")</f>
        <v/>
      </c>
      <c r="R151" s="110" t="str">
        <f>IF(AND('Mapa final'!$AB$138="Media",'Mapa final'!$AD$138="Moderado"),CONCATENATE("R46C",'Mapa final'!$R$138),"")</f>
        <v/>
      </c>
      <c r="S151" s="104" t="str">
        <f ca="1">IF(AND('Mapa final'!$AB$136="Media",'Mapa final'!$AD$136="Mayor"),CONCATENATE("R46C",'Mapa final'!$R$136),"")</f>
        <v/>
      </c>
      <c r="T151" s="42" t="str">
        <f>IF(AND('Mapa final'!$AB$137="Media",'Mapa final'!$AD$137="Mayor"),CONCATENATE("R46C",'Mapa final'!$R$137),"")</f>
        <v/>
      </c>
      <c r="U151" s="105" t="str">
        <f>IF(AND('Mapa final'!$AB$138="Media",'Mapa final'!$AD$138="Mayor"),CONCATENATE("R46C",'Mapa final'!$R$138),"")</f>
        <v/>
      </c>
      <c r="V151" s="43" t="str">
        <f ca="1">IF(AND('Mapa final'!$AB$136="Media",'Mapa final'!$AD$136="Catastrófico"),CONCATENATE("R46C",'Mapa final'!$R$136),"")</f>
        <v/>
      </c>
      <c r="W151" s="44" t="str">
        <f>IF(AND('Mapa final'!$AB$137="Media",'Mapa final'!$AD$137="Catastrófico"),CONCATENATE("R46C",'Mapa final'!$R$137),"")</f>
        <v/>
      </c>
      <c r="X151" s="99" t="str">
        <f>IF(AND('Mapa final'!$AB$138="Media",'Mapa final'!$AD$138="Catastrófico"),CONCATENATE("R46C",'Mapa final'!$R$138),"")</f>
        <v/>
      </c>
      <c r="Y151" s="56"/>
      <c r="Z151" s="297"/>
      <c r="AA151" s="298"/>
      <c r="AB151" s="298"/>
      <c r="AC151" s="298"/>
      <c r="AD151" s="298"/>
      <c r="AE151" s="299"/>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row>
    <row r="152" spans="1:61" ht="15" customHeight="1" x14ac:dyDescent="0.25">
      <c r="A152" s="56"/>
      <c r="B152" s="286"/>
      <c r="C152" s="286"/>
      <c r="D152" s="287"/>
      <c r="E152" s="276"/>
      <c r="F152" s="275"/>
      <c r="G152" s="275"/>
      <c r="H152" s="275"/>
      <c r="I152" s="275"/>
      <c r="J152" s="49" t="str">
        <f ca="1">IF(AND('Mapa final'!$AB$139="Media",'Mapa final'!$AD$139="Leve"),CONCATENATE("R47C",'Mapa final'!$R$139),"")</f>
        <v/>
      </c>
      <c r="K152" s="50" t="str">
        <f>IF(AND('Mapa final'!$AB$140="Media",'Mapa final'!$AD$140="Leve"),CONCATENATE("R47C",'Mapa final'!$R$140),"")</f>
        <v/>
      </c>
      <c r="L152" s="110" t="str">
        <f>IF(AND('Mapa final'!$AB$141="Media",'Mapa final'!$AD$141="Leve"),CONCATENATE("R47C",'Mapa final'!$R$141),"")</f>
        <v/>
      </c>
      <c r="M152" s="49" t="str">
        <f ca="1">IF(AND('Mapa final'!$AB$139="Media",'Mapa final'!$AD$139="Menor"),CONCATENATE("R47C",'Mapa final'!$R$139),"")</f>
        <v/>
      </c>
      <c r="N152" s="50" t="str">
        <f>IF(AND('Mapa final'!$AB$140="Media",'Mapa final'!$AD$140="Menor"),CONCATENATE("R47C",'Mapa final'!$R$140),"")</f>
        <v/>
      </c>
      <c r="O152" s="110" t="str">
        <f>IF(AND('Mapa final'!$AB$141="Media",'Mapa final'!$AD$141="Menor"),CONCATENATE("R47C",'Mapa final'!$R$141),"")</f>
        <v/>
      </c>
      <c r="P152" s="49" t="str">
        <f ca="1">IF(AND('Mapa final'!$AB$139="Media",'Mapa final'!$AD$139="Moderado"),CONCATENATE("R47C",'Mapa final'!$R$139),"")</f>
        <v/>
      </c>
      <c r="Q152" s="50" t="str">
        <f>IF(AND('Mapa final'!$AB$140="Media",'Mapa final'!$AD$140="Moderado"),CONCATENATE("R47C",'Mapa final'!$R$140),"")</f>
        <v/>
      </c>
      <c r="R152" s="110" t="str">
        <f>IF(AND('Mapa final'!$AB$141="Media",'Mapa final'!$AD$141="Moderado"),CONCATENATE("R47C",'Mapa final'!$R$141),"")</f>
        <v/>
      </c>
      <c r="S152" s="104" t="str">
        <f ca="1">IF(AND('Mapa final'!$AB$139="Media",'Mapa final'!$AD$139="Mayor"),CONCATENATE("R47C",'Mapa final'!$R$139),"")</f>
        <v/>
      </c>
      <c r="T152" s="42" t="str">
        <f>IF(AND('Mapa final'!$AB$140="Media",'Mapa final'!$AD$140="Mayor"),CONCATENATE("R47C",'Mapa final'!$R$140),"")</f>
        <v/>
      </c>
      <c r="U152" s="105" t="str">
        <f>IF(AND('Mapa final'!$AB$141="Media",'Mapa final'!$AD$141="Mayor"),CONCATENATE("R47C",'Mapa final'!$R$141),"")</f>
        <v/>
      </c>
      <c r="V152" s="43" t="str">
        <f ca="1">IF(AND('Mapa final'!$AB$139="Media",'Mapa final'!$AD$139="Catastrófico"),CONCATENATE("R47C",'Mapa final'!$R$139),"")</f>
        <v/>
      </c>
      <c r="W152" s="44" t="str">
        <f>IF(AND('Mapa final'!$AB$140="Media",'Mapa final'!$AD$140="Catastrófico"),CONCATENATE("R47C",'Mapa final'!$R$140),"")</f>
        <v/>
      </c>
      <c r="X152" s="99" t="str">
        <f>IF(AND('Mapa final'!$AB$141="Media",'Mapa final'!$AD$141="Catastrófico"),CONCATENATE("R47C",'Mapa final'!$R$141),"")</f>
        <v/>
      </c>
      <c r="Y152" s="56"/>
      <c r="Z152" s="297"/>
      <c r="AA152" s="298"/>
      <c r="AB152" s="298"/>
      <c r="AC152" s="298"/>
      <c r="AD152" s="298"/>
      <c r="AE152" s="299"/>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row>
    <row r="153" spans="1:61" ht="15" customHeight="1" x14ac:dyDescent="0.25">
      <c r="A153" s="56"/>
      <c r="B153" s="286"/>
      <c r="C153" s="286"/>
      <c r="D153" s="287"/>
      <c r="E153" s="276"/>
      <c r="F153" s="275"/>
      <c r="G153" s="275"/>
      <c r="H153" s="275"/>
      <c r="I153" s="275"/>
      <c r="J153" s="49" t="str">
        <f>IF(AND('Mapa final'!$AB$142="Media",'Mapa final'!$AD$142="Leve"),CONCATENATE("R48C",'Mapa final'!$R$142),"")</f>
        <v/>
      </c>
      <c r="K153" s="50" t="str">
        <f>IF(AND('Mapa final'!$AB$143="Media",'Mapa final'!$AD$143="Leve"),CONCATENATE("R48C",'Mapa final'!$R$143),"")</f>
        <v/>
      </c>
      <c r="L153" s="110" t="str">
        <f>IF(AND('Mapa final'!$AB$144="Media",'Mapa final'!$AD$144="Leve"),CONCATENATE("R48C",'Mapa final'!$R$144),"")</f>
        <v/>
      </c>
      <c r="M153" s="49" t="str">
        <f>IF(AND('Mapa final'!$AB$142="Media",'Mapa final'!$AD$142="Menor"),CONCATENATE("R48C",'Mapa final'!$R$142),"")</f>
        <v/>
      </c>
      <c r="N153" s="50" t="str">
        <f>IF(AND('Mapa final'!$AB$143="Media",'Mapa final'!$AD$143="Menor"),CONCATENATE("R48C",'Mapa final'!$R$143),"")</f>
        <v/>
      </c>
      <c r="O153" s="110" t="str">
        <f>IF(AND('Mapa final'!$AB$144="Media",'Mapa final'!$AD$144="Menor"),CONCATENATE("R48C",'Mapa final'!$R$144),"")</f>
        <v/>
      </c>
      <c r="P153" s="49" t="str">
        <f>IF(AND('Mapa final'!$AB$142="Media",'Mapa final'!$AD$142="Moderado"),CONCATENATE("R48C",'Mapa final'!$R$142),"")</f>
        <v/>
      </c>
      <c r="Q153" s="50" t="str">
        <f>IF(AND('Mapa final'!$AB$143="Media",'Mapa final'!$AD$143="Moderado"),CONCATENATE("R48C",'Mapa final'!$R$143),"")</f>
        <v/>
      </c>
      <c r="R153" s="110" t="str">
        <f>IF(AND('Mapa final'!$AB$144="Media",'Mapa final'!$AD$144="Moderado"),CONCATENATE("R48C",'Mapa final'!$R$144),"")</f>
        <v/>
      </c>
      <c r="S153" s="104" t="str">
        <f>IF(AND('Mapa final'!$AB$142="Media",'Mapa final'!$AD$142="Mayor"),CONCATENATE("R48C",'Mapa final'!$R$142),"")</f>
        <v/>
      </c>
      <c r="T153" s="42" t="str">
        <f>IF(AND('Mapa final'!$AB$143="Media",'Mapa final'!$AD$143="Mayor"),CONCATENATE("R48C",'Mapa final'!$R$143),"")</f>
        <v/>
      </c>
      <c r="U153" s="105" t="str">
        <f>IF(AND('Mapa final'!$AB$144="Media",'Mapa final'!$AD$144="Mayor"),CONCATENATE("R48C",'Mapa final'!$R$144),"")</f>
        <v/>
      </c>
      <c r="V153" s="43" t="str">
        <f>IF(AND('Mapa final'!$AB$142="Media",'Mapa final'!$AD$142="Catastrófico"),CONCATENATE("R48C",'Mapa final'!$R$142),"")</f>
        <v/>
      </c>
      <c r="W153" s="44" t="str">
        <f>IF(AND('Mapa final'!$AB$143="Media",'Mapa final'!$AD$143="Catastrófico"),CONCATENATE("R48C",'Mapa final'!$R$143),"")</f>
        <v/>
      </c>
      <c r="X153" s="99" t="str">
        <f>IF(AND('Mapa final'!$AB$144="Media",'Mapa final'!$AD$144="Catastrófico"),CONCATENATE("R48C",'Mapa final'!$R$144),"")</f>
        <v/>
      </c>
      <c r="Y153" s="56"/>
      <c r="Z153" s="297"/>
      <c r="AA153" s="298"/>
      <c r="AB153" s="298"/>
      <c r="AC153" s="298"/>
      <c r="AD153" s="298"/>
      <c r="AE153" s="299"/>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row>
    <row r="154" spans="1:61" ht="15" customHeight="1" x14ac:dyDescent="0.25">
      <c r="A154" s="56"/>
      <c r="B154" s="286"/>
      <c r="C154" s="286"/>
      <c r="D154" s="287"/>
      <c r="E154" s="276"/>
      <c r="F154" s="275"/>
      <c r="G154" s="275"/>
      <c r="H154" s="275"/>
      <c r="I154" s="275"/>
      <c r="J154" s="49" t="str">
        <f>IF(AND('Mapa final'!$AB$145="Media",'Mapa final'!$AD$145="Leve"),CONCATENATE("R49C",'Mapa final'!$R$145),"")</f>
        <v/>
      </c>
      <c r="K154" s="50" t="str">
        <f>IF(AND('Mapa final'!$AB$146="Media",'Mapa final'!$AD$146="Leve"),CONCATENATE("R49C",'Mapa final'!$R$146),"")</f>
        <v/>
      </c>
      <c r="L154" s="110" t="str">
        <f>IF(AND('Mapa final'!$AB$147="Media",'Mapa final'!$AD$147="Leve"),CONCATENATE("R49C",'Mapa final'!$R$147),"")</f>
        <v/>
      </c>
      <c r="M154" s="49" t="str">
        <f>IF(AND('Mapa final'!$AB$145="Media",'Mapa final'!$AD$145="Menor"),CONCATENATE("R49C",'Mapa final'!$R$145),"")</f>
        <v/>
      </c>
      <c r="N154" s="50" t="str">
        <f>IF(AND('Mapa final'!$AB$146="Media",'Mapa final'!$AD$146="Menor"),CONCATENATE("R49C",'Mapa final'!$R$146),"")</f>
        <v/>
      </c>
      <c r="O154" s="110" t="str">
        <f>IF(AND('Mapa final'!$AB$147="Media",'Mapa final'!$AD$147="Menor"),CONCATENATE("R49C",'Mapa final'!$R$147),"")</f>
        <v/>
      </c>
      <c r="P154" s="49" t="str">
        <f>IF(AND('Mapa final'!$AB$145="Media",'Mapa final'!$AD$145="Moderado"),CONCATENATE("R49C",'Mapa final'!$R$145),"")</f>
        <v/>
      </c>
      <c r="Q154" s="50" t="str">
        <f>IF(AND('Mapa final'!$AB$146="Media",'Mapa final'!$AD$146="Moderado"),CONCATENATE("R49C",'Mapa final'!$R$146),"")</f>
        <v/>
      </c>
      <c r="R154" s="110" t="str">
        <f>IF(AND('Mapa final'!$AB$147="Media",'Mapa final'!$AD$147="Moderado"),CONCATENATE("R49C",'Mapa final'!$R$147),"")</f>
        <v/>
      </c>
      <c r="S154" s="104" t="str">
        <f>IF(AND('Mapa final'!$AB$145="Media",'Mapa final'!$AD$145="Mayor"),CONCATENATE("R49C",'Mapa final'!$R$145),"")</f>
        <v/>
      </c>
      <c r="T154" s="42" t="str">
        <f>IF(AND('Mapa final'!$AB$146="Media",'Mapa final'!$AD$146="Mayor"),CONCATENATE("R49C",'Mapa final'!$R$146),"")</f>
        <v/>
      </c>
      <c r="U154" s="105" t="str">
        <f>IF(AND('Mapa final'!$AB$147="Media",'Mapa final'!$AD$147="Mayor"),CONCATENATE("R49C",'Mapa final'!$R$147),"")</f>
        <v/>
      </c>
      <c r="V154" s="43" t="str">
        <f>IF(AND('Mapa final'!$AB$145="Media",'Mapa final'!$AD$145="Catastrófico"),CONCATENATE("R49C",'Mapa final'!$R$145),"")</f>
        <v/>
      </c>
      <c r="W154" s="44" t="str">
        <f>IF(AND('Mapa final'!$AB$146="Media",'Mapa final'!$AD$146="Catastrófico"),CONCATENATE("R49C",'Mapa final'!$R$146),"")</f>
        <v/>
      </c>
      <c r="X154" s="99" t="str">
        <f>IF(AND('Mapa final'!$AB$147="Media",'Mapa final'!$AD$147="Catastrófico"),CONCATENATE("R49C",'Mapa final'!$R$147),"")</f>
        <v/>
      </c>
      <c r="Y154" s="56"/>
      <c r="Z154" s="297"/>
      <c r="AA154" s="298"/>
      <c r="AB154" s="298"/>
      <c r="AC154" s="298"/>
      <c r="AD154" s="298"/>
      <c r="AE154" s="299"/>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row>
    <row r="155" spans="1:61" ht="15" customHeight="1" thickBot="1" x14ac:dyDescent="0.3">
      <c r="A155" s="56"/>
      <c r="B155" s="286"/>
      <c r="C155" s="286"/>
      <c r="D155" s="287"/>
      <c r="E155" s="276"/>
      <c r="F155" s="275"/>
      <c r="G155" s="275"/>
      <c r="H155" s="275"/>
      <c r="I155" s="275"/>
      <c r="J155" s="51" t="str">
        <f>IF(AND('Mapa final'!$AB$148="Media",'Mapa final'!$AD$148="Leve"),CONCATENATE("R50C",'Mapa final'!$R$148),"")</f>
        <v/>
      </c>
      <c r="K155" s="52" t="str">
        <f>IF(AND('Mapa final'!$AB$149="Media",'Mapa final'!$AD$149="Leve"),CONCATENATE("R50C",'Mapa final'!$R$149),"")</f>
        <v/>
      </c>
      <c r="L155" s="111" t="str">
        <f>IF(AND('Mapa final'!$AB$150="Media",'Mapa final'!$AD$150="Leve"),CONCATENATE("R50C",'Mapa final'!$R$150),"")</f>
        <v/>
      </c>
      <c r="M155" s="51" t="str">
        <f>IF(AND('Mapa final'!$AB$148="Media",'Mapa final'!$AD$148="Menor"),CONCATENATE("R50C",'Mapa final'!$R$148),"")</f>
        <v/>
      </c>
      <c r="N155" s="52" t="str">
        <f>IF(AND('Mapa final'!$AB$149="Media",'Mapa final'!$AD$149="Menor"),CONCATENATE("R50C",'Mapa final'!$R$149),"")</f>
        <v/>
      </c>
      <c r="O155" s="111" t="str">
        <f>IF(AND('Mapa final'!$AB$150="Media",'Mapa final'!$AD$150="Menor"),CONCATENATE("R50C",'Mapa final'!$R$150),"")</f>
        <v/>
      </c>
      <c r="P155" s="51" t="str">
        <f>IF(AND('Mapa final'!$AB$148="Media",'Mapa final'!$AD$148="Moderado"),CONCATENATE("R50C",'Mapa final'!$R$148),"")</f>
        <v/>
      </c>
      <c r="Q155" s="52" t="str">
        <f>IF(AND('Mapa final'!$AB$149="Media",'Mapa final'!$AD$149="Moderado"),CONCATENATE("R50C",'Mapa final'!$R$149),"")</f>
        <v/>
      </c>
      <c r="R155" s="111" t="str">
        <f>IF(AND('Mapa final'!$AB$150="Media",'Mapa final'!$AD$150="Moderado"),CONCATENATE("R50C",'Mapa final'!$R$150),"")</f>
        <v/>
      </c>
      <c r="S155" s="106" t="str">
        <f>IF(AND('Mapa final'!$AB$148="Media",'Mapa final'!$AD$148="Mayor"),CONCATENATE("R50C",'Mapa final'!$R$148),"")</f>
        <v/>
      </c>
      <c r="T155" s="107" t="str">
        <f>IF(AND('Mapa final'!$AB$149="Media",'Mapa final'!$AD$149="Mayor"),CONCATENATE("R50C",'Mapa final'!$R$149),"")</f>
        <v/>
      </c>
      <c r="U155" s="108" t="str">
        <f>IF(AND('Mapa final'!$AB$150="Media",'Mapa final'!$AD$150="Mayor"),CONCATENATE("R50C",'Mapa final'!$R$150),"")</f>
        <v/>
      </c>
      <c r="V155" s="45" t="str">
        <f>IF(AND('Mapa final'!$AB$148="Media",'Mapa final'!$AD$148="Catastrófico"),CONCATENATE("R50C",'Mapa final'!$R$148),"")</f>
        <v/>
      </c>
      <c r="W155" s="46" t="str">
        <f>IF(AND('Mapa final'!$AB$149="Media",'Mapa final'!$AD$149="Catastrófico"),CONCATENATE("R50C",'Mapa final'!$R$149),"")</f>
        <v/>
      </c>
      <c r="X155" s="100" t="str">
        <f>IF(AND('Mapa final'!$AB$150="Media",'Mapa final'!$AD$150="Catastrófico"),CONCATENATE("R50C",'Mapa final'!$R$150),"")</f>
        <v/>
      </c>
      <c r="Y155" s="56"/>
      <c r="Z155" s="297"/>
      <c r="AA155" s="298"/>
      <c r="AB155" s="298"/>
      <c r="AC155" s="298"/>
      <c r="AD155" s="298"/>
      <c r="AE155" s="299"/>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row>
    <row r="156" spans="1:61" ht="15" customHeight="1" x14ac:dyDescent="0.25">
      <c r="A156" s="56"/>
      <c r="B156" s="286"/>
      <c r="C156" s="286"/>
      <c r="D156" s="287"/>
      <c r="E156" s="272" t="s">
        <v>105</v>
      </c>
      <c r="F156" s="273"/>
      <c r="G156" s="273"/>
      <c r="H156" s="273"/>
      <c r="I156" s="273"/>
      <c r="J156" s="112" t="str">
        <f ca="1">IF(AND('Mapa final'!$AB$7="Baja",'Mapa final'!$AD$7="Leve"),CONCATENATE("R1C",'Mapa final'!$R$7),"")</f>
        <v/>
      </c>
      <c r="K156" s="53" t="str">
        <f>IF(AND('Mapa final'!$AB$8="Baja",'Mapa final'!$AD$8="Leve"),CONCATENATE("R1C",'Mapa final'!$R$8),"")</f>
        <v/>
      </c>
      <c r="L156" s="113" t="str">
        <f>IF(AND('Mapa final'!$AB$9="Baja",'Mapa final'!$AD$9="Leve"),CONCATENATE("R1C",'Mapa final'!$R$9),"")</f>
        <v/>
      </c>
      <c r="M156" s="47" t="str">
        <f ca="1">IF(AND('Mapa final'!$AB$7="Baja",'Mapa final'!$AD$7="Menor"),CONCATENATE("R1C",'Mapa final'!$R$7),"")</f>
        <v/>
      </c>
      <c r="N156" s="48" t="str">
        <f>IF(AND('Mapa final'!$AB$8="Baja",'Mapa final'!$AD$8="Menor"),CONCATENATE("R1C",'Mapa final'!$R$8),"")</f>
        <v/>
      </c>
      <c r="O156" s="109" t="str">
        <f>IF(AND('Mapa final'!$AB$9="Baja",'Mapa final'!$AD$9="Menor"),CONCATENATE("R1C",'Mapa final'!$R$9),"")</f>
        <v/>
      </c>
      <c r="P156" s="47" t="str">
        <f ca="1">IF(AND('Mapa final'!$AB$7="Baja",'Mapa final'!$AD$7="Moderado"),CONCATENATE("R1C",'Mapa final'!$R$7),"")</f>
        <v>R1C1</v>
      </c>
      <c r="Q156" s="48" t="str">
        <f>IF(AND('Mapa final'!$AB$8="Baja",'Mapa final'!$AD$8="Moderado"),CONCATENATE("R1C",'Mapa final'!$R$8),"")</f>
        <v/>
      </c>
      <c r="R156" s="109" t="str">
        <f>IF(AND('Mapa final'!$AB$9="Baja",'Mapa final'!$AD$9="Moderado"),CONCATENATE("R1C",'Mapa final'!$R$9),"")</f>
        <v/>
      </c>
      <c r="S156" s="101" t="str">
        <f ca="1">IF(AND('Mapa final'!$AB$7="Baja",'Mapa final'!$AD$7="Mayor"),CONCATENATE("R1C",'Mapa final'!$R$7),"")</f>
        <v/>
      </c>
      <c r="T156" s="102" t="str">
        <f>IF(AND('Mapa final'!$AB$8="Baja",'Mapa final'!$AD$8="Mayor"),CONCATENATE("R1C",'Mapa final'!$R$8),"")</f>
        <v/>
      </c>
      <c r="U156" s="103" t="str">
        <f>IF(AND('Mapa final'!$AB$9="Baja",'Mapa final'!$AD$9="Mayor"),CONCATENATE("R1C",'Mapa final'!$R$9),"")</f>
        <v/>
      </c>
      <c r="V156" s="40" t="str">
        <f ca="1">IF(AND('Mapa final'!$AB$7="Baja",'Mapa final'!$AD$7="Catastrófico"),CONCATENATE("R1C",'Mapa final'!$R$7),"")</f>
        <v/>
      </c>
      <c r="W156" s="41" t="str">
        <f>IF(AND('Mapa final'!$AB$8="Baja",'Mapa final'!$AD$8="Catastrófico"),CONCATENATE("R1C",'Mapa final'!$R$8),"")</f>
        <v/>
      </c>
      <c r="X156" s="98" t="str">
        <f>IF(AND('Mapa final'!$AB$9="Baja",'Mapa final'!$AD$9="Catastrófico"),CONCATENATE("R1C",'Mapa final'!$R$9),"")</f>
        <v/>
      </c>
      <c r="Y156" s="56"/>
      <c r="Z156" s="288" t="s">
        <v>76</v>
      </c>
      <c r="AA156" s="289"/>
      <c r="AB156" s="289"/>
      <c r="AC156" s="289"/>
      <c r="AD156" s="289"/>
      <c r="AE156" s="290"/>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row>
    <row r="157" spans="1:61" ht="15" customHeight="1" x14ac:dyDescent="0.25">
      <c r="A157" s="56"/>
      <c r="B157" s="286"/>
      <c r="C157" s="286"/>
      <c r="D157" s="287"/>
      <c r="E157" s="274"/>
      <c r="F157" s="275"/>
      <c r="G157" s="275"/>
      <c r="H157" s="275"/>
      <c r="I157" s="275"/>
      <c r="J157" s="114" t="str">
        <f ca="1">IF(AND('Mapa final'!$AB$10="Baja",'Mapa final'!$AD$10="Leve"),CONCATENATE("R2C",'Mapa final'!$R$10),"")</f>
        <v/>
      </c>
      <c r="K157" s="54" t="str">
        <f>IF(AND('Mapa final'!$AB$11="Baja",'Mapa final'!$AD$11="Leve"),CONCATENATE("R2C",'Mapa final'!$R$11),"")</f>
        <v/>
      </c>
      <c r="L157" s="115" t="str">
        <f>IF(AND('Mapa final'!$AB$12="Baja",'Mapa final'!$AD$12="Leve"),CONCATENATE("R2C",'Mapa final'!$R$12),"")</f>
        <v/>
      </c>
      <c r="M157" s="49" t="str">
        <f ca="1">IF(AND('Mapa final'!$AB$10="Baja",'Mapa final'!$AD$10="Menor"),CONCATENATE("R2C",'Mapa final'!$R$10),"")</f>
        <v/>
      </c>
      <c r="N157" s="50" t="str">
        <f>IF(AND('Mapa final'!$AB$11="Baja",'Mapa final'!$AD$11="Menor"),CONCATENATE("R2C",'Mapa final'!$R$11),"")</f>
        <v/>
      </c>
      <c r="O157" s="110" t="str">
        <f>IF(AND('Mapa final'!$AB$12="Baja",'Mapa final'!$AD$12="Menor"),CONCATENATE("R2C",'Mapa final'!$R$12),"")</f>
        <v/>
      </c>
      <c r="P157" s="49" t="str">
        <f ca="1">IF(AND('Mapa final'!$AB$10="Baja",'Mapa final'!$AD$10="Moderado"),CONCATENATE("R2C",'Mapa final'!$R$10),"")</f>
        <v>R2C1</v>
      </c>
      <c r="Q157" s="50" t="str">
        <f>IF(AND('Mapa final'!$AB$11="Baja",'Mapa final'!$AD$11="Moderado"),CONCATENATE("R2C",'Mapa final'!$R$11),"")</f>
        <v/>
      </c>
      <c r="R157" s="110" t="str">
        <f>IF(AND('Mapa final'!$AB$12="Baja",'Mapa final'!$AD$12="Moderado"),CONCATENATE("R2C",'Mapa final'!$R$12),"")</f>
        <v/>
      </c>
      <c r="S157" s="104" t="str">
        <f ca="1">IF(AND('Mapa final'!$AB$10="Baja",'Mapa final'!$AD$10="Mayor"),CONCATENATE("R2C",'Mapa final'!$R$10),"")</f>
        <v/>
      </c>
      <c r="T157" s="42" t="str">
        <f>IF(AND('Mapa final'!$AB$11="Baja",'Mapa final'!$AD$11="Mayor"),CONCATENATE("R2C",'Mapa final'!$R$11),"")</f>
        <v/>
      </c>
      <c r="U157" s="105" t="str">
        <f>IF(AND('Mapa final'!$AB$12="Baja",'Mapa final'!$AD$12="Mayor"),CONCATENATE("R2C",'Mapa final'!$R$12),"")</f>
        <v/>
      </c>
      <c r="V157" s="43" t="str">
        <f ca="1">IF(AND('Mapa final'!$AB$10="Baja",'Mapa final'!$AD$10="Catastrófico"),CONCATENATE("R2C",'Mapa final'!$R$10),"")</f>
        <v/>
      </c>
      <c r="W157" s="44" t="str">
        <f>IF(AND('Mapa final'!$AB$11="Baja",'Mapa final'!$AD$11="Catastrófico"),CONCATENATE("R2C",'Mapa final'!$R$11),"")</f>
        <v/>
      </c>
      <c r="X157" s="99" t="str">
        <f>IF(AND('Mapa final'!$AB$12="Baja",'Mapa final'!$AD$12="Catastrófico"),CONCATENATE("R2C",'Mapa final'!$R$12),"")</f>
        <v/>
      </c>
      <c r="Y157" s="56"/>
      <c r="Z157" s="291"/>
      <c r="AA157" s="292"/>
      <c r="AB157" s="292"/>
      <c r="AC157" s="292"/>
      <c r="AD157" s="292"/>
      <c r="AE157" s="293"/>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row>
    <row r="158" spans="1:61" ht="15" customHeight="1" x14ac:dyDescent="0.25">
      <c r="A158" s="56"/>
      <c r="B158" s="286"/>
      <c r="C158" s="286"/>
      <c r="D158" s="287"/>
      <c r="E158" s="274"/>
      <c r="F158" s="275"/>
      <c r="G158" s="275"/>
      <c r="H158" s="275"/>
      <c r="I158" s="275"/>
      <c r="J158" s="114" t="str">
        <f ca="1">IF(AND('Mapa final'!$AB$13="Baja",'Mapa final'!$AD$13="Leve"),CONCATENATE("R3C",'Mapa final'!$R$13),"")</f>
        <v/>
      </c>
      <c r="K158" s="54" t="str">
        <f>IF(AND('Mapa final'!$AB$14="Baja",'Mapa final'!$AD$14="Leve"),CONCATENATE("R3C",'Mapa final'!$R$14),"")</f>
        <v/>
      </c>
      <c r="L158" s="115" t="str">
        <f>IF(AND('Mapa final'!$AB$15="Baja",'Mapa final'!$AD$15="Leve"),CONCATENATE("R3C",'Mapa final'!$R$15),"")</f>
        <v/>
      </c>
      <c r="M158" s="49" t="str">
        <f ca="1">IF(AND('Mapa final'!$AB$13="Baja",'Mapa final'!$AD$13="Menor"),CONCATENATE("R3C",'Mapa final'!$R$13),"")</f>
        <v/>
      </c>
      <c r="N158" s="50" t="str">
        <f>IF(AND('Mapa final'!$AB$14="Baja",'Mapa final'!$AD$14="Menor"),CONCATENATE("R3C",'Mapa final'!$R$14),"")</f>
        <v/>
      </c>
      <c r="O158" s="110" t="str">
        <f>IF(AND('Mapa final'!$AB$15="Baja",'Mapa final'!$AD$15="Menor"),CONCATENATE("R3C",'Mapa final'!$R$15),"")</f>
        <v/>
      </c>
      <c r="P158" s="49" t="str">
        <f ca="1">IF(AND('Mapa final'!$AB$13="Baja",'Mapa final'!$AD$13="Moderado"),CONCATENATE("R3C",'Mapa final'!$R$13),"")</f>
        <v/>
      </c>
      <c r="Q158" s="50" t="str">
        <f>IF(AND('Mapa final'!$AB$14="Baja",'Mapa final'!$AD$14="Moderado"),CONCATENATE("R3C",'Mapa final'!$R$14),"")</f>
        <v/>
      </c>
      <c r="R158" s="110" t="str">
        <f>IF(AND('Mapa final'!$AB$15="Baja",'Mapa final'!$AD$15="Moderado"),CONCATENATE("R3C",'Mapa final'!$R$15),"")</f>
        <v/>
      </c>
      <c r="S158" s="104" t="str">
        <f ca="1">IF(AND('Mapa final'!$AB$13="Baja",'Mapa final'!$AD$13="Mayor"),CONCATENATE("R3C",'Mapa final'!$R$13),"")</f>
        <v/>
      </c>
      <c r="T158" s="42" t="str">
        <f>IF(AND('Mapa final'!$AB$14="Baja",'Mapa final'!$AD$14="Mayor"),CONCATENATE("R3C",'Mapa final'!$R$14),"")</f>
        <v/>
      </c>
      <c r="U158" s="105" t="str">
        <f>IF(AND('Mapa final'!$AB$15="Baja",'Mapa final'!$AD$15="Mayor"),CONCATENATE("R3C",'Mapa final'!$R$15),"")</f>
        <v/>
      </c>
      <c r="V158" s="43" t="str">
        <f ca="1">IF(AND('Mapa final'!$AB$13="Baja",'Mapa final'!$AD$13="Catastrófico"),CONCATENATE("R3C",'Mapa final'!$R$13),"")</f>
        <v/>
      </c>
      <c r="W158" s="44" t="str">
        <f>IF(AND('Mapa final'!$AB$14="Baja",'Mapa final'!$AD$14="Catastrófico"),CONCATENATE("R3C",'Mapa final'!$R$14),"")</f>
        <v/>
      </c>
      <c r="X158" s="99" t="str">
        <f>IF(AND('Mapa final'!$AB$15="Baja",'Mapa final'!$AD$15="Catastrófico"),CONCATENATE("R3C",'Mapa final'!$R$15),"")</f>
        <v/>
      </c>
      <c r="Y158" s="56"/>
      <c r="Z158" s="291"/>
      <c r="AA158" s="292"/>
      <c r="AB158" s="292"/>
      <c r="AC158" s="292"/>
      <c r="AD158" s="292"/>
      <c r="AE158" s="293"/>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row>
    <row r="159" spans="1:61" ht="15" customHeight="1" x14ac:dyDescent="0.25">
      <c r="A159" s="56"/>
      <c r="B159" s="286"/>
      <c r="C159" s="286"/>
      <c r="D159" s="287"/>
      <c r="E159" s="274"/>
      <c r="F159" s="275"/>
      <c r="G159" s="275"/>
      <c r="H159" s="275"/>
      <c r="I159" s="275"/>
      <c r="J159" s="114" t="e">
        <f>IF(AND('Mapa final'!#REF!="Baja",'Mapa final'!#REF!="Leve"),CONCATENATE("R4C",'Mapa final'!#REF!),"")</f>
        <v>#REF!</v>
      </c>
      <c r="K159" s="54" t="e">
        <f>IF(AND('Mapa final'!#REF!="Baja",'Mapa final'!#REF!="Leve"),CONCATENATE("R4C",'Mapa final'!#REF!),"")</f>
        <v>#REF!</v>
      </c>
      <c r="L159" s="115" t="e">
        <f>IF(AND('Mapa final'!#REF!="Baja",'Mapa final'!#REF!="Leve"),CONCATENATE("R4C",'Mapa final'!#REF!),"")</f>
        <v>#REF!</v>
      </c>
      <c r="M159" s="49" t="e">
        <f>IF(AND('Mapa final'!#REF!="Baja",'Mapa final'!#REF!="Menor"),CONCATENATE("R4C",'Mapa final'!#REF!),"")</f>
        <v>#REF!</v>
      </c>
      <c r="N159" s="50" t="e">
        <f>IF(AND('Mapa final'!#REF!="Baja",'Mapa final'!#REF!="Menor"),CONCATENATE("R4C",'Mapa final'!#REF!),"")</f>
        <v>#REF!</v>
      </c>
      <c r="O159" s="110" t="e">
        <f>IF(AND('Mapa final'!#REF!="Baja",'Mapa final'!#REF!="Menor"),CONCATENATE("R4C",'Mapa final'!#REF!),"")</f>
        <v>#REF!</v>
      </c>
      <c r="P159" s="49" t="e">
        <f>IF(AND('Mapa final'!#REF!="Baja",'Mapa final'!#REF!="Moderado"),CONCATENATE("R4C",'Mapa final'!#REF!),"")</f>
        <v>#REF!</v>
      </c>
      <c r="Q159" s="50" t="e">
        <f>IF(AND('Mapa final'!#REF!="Baja",'Mapa final'!#REF!="Moderado"),CONCATENATE("R4C",'Mapa final'!#REF!),"")</f>
        <v>#REF!</v>
      </c>
      <c r="R159" s="110" t="e">
        <f>IF(AND('Mapa final'!#REF!="Baja",'Mapa final'!#REF!="Moderado"),CONCATENATE("R4C",'Mapa final'!#REF!),"")</f>
        <v>#REF!</v>
      </c>
      <c r="S159" s="104" t="e">
        <f>IF(AND('Mapa final'!#REF!="Baja",'Mapa final'!#REF!="Mayor"),CONCATENATE("R4C",'Mapa final'!#REF!),"")</f>
        <v>#REF!</v>
      </c>
      <c r="T159" s="42" t="e">
        <f>IF(AND('Mapa final'!#REF!="Baja",'Mapa final'!#REF!="Mayor"),CONCATENATE("R4C",'Mapa final'!#REF!),"")</f>
        <v>#REF!</v>
      </c>
      <c r="U159" s="105" t="e">
        <f>IF(AND('Mapa final'!#REF!="Baja",'Mapa final'!#REF!="Mayor"),CONCATENATE("R4C",'Mapa final'!#REF!),"")</f>
        <v>#REF!</v>
      </c>
      <c r="V159" s="43" t="e">
        <f>IF(AND('Mapa final'!#REF!="Baja",'Mapa final'!#REF!="Catastrófico"),CONCATENATE("R4C",'Mapa final'!#REF!),"")</f>
        <v>#REF!</v>
      </c>
      <c r="W159" s="44" t="e">
        <f>IF(AND('Mapa final'!#REF!="Baja",'Mapa final'!#REF!="Catastrófico"),CONCATENATE("R4C",'Mapa final'!#REF!),"")</f>
        <v>#REF!</v>
      </c>
      <c r="X159" s="99" t="e">
        <f>IF(AND('Mapa final'!#REF!="Baja",'Mapa final'!#REF!="Catastrófico"),CONCATENATE("R4C",'Mapa final'!#REF!),"")</f>
        <v>#REF!</v>
      </c>
      <c r="Y159" s="56"/>
      <c r="Z159" s="291"/>
      <c r="AA159" s="292"/>
      <c r="AB159" s="292"/>
      <c r="AC159" s="292"/>
      <c r="AD159" s="292"/>
      <c r="AE159" s="293"/>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row>
    <row r="160" spans="1:61" ht="15" customHeight="1" x14ac:dyDescent="0.25">
      <c r="A160" s="56"/>
      <c r="B160" s="286"/>
      <c r="C160" s="286"/>
      <c r="D160" s="287"/>
      <c r="E160" s="274"/>
      <c r="F160" s="275"/>
      <c r="G160" s="275"/>
      <c r="H160" s="275"/>
      <c r="I160" s="275"/>
      <c r="J160" s="114" t="e">
        <f>IF(AND('Mapa final'!#REF!="Baja",'Mapa final'!#REF!="Leve"),CONCATENATE("R5C",'Mapa final'!#REF!),"")</f>
        <v>#REF!</v>
      </c>
      <c r="K160" s="54" t="e">
        <f>IF(AND('Mapa final'!#REF!="Baja",'Mapa final'!#REF!="Leve"),CONCATENATE("R5C",'Mapa final'!#REF!),"")</f>
        <v>#REF!</v>
      </c>
      <c r="L160" s="115" t="e">
        <f>IF(AND('Mapa final'!#REF!="Baja",'Mapa final'!#REF!="Leve"),CONCATENATE("R5C",'Mapa final'!#REF!),"")</f>
        <v>#REF!</v>
      </c>
      <c r="M160" s="49" t="e">
        <f>IF(AND('Mapa final'!#REF!="Baja",'Mapa final'!#REF!="Menor"),CONCATENATE("R5C",'Mapa final'!#REF!),"")</f>
        <v>#REF!</v>
      </c>
      <c r="N160" s="50" t="e">
        <f>IF(AND('Mapa final'!#REF!="Baja",'Mapa final'!#REF!="Menor"),CONCATENATE("R5C",'Mapa final'!#REF!),"")</f>
        <v>#REF!</v>
      </c>
      <c r="O160" s="110" t="e">
        <f>IF(AND('Mapa final'!#REF!="Baja",'Mapa final'!#REF!="Menor"),CONCATENATE("R5C",'Mapa final'!#REF!),"")</f>
        <v>#REF!</v>
      </c>
      <c r="P160" s="49" t="e">
        <f>IF(AND('Mapa final'!#REF!="Baja",'Mapa final'!#REF!="Moderado"),CONCATENATE("R5C",'Mapa final'!#REF!),"")</f>
        <v>#REF!</v>
      </c>
      <c r="Q160" s="50" t="e">
        <f>IF(AND('Mapa final'!#REF!="Baja",'Mapa final'!#REF!="Moderado"),CONCATENATE("R5C",'Mapa final'!#REF!),"")</f>
        <v>#REF!</v>
      </c>
      <c r="R160" s="110" t="e">
        <f>IF(AND('Mapa final'!#REF!="Baja",'Mapa final'!#REF!="Moderado"),CONCATENATE("R5C",'Mapa final'!#REF!),"")</f>
        <v>#REF!</v>
      </c>
      <c r="S160" s="104" t="e">
        <f>IF(AND('Mapa final'!#REF!="Baja",'Mapa final'!#REF!="Mayor"),CONCATENATE("R5C",'Mapa final'!#REF!),"")</f>
        <v>#REF!</v>
      </c>
      <c r="T160" s="42" t="e">
        <f>IF(AND('Mapa final'!#REF!="Baja",'Mapa final'!#REF!="Mayor"),CONCATENATE("R5C",'Mapa final'!#REF!),"")</f>
        <v>#REF!</v>
      </c>
      <c r="U160" s="105" t="e">
        <f>IF(AND('Mapa final'!#REF!="Baja",'Mapa final'!#REF!="Mayor"),CONCATENATE("R5C",'Mapa final'!#REF!),"")</f>
        <v>#REF!</v>
      </c>
      <c r="V160" s="43" t="e">
        <f>IF(AND('Mapa final'!#REF!="Baja",'Mapa final'!#REF!="Catastrófico"),CONCATENATE("R5C",'Mapa final'!#REF!),"")</f>
        <v>#REF!</v>
      </c>
      <c r="W160" s="44" t="e">
        <f>IF(AND('Mapa final'!#REF!="Baja",'Mapa final'!#REF!="Catastrófico"),CONCATENATE("R5C",'Mapa final'!#REF!),"")</f>
        <v>#REF!</v>
      </c>
      <c r="X160" s="99" t="e">
        <f>IF(AND('Mapa final'!#REF!="Baja",'Mapa final'!#REF!="Catastrófico"),CONCATENATE("R5C",'Mapa final'!#REF!),"")</f>
        <v>#REF!</v>
      </c>
      <c r="Y160" s="56"/>
      <c r="Z160" s="291"/>
      <c r="AA160" s="292"/>
      <c r="AB160" s="292"/>
      <c r="AC160" s="292"/>
      <c r="AD160" s="292"/>
      <c r="AE160" s="293"/>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row>
    <row r="161" spans="1:61" ht="15" customHeight="1" x14ac:dyDescent="0.25">
      <c r="A161" s="56"/>
      <c r="B161" s="286"/>
      <c r="C161" s="286"/>
      <c r="D161" s="287"/>
      <c r="E161" s="274"/>
      <c r="F161" s="275"/>
      <c r="G161" s="275"/>
      <c r="H161" s="275"/>
      <c r="I161" s="275"/>
      <c r="J161" s="114" t="str">
        <f ca="1">IF(AND('Mapa final'!$AB$16="Baja",'Mapa final'!$AD$16="Leve"),CONCATENATE("R6C",'Mapa final'!$R$16),"")</f>
        <v/>
      </c>
      <c r="K161" s="54" t="str">
        <f>IF(AND('Mapa final'!$AB$17="Baja",'Mapa final'!$AD$17="Leve"),CONCATENATE("R6C",'Mapa final'!$R$17),"")</f>
        <v/>
      </c>
      <c r="L161" s="115" t="str">
        <f>IF(AND('Mapa final'!$AB$18="Baja",'Mapa final'!$AD$18="Leve"),CONCATENATE("R6C",'Mapa final'!$R$18),"")</f>
        <v/>
      </c>
      <c r="M161" s="49" t="str">
        <f ca="1">IF(AND('Mapa final'!$AB$16="Baja",'Mapa final'!$AD$16="Menor"),CONCATENATE("R6C",'Mapa final'!$R$16),"")</f>
        <v/>
      </c>
      <c r="N161" s="50" t="str">
        <f>IF(AND('Mapa final'!$AB$17="Baja",'Mapa final'!$AD$17="Menor"),CONCATENATE("R6C",'Mapa final'!$R$17),"")</f>
        <v/>
      </c>
      <c r="O161" s="110" t="str">
        <f>IF(AND('Mapa final'!$AB$18="Baja",'Mapa final'!$AD$18="Menor"),CONCATENATE("R6C",'Mapa final'!$R$18),"")</f>
        <v/>
      </c>
      <c r="P161" s="49" t="str">
        <f ca="1">IF(AND('Mapa final'!$AB$16="Baja",'Mapa final'!$AD$16="Moderado"),CONCATENATE("R6C",'Mapa final'!$R$16),"")</f>
        <v/>
      </c>
      <c r="Q161" s="50" t="str">
        <f>IF(AND('Mapa final'!$AB$17="Baja",'Mapa final'!$AD$17="Moderado"),CONCATENATE("R6C",'Mapa final'!$R$17),"")</f>
        <v/>
      </c>
      <c r="R161" s="110" t="str">
        <f>IF(AND('Mapa final'!$AB$18="Baja",'Mapa final'!$AD$18="Moderado"),CONCATENATE("R6C",'Mapa final'!$R$18),"")</f>
        <v/>
      </c>
      <c r="S161" s="104" t="str">
        <f ca="1">IF(AND('Mapa final'!$AB$16="Baja",'Mapa final'!$AD$16="Mayor"),CONCATENATE("R6C",'Mapa final'!$R$16),"")</f>
        <v/>
      </c>
      <c r="T161" s="42" t="str">
        <f>IF(AND('Mapa final'!$AB$17="Baja",'Mapa final'!$AD$17="Mayor"),CONCATENATE("R6C",'Mapa final'!$R$17),"")</f>
        <v/>
      </c>
      <c r="U161" s="105" t="str">
        <f>IF(AND('Mapa final'!$AB$18="Baja",'Mapa final'!$AD$18="Mayor"),CONCATENATE("R6C",'Mapa final'!$R$18),"")</f>
        <v/>
      </c>
      <c r="V161" s="43" t="str">
        <f ca="1">IF(AND('Mapa final'!$AB$16="Baja",'Mapa final'!$AD$16="Catastrófico"),CONCATENATE("R6C",'Mapa final'!$R$16),"")</f>
        <v/>
      </c>
      <c r="W161" s="44" t="str">
        <f>IF(AND('Mapa final'!$AB$17="Baja",'Mapa final'!$AD$17="Catastrófico"),CONCATENATE("R6C",'Mapa final'!$R$17),"")</f>
        <v/>
      </c>
      <c r="X161" s="99" t="str">
        <f>IF(AND('Mapa final'!$AB$18="Baja",'Mapa final'!$AD$18="Catastrófico"),CONCATENATE("R6C",'Mapa final'!$R$18),"")</f>
        <v/>
      </c>
      <c r="Y161" s="56"/>
      <c r="Z161" s="291"/>
      <c r="AA161" s="292"/>
      <c r="AB161" s="292"/>
      <c r="AC161" s="292"/>
      <c r="AD161" s="292"/>
      <c r="AE161" s="293"/>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row>
    <row r="162" spans="1:61" ht="15" customHeight="1" x14ac:dyDescent="0.25">
      <c r="A162" s="56"/>
      <c r="B162" s="286"/>
      <c r="C162" s="286"/>
      <c r="D162" s="287"/>
      <c r="E162" s="274"/>
      <c r="F162" s="275"/>
      <c r="G162" s="275"/>
      <c r="H162" s="275"/>
      <c r="I162" s="275"/>
      <c r="J162" s="114" t="str">
        <f ca="1">IF(AND('Mapa final'!$AB$19="Baja",'Mapa final'!$AD$19="Leve"),CONCATENATE("R7C",'Mapa final'!$R$19),"")</f>
        <v/>
      </c>
      <c r="K162" s="54" t="str">
        <f>IF(AND('Mapa final'!$AB$20="Baja",'Mapa final'!$AD$20="Leve"),CONCATENATE("R7C",'Mapa final'!$R$20),"")</f>
        <v/>
      </c>
      <c r="L162" s="115" t="str">
        <f>IF(AND('Mapa final'!$AB$21="Baja",'Mapa final'!$AD$21="Leve"),CONCATENATE("R7C",'Mapa final'!$R$21),"")</f>
        <v/>
      </c>
      <c r="M162" s="49" t="str">
        <f ca="1">IF(AND('Mapa final'!$AB$19="Baja",'Mapa final'!$AD$19="Menor"),CONCATENATE("R7C",'Mapa final'!$R$19),"")</f>
        <v/>
      </c>
      <c r="N162" s="50" t="str">
        <f>IF(AND('Mapa final'!$AB$20="Baja",'Mapa final'!$AD$20="Menor"),CONCATENATE("R7C",'Mapa final'!$R$20),"")</f>
        <v/>
      </c>
      <c r="O162" s="110" t="str">
        <f>IF(AND('Mapa final'!$AB$21="Baja",'Mapa final'!$AD$21="Menor"),CONCATENATE("R7C",'Mapa final'!$R$21),"")</f>
        <v/>
      </c>
      <c r="P162" s="49" t="str">
        <f ca="1">IF(AND('Mapa final'!$AB$19="Baja",'Mapa final'!$AD$19="Moderado"),CONCATENATE("R7C",'Mapa final'!$R$19),"")</f>
        <v/>
      </c>
      <c r="Q162" s="50" t="str">
        <f>IF(AND('Mapa final'!$AB$20="Baja",'Mapa final'!$AD$20="Moderado"),CONCATENATE("R7C",'Mapa final'!$R$20),"")</f>
        <v/>
      </c>
      <c r="R162" s="110" t="str">
        <f>IF(AND('Mapa final'!$AB$21="Baja",'Mapa final'!$AD$21="Moderado"),CONCATENATE("R7C",'Mapa final'!$R$21),"")</f>
        <v/>
      </c>
      <c r="S162" s="104" t="str">
        <f ca="1">IF(AND('Mapa final'!$AB$19="Baja",'Mapa final'!$AD$19="Mayor"),CONCATENATE("R7C",'Mapa final'!$R$19),"")</f>
        <v/>
      </c>
      <c r="T162" s="42" t="str">
        <f>IF(AND('Mapa final'!$AB$20="Baja",'Mapa final'!$AD$20="Mayor"),CONCATENATE("R7C",'Mapa final'!$R$20),"")</f>
        <v/>
      </c>
      <c r="U162" s="105" t="str">
        <f>IF(AND('Mapa final'!$AB$21="Baja",'Mapa final'!$AD$21="Mayor"),CONCATENATE("R7C",'Mapa final'!$R$21),"")</f>
        <v/>
      </c>
      <c r="V162" s="43" t="str">
        <f ca="1">IF(AND('Mapa final'!$AB$19="Baja",'Mapa final'!$AD$19="Catastrófico"),CONCATENATE("R7C",'Mapa final'!$R$19),"")</f>
        <v/>
      </c>
      <c r="W162" s="44" t="str">
        <f>IF(AND('Mapa final'!$AB$20="Baja",'Mapa final'!$AD$20="Catastrófico"),CONCATENATE("R7C",'Mapa final'!$R$20),"")</f>
        <v/>
      </c>
      <c r="X162" s="99" t="str">
        <f>IF(AND('Mapa final'!$AB$21="Baja",'Mapa final'!$AD$21="Catastrófico"),CONCATENATE("R7C",'Mapa final'!$R$21),"")</f>
        <v/>
      </c>
      <c r="Y162" s="56"/>
      <c r="Z162" s="291"/>
      <c r="AA162" s="292"/>
      <c r="AB162" s="292"/>
      <c r="AC162" s="292"/>
      <c r="AD162" s="292"/>
      <c r="AE162" s="293"/>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row>
    <row r="163" spans="1:61" ht="15" customHeight="1" x14ac:dyDescent="0.25">
      <c r="A163" s="56"/>
      <c r="B163" s="286"/>
      <c r="C163" s="286"/>
      <c r="D163" s="287"/>
      <c r="E163" s="274"/>
      <c r="F163" s="275"/>
      <c r="G163" s="275"/>
      <c r="H163" s="275"/>
      <c r="I163" s="275"/>
      <c r="J163" s="114" t="str">
        <f ca="1">IF(AND('Mapa final'!$AB$22="Baja",'Mapa final'!$AD$22="Leve"),CONCATENATE("R8C",'Mapa final'!$R$22),"")</f>
        <v/>
      </c>
      <c r="K163" s="54" t="str">
        <f>IF(AND('Mapa final'!$AB$23="Baja",'Mapa final'!$AD$23="Leve"),CONCATENATE("R8C",'Mapa final'!$R$23),"")</f>
        <v/>
      </c>
      <c r="L163" s="115" t="str">
        <f>IF(AND('Mapa final'!$AB$24="Baja",'Mapa final'!$AD$24="Leve"),CONCATENATE("R8C",'Mapa final'!$R$24),"")</f>
        <v/>
      </c>
      <c r="M163" s="49" t="str">
        <f ca="1">IF(AND('Mapa final'!$AB$22="Baja",'Mapa final'!$AD$22="Menor"),CONCATENATE("R8C",'Mapa final'!$R$22),"")</f>
        <v/>
      </c>
      <c r="N163" s="50" t="str">
        <f>IF(AND('Mapa final'!$AB$23="Baja",'Mapa final'!$AD$23="Menor"),CONCATENATE("R8C",'Mapa final'!$R$23),"")</f>
        <v/>
      </c>
      <c r="O163" s="110" t="str">
        <f>IF(AND('Mapa final'!$AB$24="Baja",'Mapa final'!$AD$24="Menor"),CONCATENATE("R8C",'Mapa final'!$R$24),"")</f>
        <v/>
      </c>
      <c r="P163" s="49" t="str">
        <f ca="1">IF(AND('Mapa final'!$AB$22="Baja",'Mapa final'!$AD$22="Moderado"),CONCATENATE("R8C",'Mapa final'!$R$22),"")</f>
        <v/>
      </c>
      <c r="Q163" s="50" t="str">
        <f>IF(AND('Mapa final'!$AB$23="Baja",'Mapa final'!$AD$23="Moderado"),CONCATENATE("R8C",'Mapa final'!$R$23),"")</f>
        <v/>
      </c>
      <c r="R163" s="110" t="str">
        <f>IF(AND('Mapa final'!$AB$24="Baja",'Mapa final'!$AD$24="Moderado"),CONCATENATE("R8C",'Mapa final'!$R$24),"")</f>
        <v/>
      </c>
      <c r="S163" s="104" t="str">
        <f ca="1">IF(AND('Mapa final'!$AB$22="Baja",'Mapa final'!$AD$22="Mayor"),CONCATENATE("R8C",'Mapa final'!$R$22),"")</f>
        <v/>
      </c>
      <c r="T163" s="42" t="str">
        <f>IF(AND('Mapa final'!$AB$23="Baja",'Mapa final'!$AD$23="Mayor"),CONCATENATE("R8C",'Mapa final'!$R$23),"")</f>
        <v/>
      </c>
      <c r="U163" s="105" t="str">
        <f>IF(AND('Mapa final'!$AB$24="Baja",'Mapa final'!$AD$24="Mayor"),CONCATENATE("R8C",'Mapa final'!$R$24),"")</f>
        <v/>
      </c>
      <c r="V163" s="43" t="str">
        <f ca="1">IF(AND('Mapa final'!$AB$22="Baja",'Mapa final'!$AD$22="Catastrófico"),CONCATENATE("R8C",'Mapa final'!$R$22),"")</f>
        <v/>
      </c>
      <c r="W163" s="44" t="str">
        <f>IF(AND('Mapa final'!$AB$23="Baja",'Mapa final'!$AD$23="Catastrófico"),CONCATENATE("R8C",'Mapa final'!$R$23),"")</f>
        <v/>
      </c>
      <c r="X163" s="99" t="str">
        <f>IF(AND('Mapa final'!$AB$24="Baja",'Mapa final'!$AD$24="Catastrófico"),CONCATENATE("R8C",'Mapa final'!$R$24),"")</f>
        <v/>
      </c>
      <c r="Y163" s="56"/>
      <c r="Z163" s="291"/>
      <c r="AA163" s="292"/>
      <c r="AB163" s="292"/>
      <c r="AC163" s="292"/>
      <c r="AD163" s="292"/>
      <c r="AE163" s="293"/>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row>
    <row r="164" spans="1:61" ht="15" customHeight="1" x14ac:dyDescent="0.25">
      <c r="A164" s="56"/>
      <c r="B164" s="286"/>
      <c r="C164" s="286"/>
      <c r="D164" s="287"/>
      <c r="E164" s="274"/>
      <c r="F164" s="275"/>
      <c r="G164" s="275"/>
      <c r="H164" s="275"/>
      <c r="I164" s="275"/>
      <c r="J164" s="114" t="str">
        <f ca="1">IF(AND('Mapa final'!$AB$25="Baja",'Mapa final'!$AD$25="Leve"),CONCATENATE("R9C",'Mapa final'!$R$25),"")</f>
        <v/>
      </c>
      <c r="K164" s="54" t="str">
        <f>IF(AND('Mapa final'!$AB$26="Baja",'Mapa final'!$AD$26="Leve"),CONCATENATE("R9C",'Mapa final'!$R$26),"")</f>
        <v/>
      </c>
      <c r="L164" s="115" t="str">
        <f>IF(AND('Mapa final'!$AB$27="Baja",'Mapa final'!$AD$27="Leve"),CONCATENATE("R9C",'Mapa final'!$R$27),"")</f>
        <v/>
      </c>
      <c r="M164" s="49" t="str">
        <f ca="1">IF(AND('Mapa final'!$AB$25="Baja",'Mapa final'!$AD$25="Menor"),CONCATENATE("R9C",'Mapa final'!$R$25),"")</f>
        <v/>
      </c>
      <c r="N164" s="50" t="str">
        <f>IF(AND('Mapa final'!$AB$26="Baja",'Mapa final'!$AD$26="Menor"),CONCATENATE("R9C",'Mapa final'!$R$26),"")</f>
        <v/>
      </c>
      <c r="O164" s="110" t="str">
        <f>IF(AND('Mapa final'!$AB$27="Baja",'Mapa final'!$AD$27="Menor"),CONCATENATE("R9C",'Mapa final'!$R$27),"")</f>
        <v/>
      </c>
      <c r="P164" s="49" t="str">
        <f ca="1">IF(AND('Mapa final'!$AB$25="Baja",'Mapa final'!$AD$25="Moderado"),CONCATENATE("R9C",'Mapa final'!$R$25),"")</f>
        <v/>
      </c>
      <c r="Q164" s="50" t="str">
        <f>IF(AND('Mapa final'!$AB$26="Baja",'Mapa final'!$AD$26="Moderado"),CONCATENATE("R9C",'Mapa final'!$R$26),"")</f>
        <v/>
      </c>
      <c r="R164" s="110" t="str">
        <f>IF(AND('Mapa final'!$AB$27="Baja",'Mapa final'!$AD$27="Moderado"),CONCATENATE("R9C",'Mapa final'!$R$27),"")</f>
        <v/>
      </c>
      <c r="S164" s="104" t="str">
        <f ca="1">IF(AND('Mapa final'!$AB$25="Baja",'Mapa final'!$AD$25="Mayor"),CONCATENATE("R9C",'Mapa final'!$R$25),"")</f>
        <v/>
      </c>
      <c r="T164" s="42" t="str">
        <f>IF(AND('Mapa final'!$AB$26="Baja",'Mapa final'!$AD$26="Mayor"),CONCATENATE("R9C",'Mapa final'!$R$26),"")</f>
        <v>R9C2</v>
      </c>
      <c r="U164" s="105" t="str">
        <f>IF(AND('Mapa final'!$AB$27="Baja",'Mapa final'!$AD$27="Mayor"),CONCATENATE("R9C",'Mapa final'!$R$27),"")</f>
        <v/>
      </c>
      <c r="V164" s="43" t="str">
        <f ca="1">IF(AND('Mapa final'!$AB$25="Baja",'Mapa final'!$AD$25="Catastrófico"),CONCATENATE("R9C",'Mapa final'!$R$25),"")</f>
        <v/>
      </c>
      <c r="W164" s="44" t="str">
        <f>IF(AND('Mapa final'!$AB$26="Baja",'Mapa final'!$AD$26="Catastrófico"),CONCATENATE("R9C",'Mapa final'!$R$26),"")</f>
        <v/>
      </c>
      <c r="X164" s="99" t="str">
        <f>IF(AND('Mapa final'!$AB$27="Baja",'Mapa final'!$AD$27="Catastrófico"),CONCATENATE("R9C",'Mapa final'!$R$27),"")</f>
        <v/>
      </c>
      <c r="Y164" s="56"/>
      <c r="Z164" s="291"/>
      <c r="AA164" s="292"/>
      <c r="AB164" s="292"/>
      <c r="AC164" s="292"/>
      <c r="AD164" s="292"/>
      <c r="AE164" s="293"/>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row>
    <row r="165" spans="1:61" ht="15" customHeight="1" x14ac:dyDescent="0.25">
      <c r="A165" s="56"/>
      <c r="B165" s="286"/>
      <c r="C165" s="286"/>
      <c r="D165" s="287"/>
      <c r="E165" s="274"/>
      <c r="F165" s="275"/>
      <c r="G165" s="275"/>
      <c r="H165" s="275"/>
      <c r="I165" s="275"/>
      <c r="J165" s="114" t="str">
        <f ca="1">IF(AND('Mapa final'!$AB$28="Baja",'Mapa final'!$AD$28="Leve"),CONCATENATE("R10C",'Mapa final'!$R$28),"")</f>
        <v/>
      </c>
      <c r="K165" s="54" t="str">
        <f>IF(AND('Mapa final'!$AB$29="Baja",'Mapa final'!$AD$29="Leve"),CONCATENATE("R10C",'Mapa final'!$R$29),"")</f>
        <v/>
      </c>
      <c r="L165" s="115" t="str">
        <f>IF(AND('Mapa final'!$AB$30="Baja",'Mapa final'!$AD$30="Leve"),CONCATENATE("R10C",'Mapa final'!$R$30),"")</f>
        <v/>
      </c>
      <c r="M165" s="49" t="str">
        <f ca="1">IF(AND('Mapa final'!$AB$28="Baja",'Mapa final'!$AD$28="Menor"),CONCATENATE("R10C",'Mapa final'!$R$28),"")</f>
        <v/>
      </c>
      <c r="N165" s="50" t="str">
        <f>IF(AND('Mapa final'!$AB$29="Baja",'Mapa final'!$AD$29="Menor"),CONCATENATE("R10C",'Mapa final'!$R$29),"")</f>
        <v/>
      </c>
      <c r="O165" s="110" t="str">
        <f>IF(AND('Mapa final'!$AB$30="Baja",'Mapa final'!$AD$30="Menor"),CONCATENATE("R10C",'Mapa final'!$R$30),"")</f>
        <v/>
      </c>
      <c r="P165" s="49" t="str">
        <f ca="1">IF(AND('Mapa final'!$AB$28="Baja",'Mapa final'!$AD$28="Moderado"),CONCATENATE("R10C",'Mapa final'!$R$28),"")</f>
        <v/>
      </c>
      <c r="Q165" s="50" t="str">
        <f>IF(AND('Mapa final'!$AB$29="Baja",'Mapa final'!$AD$29="Moderado"),CONCATENATE("R10C",'Mapa final'!$R$29),"")</f>
        <v>R10C2</v>
      </c>
      <c r="R165" s="110" t="str">
        <f>IF(AND('Mapa final'!$AB$30="Baja",'Mapa final'!$AD$30="Moderado"),CONCATENATE("R10C",'Mapa final'!$R$30),"")</f>
        <v>R10C3</v>
      </c>
      <c r="S165" s="104" t="str">
        <f ca="1">IF(AND('Mapa final'!$AB$28="Baja",'Mapa final'!$AD$28="Mayor"),CONCATENATE("R10C",'Mapa final'!$R$28),"")</f>
        <v/>
      </c>
      <c r="T165" s="42" t="str">
        <f>IF(AND('Mapa final'!$AB$29="Baja",'Mapa final'!$AD$29="Mayor"),CONCATENATE("R10C",'Mapa final'!$R$29),"")</f>
        <v/>
      </c>
      <c r="U165" s="105" t="str">
        <f>IF(AND('Mapa final'!$AB$30="Baja",'Mapa final'!$AD$30="Mayor"),CONCATENATE("R10C",'Mapa final'!$R$30),"")</f>
        <v/>
      </c>
      <c r="V165" s="43" t="str">
        <f ca="1">IF(AND('Mapa final'!$AB$28="Baja",'Mapa final'!$AD$28="Catastrófico"),CONCATENATE("R10C",'Mapa final'!$R$28),"")</f>
        <v/>
      </c>
      <c r="W165" s="44" t="str">
        <f>IF(AND('Mapa final'!$AB$29="Baja",'Mapa final'!$AD$29="Catastrófico"),CONCATENATE("R10C",'Mapa final'!$R$29),"")</f>
        <v/>
      </c>
      <c r="X165" s="99" t="str">
        <f>IF(AND('Mapa final'!$AB$30="Baja",'Mapa final'!$AD$30="Catastrófico"),CONCATENATE("R10C",'Mapa final'!$R$30),"")</f>
        <v/>
      </c>
      <c r="Y165" s="56"/>
      <c r="Z165" s="291"/>
      <c r="AA165" s="292"/>
      <c r="AB165" s="292"/>
      <c r="AC165" s="292"/>
      <c r="AD165" s="292"/>
      <c r="AE165" s="293"/>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row>
    <row r="166" spans="1:61" ht="15" customHeight="1" x14ac:dyDescent="0.25">
      <c r="A166" s="56"/>
      <c r="B166" s="286"/>
      <c r="C166" s="286"/>
      <c r="D166" s="287"/>
      <c r="E166" s="274"/>
      <c r="F166" s="275"/>
      <c r="G166" s="275"/>
      <c r="H166" s="275"/>
      <c r="I166" s="275"/>
      <c r="J166" s="114" t="str">
        <f ca="1">IF(AND('Mapa final'!$AB$31="Baja",'Mapa final'!$AD$31="Leve"),CONCATENATE("R11C",'Mapa final'!$R$31),"")</f>
        <v/>
      </c>
      <c r="K166" s="54" t="str">
        <f>IF(AND('Mapa final'!$AB$32="Baja",'Mapa final'!$AD$32="Leve"),CONCATENATE("R11C",'Mapa final'!$R$32),"")</f>
        <v/>
      </c>
      <c r="L166" s="115" t="str">
        <f>IF(AND('Mapa final'!$AB$33="Baja",'Mapa final'!$AD$33="Leve"),CONCATENATE("R11C",'Mapa final'!$R$33),"")</f>
        <v/>
      </c>
      <c r="M166" s="49" t="str">
        <f ca="1">IF(AND('Mapa final'!$AB$31="Baja",'Mapa final'!$AD$31="Menor"),CONCATENATE("R11C",'Mapa final'!$R$31),"")</f>
        <v/>
      </c>
      <c r="N166" s="50" t="str">
        <f>IF(AND('Mapa final'!$AB$32="Baja",'Mapa final'!$AD$32="Menor"),CONCATENATE("R11C",'Mapa final'!$R$32),"")</f>
        <v/>
      </c>
      <c r="O166" s="110" t="str">
        <f>IF(AND('Mapa final'!$AB$33="Baja",'Mapa final'!$AD$33="Menor"),CONCATENATE("R11C",'Mapa final'!$R$33),"")</f>
        <v/>
      </c>
      <c r="P166" s="49" t="str">
        <f ca="1">IF(AND('Mapa final'!$AB$31="Baja",'Mapa final'!$AD$31="Moderado"),CONCATENATE("R11C",'Mapa final'!$R$31),"")</f>
        <v/>
      </c>
      <c r="Q166" s="50" t="str">
        <f>IF(AND('Mapa final'!$AB$32="Baja",'Mapa final'!$AD$32="Moderado"),CONCATENATE("R11C",'Mapa final'!$R$32),"")</f>
        <v/>
      </c>
      <c r="R166" s="110" t="str">
        <f>IF(AND('Mapa final'!$AB$33="Baja",'Mapa final'!$AD$33="Moderado"),CONCATENATE("R11C",'Mapa final'!$R$33),"")</f>
        <v/>
      </c>
      <c r="S166" s="104" t="str">
        <f ca="1">IF(AND('Mapa final'!$AB$31="Baja",'Mapa final'!$AD$31="Mayor"),CONCATENATE("R11C",'Mapa final'!$R$31),"")</f>
        <v>R11C1</v>
      </c>
      <c r="T166" s="42" t="str">
        <f>IF(AND('Mapa final'!$AB$32="Baja",'Mapa final'!$AD$32="Mayor"),CONCATENATE("R11C",'Mapa final'!$R$32),"")</f>
        <v/>
      </c>
      <c r="U166" s="105" t="str">
        <f>IF(AND('Mapa final'!$AB$33="Baja",'Mapa final'!$AD$33="Mayor"),CONCATENATE("R11C",'Mapa final'!$R$33),"")</f>
        <v/>
      </c>
      <c r="V166" s="43" t="str">
        <f ca="1">IF(AND('Mapa final'!$AB$31="Baja",'Mapa final'!$AD$31="Catastrófico"),CONCATENATE("R11C",'Mapa final'!$R$31),"")</f>
        <v/>
      </c>
      <c r="W166" s="44" t="str">
        <f>IF(AND('Mapa final'!$AB$32="Baja",'Mapa final'!$AD$32="Catastrófico"),CONCATENATE("R11C",'Mapa final'!$R$32),"")</f>
        <v/>
      </c>
      <c r="X166" s="99" t="str">
        <f>IF(AND('Mapa final'!$AB$33="Baja",'Mapa final'!$AD$33="Catastrófico"),CONCATENATE("R11C",'Mapa final'!$R$33),"")</f>
        <v/>
      </c>
      <c r="Y166" s="56"/>
      <c r="Z166" s="291"/>
      <c r="AA166" s="292"/>
      <c r="AB166" s="292"/>
      <c r="AC166" s="292"/>
      <c r="AD166" s="292"/>
      <c r="AE166" s="293"/>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row>
    <row r="167" spans="1:61" ht="15" customHeight="1" x14ac:dyDescent="0.25">
      <c r="A167" s="56"/>
      <c r="B167" s="286"/>
      <c r="C167" s="286"/>
      <c r="D167" s="287"/>
      <c r="E167" s="274"/>
      <c r="F167" s="275"/>
      <c r="G167" s="275"/>
      <c r="H167" s="275"/>
      <c r="I167" s="275"/>
      <c r="J167" s="114" t="str">
        <f ca="1">IF(AND('Mapa final'!$AB$34="Baja",'Mapa final'!$AD$34="Leve"),CONCATENATE("R12C",'Mapa final'!$R$34),"")</f>
        <v/>
      </c>
      <c r="K167" s="54" t="str">
        <f>IF(AND('Mapa final'!$AB$35="Baja",'Mapa final'!$AD$35="Leve"),CONCATENATE("R12C",'Mapa final'!$R$35),"")</f>
        <v/>
      </c>
      <c r="L167" s="115" t="str">
        <f>IF(AND('Mapa final'!$AB$36="Baja",'Mapa final'!$AD$36="Leve"),CONCATENATE("R12C",'Mapa final'!$R$36),"")</f>
        <v/>
      </c>
      <c r="M167" s="49" t="str">
        <f ca="1">IF(AND('Mapa final'!$AB$34="Baja",'Mapa final'!$AD$34="Menor"),CONCATENATE("R12C",'Mapa final'!$R$34),"")</f>
        <v/>
      </c>
      <c r="N167" s="50" t="str">
        <f>IF(AND('Mapa final'!$AB$35="Baja",'Mapa final'!$AD$35="Menor"),CONCATENATE("R12C",'Mapa final'!$R$35),"")</f>
        <v/>
      </c>
      <c r="O167" s="110" t="str">
        <f>IF(AND('Mapa final'!$AB$36="Baja",'Mapa final'!$AD$36="Menor"),CONCATENATE("R12C",'Mapa final'!$R$36),"")</f>
        <v/>
      </c>
      <c r="P167" s="49" t="str">
        <f ca="1">IF(AND('Mapa final'!$AB$34="Baja",'Mapa final'!$AD$34="Moderado"),CONCATENATE("R12C",'Mapa final'!$R$34),"")</f>
        <v>R12C1</v>
      </c>
      <c r="Q167" s="50" t="str">
        <f>IF(AND('Mapa final'!$AB$35="Baja",'Mapa final'!$AD$35="Moderado"),CONCATENATE("R12C",'Mapa final'!$R$35),"")</f>
        <v/>
      </c>
      <c r="R167" s="110" t="str">
        <f>IF(AND('Mapa final'!$AB$36="Baja",'Mapa final'!$AD$36="Moderado"),CONCATENATE("R12C",'Mapa final'!$R$36),"")</f>
        <v/>
      </c>
      <c r="S167" s="104" t="str">
        <f ca="1">IF(AND('Mapa final'!$AB$34="Baja",'Mapa final'!$AD$34="Mayor"),CONCATENATE("R12C",'Mapa final'!$R$34),"")</f>
        <v/>
      </c>
      <c r="T167" s="42" t="str">
        <f>IF(AND('Mapa final'!$AB$35="Baja",'Mapa final'!$AD$35="Mayor"),CONCATENATE("R12C",'Mapa final'!$R$35),"")</f>
        <v/>
      </c>
      <c r="U167" s="105" t="str">
        <f>IF(AND('Mapa final'!$AB$36="Baja",'Mapa final'!$AD$36="Mayor"),CONCATENATE("R12C",'Mapa final'!$R$36),"")</f>
        <v/>
      </c>
      <c r="V167" s="43" t="str">
        <f ca="1">IF(AND('Mapa final'!$AB$34="Baja",'Mapa final'!$AD$34="Catastrófico"),CONCATENATE("R12C",'Mapa final'!$R$34),"")</f>
        <v/>
      </c>
      <c r="W167" s="44" t="str">
        <f>IF(AND('Mapa final'!$AB$35="Baja",'Mapa final'!$AD$35="Catastrófico"),CONCATENATE("R12C",'Mapa final'!$R$35),"")</f>
        <v/>
      </c>
      <c r="X167" s="99" t="str">
        <f>IF(AND('Mapa final'!$AB$36="Baja",'Mapa final'!$AD$36="Catastrófico"),CONCATENATE("R12C",'Mapa final'!$R$36),"")</f>
        <v/>
      </c>
      <c r="Y167" s="56"/>
      <c r="Z167" s="291"/>
      <c r="AA167" s="292"/>
      <c r="AB167" s="292"/>
      <c r="AC167" s="292"/>
      <c r="AD167" s="292"/>
      <c r="AE167" s="293"/>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row>
    <row r="168" spans="1:61" ht="15" customHeight="1" x14ac:dyDescent="0.25">
      <c r="A168" s="56"/>
      <c r="B168" s="286"/>
      <c r="C168" s="286"/>
      <c r="D168" s="287"/>
      <c r="E168" s="274"/>
      <c r="F168" s="275"/>
      <c r="G168" s="275"/>
      <c r="H168" s="275"/>
      <c r="I168" s="275"/>
      <c r="J168" s="114" t="str">
        <f ca="1">IF(AND('Mapa final'!$AB$37="Baja",'Mapa final'!$AD$37="Leve"),CONCATENATE("R13C",'Mapa final'!$R$37),"")</f>
        <v/>
      </c>
      <c r="K168" s="54" t="str">
        <f>IF(AND('Mapa final'!$AB$38="Baja",'Mapa final'!$AD$38="Leve"),CONCATENATE("R13C",'Mapa final'!$R$38),"")</f>
        <v/>
      </c>
      <c r="L168" s="115" t="str">
        <f>IF(AND('Mapa final'!$AB$39="Baja",'Mapa final'!$AD$39="Leve"),CONCATENATE("R13C",'Mapa final'!$R$39),"")</f>
        <v/>
      </c>
      <c r="M168" s="49" t="str">
        <f ca="1">IF(AND('Mapa final'!$AB$37="Baja",'Mapa final'!$AD$37="Menor"),CONCATENATE("R13C",'Mapa final'!$R$37),"")</f>
        <v/>
      </c>
      <c r="N168" s="50" t="str">
        <f>IF(AND('Mapa final'!$AB$38="Baja",'Mapa final'!$AD$38="Menor"),CONCATENATE("R13C",'Mapa final'!$R$38),"")</f>
        <v/>
      </c>
      <c r="O168" s="110" t="str">
        <f>IF(AND('Mapa final'!$AB$39="Baja",'Mapa final'!$AD$39="Menor"),CONCATENATE("R13C",'Mapa final'!$R$39),"")</f>
        <v/>
      </c>
      <c r="P168" s="49" t="str">
        <f ca="1">IF(AND('Mapa final'!$AB$37="Baja",'Mapa final'!$AD$37="Moderado"),CONCATENATE("R13C",'Mapa final'!$R$37),"")</f>
        <v/>
      </c>
      <c r="Q168" s="50" t="str">
        <f>IF(AND('Mapa final'!$AB$38="Baja",'Mapa final'!$AD$38="Moderado"),CONCATENATE("R13C",'Mapa final'!$R$38),"")</f>
        <v/>
      </c>
      <c r="R168" s="110" t="str">
        <f>IF(AND('Mapa final'!$AB$39="Baja",'Mapa final'!$AD$39="Moderado"),CONCATENATE("R13C",'Mapa final'!$R$39),"")</f>
        <v/>
      </c>
      <c r="S168" s="104" t="str">
        <f ca="1">IF(AND('Mapa final'!$AB$37="Baja",'Mapa final'!$AD$37="Mayor"),CONCATENATE("R13C",'Mapa final'!$R$37),"")</f>
        <v/>
      </c>
      <c r="T168" s="42" t="str">
        <f>IF(AND('Mapa final'!$AB$38="Baja",'Mapa final'!$AD$38="Mayor"),CONCATENATE("R13C",'Mapa final'!$R$38),"")</f>
        <v/>
      </c>
      <c r="U168" s="105" t="str">
        <f>IF(AND('Mapa final'!$AB$39="Baja",'Mapa final'!$AD$39="Mayor"),CONCATENATE("R13C",'Mapa final'!$R$39),"")</f>
        <v/>
      </c>
      <c r="V168" s="43" t="str">
        <f ca="1">IF(AND('Mapa final'!$AB$37="Baja",'Mapa final'!$AD$37="Catastrófico"),CONCATENATE("R13C",'Mapa final'!$R$37),"")</f>
        <v/>
      </c>
      <c r="W168" s="44" t="str">
        <f>IF(AND('Mapa final'!$AB$38="Baja",'Mapa final'!$AD$38="Catastrófico"),CONCATENATE("R13C",'Mapa final'!$R$38),"")</f>
        <v/>
      </c>
      <c r="X168" s="99" t="str">
        <f>IF(AND('Mapa final'!$AB$39="Baja",'Mapa final'!$AD$39="Catastrófico"),CONCATENATE("R13C",'Mapa final'!$R$39),"")</f>
        <v/>
      </c>
      <c r="Y168" s="56"/>
      <c r="Z168" s="291"/>
      <c r="AA168" s="292"/>
      <c r="AB168" s="292"/>
      <c r="AC168" s="292"/>
      <c r="AD168" s="292"/>
      <c r="AE168" s="293"/>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row>
    <row r="169" spans="1:61" ht="15" customHeight="1" x14ac:dyDescent="0.25">
      <c r="A169" s="56"/>
      <c r="B169" s="286"/>
      <c r="C169" s="286"/>
      <c r="D169" s="287"/>
      <c r="E169" s="274"/>
      <c r="F169" s="275"/>
      <c r="G169" s="275"/>
      <c r="H169" s="275"/>
      <c r="I169" s="275"/>
      <c r="J169" s="114" t="str">
        <f ca="1">IF(AND('Mapa final'!$AB$40="Baja",'Mapa final'!$AD$40="Leve"),CONCATENATE("R14C",'Mapa final'!$R$40),"")</f>
        <v/>
      </c>
      <c r="K169" s="54" t="str">
        <f>IF(AND('Mapa final'!$AB$41="Baja",'Mapa final'!$AD$41="Leve"),CONCATENATE("R14C",'Mapa final'!$R$41),"")</f>
        <v/>
      </c>
      <c r="L169" s="115" t="str">
        <f>IF(AND('Mapa final'!$AB$42="Baja",'Mapa final'!$AD$42="Leve"),CONCATENATE("R14C",'Mapa final'!$R$42),"")</f>
        <v/>
      </c>
      <c r="M169" s="49" t="str">
        <f ca="1">IF(AND('Mapa final'!$AB$40="Baja",'Mapa final'!$AD$40="Menor"),CONCATENATE("R14C",'Mapa final'!$R$40),"")</f>
        <v/>
      </c>
      <c r="N169" s="50" t="str">
        <f>IF(AND('Mapa final'!$AB$41="Baja",'Mapa final'!$AD$41="Menor"),CONCATENATE("R14C",'Mapa final'!$R$41),"")</f>
        <v/>
      </c>
      <c r="O169" s="110" t="str">
        <f>IF(AND('Mapa final'!$AB$42="Baja",'Mapa final'!$AD$42="Menor"),CONCATENATE("R14C",'Mapa final'!$R$42),"")</f>
        <v/>
      </c>
      <c r="P169" s="49" t="str">
        <f ca="1">IF(AND('Mapa final'!$AB$40="Baja",'Mapa final'!$AD$40="Moderado"),CONCATENATE("R14C",'Mapa final'!$R$40),"")</f>
        <v>R14C1</v>
      </c>
      <c r="Q169" s="50" t="str">
        <f>IF(AND('Mapa final'!$AB$41="Baja",'Mapa final'!$AD$41="Moderado"),CONCATENATE("R14C",'Mapa final'!$R$41),"")</f>
        <v/>
      </c>
      <c r="R169" s="110" t="str">
        <f>IF(AND('Mapa final'!$AB$42="Baja",'Mapa final'!$AD$42="Moderado"),CONCATENATE("R14C",'Mapa final'!$R$42),"")</f>
        <v/>
      </c>
      <c r="S169" s="104" t="str">
        <f ca="1">IF(AND('Mapa final'!$AB$40="Baja",'Mapa final'!$AD$40="Mayor"),CONCATENATE("R14C",'Mapa final'!$R$40),"")</f>
        <v/>
      </c>
      <c r="T169" s="42" t="str">
        <f>IF(AND('Mapa final'!$AB$41="Baja",'Mapa final'!$AD$41="Mayor"),CONCATENATE("R14C",'Mapa final'!$R$41),"")</f>
        <v/>
      </c>
      <c r="U169" s="105" t="str">
        <f>IF(AND('Mapa final'!$AB$42="Baja",'Mapa final'!$AD$42="Mayor"),CONCATENATE("R14C",'Mapa final'!$R$42),"")</f>
        <v/>
      </c>
      <c r="V169" s="43" t="str">
        <f ca="1">IF(AND('Mapa final'!$AB$40="Baja",'Mapa final'!$AD$40="Catastrófico"),CONCATENATE("R14C",'Mapa final'!$R$40),"")</f>
        <v/>
      </c>
      <c r="W169" s="44" t="str">
        <f>IF(AND('Mapa final'!$AB$41="Baja",'Mapa final'!$AD$41="Catastrófico"),CONCATENATE("R14C",'Mapa final'!$R$41),"")</f>
        <v/>
      </c>
      <c r="X169" s="99" t="str">
        <f>IF(AND('Mapa final'!$AB$42="Baja",'Mapa final'!$AD$42="Catastrófico"),CONCATENATE("R14C",'Mapa final'!$R$42),"")</f>
        <v/>
      </c>
      <c r="Y169" s="56"/>
      <c r="Z169" s="291"/>
      <c r="AA169" s="292"/>
      <c r="AB169" s="292"/>
      <c r="AC169" s="292"/>
      <c r="AD169" s="292"/>
      <c r="AE169" s="293"/>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row>
    <row r="170" spans="1:61" ht="15" customHeight="1" x14ac:dyDescent="0.25">
      <c r="A170" s="56"/>
      <c r="B170" s="286"/>
      <c r="C170" s="286"/>
      <c r="D170" s="287"/>
      <c r="E170" s="274"/>
      <c r="F170" s="275"/>
      <c r="G170" s="275"/>
      <c r="H170" s="275"/>
      <c r="I170" s="275"/>
      <c r="J170" s="114" t="str">
        <f ca="1">IF(AND('Mapa final'!$AB$43="Baja",'Mapa final'!$AD$43="Leve"),CONCATENATE("R15C",'Mapa final'!$R$43),"")</f>
        <v/>
      </c>
      <c r="K170" s="54" t="str">
        <f>IF(AND('Mapa final'!$AB$44="Baja",'Mapa final'!$AD$44="Leve"),CONCATENATE("R15C",'Mapa final'!$R$44),"")</f>
        <v/>
      </c>
      <c r="L170" s="115" t="str">
        <f>IF(AND('Mapa final'!$AB$45="Baja",'Mapa final'!$AD$45="Leve"),CONCATENATE("R15C",'Mapa final'!$R$45),"")</f>
        <v/>
      </c>
      <c r="M170" s="49" t="str">
        <f ca="1">IF(AND('Mapa final'!$AB$43="Baja",'Mapa final'!$AD$43="Menor"),CONCATENATE("R15C",'Mapa final'!$R$43),"")</f>
        <v/>
      </c>
      <c r="N170" s="50" t="str">
        <f>IF(AND('Mapa final'!$AB$44="Baja",'Mapa final'!$AD$44="Menor"),CONCATENATE("R15C",'Mapa final'!$R$44),"")</f>
        <v/>
      </c>
      <c r="O170" s="110" t="str">
        <f>IF(AND('Mapa final'!$AB$45="Baja",'Mapa final'!$AD$45="Menor"),CONCATENATE("R15C",'Mapa final'!$R$45),"")</f>
        <v/>
      </c>
      <c r="P170" s="49" t="str">
        <f ca="1">IF(AND('Mapa final'!$AB$43="Baja",'Mapa final'!$AD$43="Moderado"),CONCATENATE("R15C",'Mapa final'!$R$43),"")</f>
        <v/>
      </c>
      <c r="Q170" s="50" t="str">
        <f>IF(AND('Mapa final'!$AB$44="Baja",'Mapa final'!$AD$44="Moderado"),CONCATENATE("R15C",'Mapa final'!$R$44),"")</f>
        <v/>
      </c>
      <c r="R170" s="110" t="str">
        <f>IF(AND('Mapa final'!$AB$45="Baja",'Mapa final'!$AD$45="Moderado"),CONCATENATE("R15C",'Mapa final'!$R$45),"")</f>
        <v/>
      </c>
      <c r="S170" s="104" t="str">
        <f ca="1">IF(AND('Mapa final'!$AB$43="Baja",'Mapa final'!$AD$43="Mayor"),CONCATENATE("R15C",'Mapa final'!$R$43),"")</f>
        <v/>
      </c>
      <c r="T170" s="42" t="str">
        <f>IF(AND('Mapa final'!$AB$44="Baja",'Mapa final'!$AD$44="Mayor"),CONCATENATE("R15C",'Mapa final'!$R$44),"")</f>
        <v/>
      </c>
      <c r="U170" s="105" t="str">
        <f>IF(AND('Mapa final'!$AB$45="Baja",'Mapa final'!$AD$45="Mayor"),CONCATENATE("R15C",'Mapa final'!$R$45),"")</f>
        <v/>
      </c>
      <c r="V170" s="43" t="str">
        <f ca="1">IF(AND('Mapa final'!$AB$43="Baja",'Mapa final'!$AD$43="Catastrófico"),CONCATENATE("R15C",'Mapa final'!$R$43),"")</f>
        <v/>
      </c>
      <c r="W170" s="44" t="str">
        <f>IF(AND('Mapa final'!$AB$44="Baja",'Mapa final'!$AD$44="Catastrófico"),CONCATENATE("R15C",'Mapa final'!$R$44),"")</f>
        <v/>
      </c>
      <c r="X170" s="99" t="str">
        <f>IF(AND('Mapa final'!$AB$45="Baja",'Mapa final'!$AD$45="Catastrófico"),CONCATENATE("R15C",'Mapa final'!$R$45),"")</f>
        <v/>
      </c>
      <c r="Y170" s="56"/>
      <c r="Z170" s="291"/>
      <c r="AA170" s="292"/>
      <c r="AB170" s="292"/>
      <c r="AC170" s="292"/>
      <c r="AD170" s="292"/>
      <c r="AE170" s="293"/>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row>
    <row r="171" spans="1:61" ht="15" customHeight="1" x14ac:dyDescent="0.25">
      <c r="A171" s="56"/>
      <c r="B171" s="286"/>
      <c r="C171" s="286"/>
      <c r="D171" s="287"/>
      <c r="E171" s="274"/>
      <c r="F171" s="275"/>
      <c r="G171" s="275"/>
      <c r="H171" s="275"/>
      <c r="I171" s="275"/>
      <c r="J171" s="114" t="str">
        <f ca="1">IF(AND('Mapa final'!$AB$46="Baja",'Mapa final'!$AD$46="Leve"),CONCATENATE("R16C",'Mapa final'!$R$46),"")</f>
        <v/>
      </c>
      <c r="K171" s="54" t="str">
        <f>IF(AND('Mapa final'!$AB$47="Baja",'Mapa final'!$AD$47="Leve"),CONCATENATE("R16C",'Mapa final'!$R$47),"")</f>
        <v/>
      </c>
      <c r="L171" s="115" t="str">
        <f>IF(AND('Mapa final'!$AB$48="Baja",'Mapa final'!$AD$48="Leve"),CONCATENATE("R16C",'Mapa final'!$R$48),"")</f>
        <v/>
      </c>
      <c r="M171" s="49" t="str">
        <f ca="1">IF(AND('Mapa final'!$AB$46="Baja",'Mapa final'!$AD$46="Menor"),CONCATENATE("R16C",'Mapa final'!$R$46),"")</f>
        <v/>
      </c>
      <c r="N171" s="50" t="str">
        <f>IF(AND('Mapa final'!$AB$47="Baja",'Mapa final'!$AD$47="Menor"),CONCATENATE("R16C",'Mapa final'!$R$47),"")</f>
        <v/>
      </c>
      <c r="O171" s="110" t="str">
        <f>IF(AND('Mapa final'!$AB$48="Baja",'Mapa final'!$AD$48="Menor"),CONCATENATE("R16C",'Mapa final'!$R$48),"")</f>
        <v/>
      </c>
      <c r="P171" s="49" t="str">
        <f ca="1">IF(AND('Mapa final'!$AB$46="Baja",'Mapa final'!$AD$46="Moderado"),CONCATENATE("R16C",'Mapa final'!$R$46),"")</f>
        <v>R16C1</v>
      </c>
      <c r="Q171" s="50" t="str">
        <f>IF(AND('Mapa final'!$AB$47="Baja",'Mapa final'!$AD$47="Moderado"),CONCATENATE("R16C",'Mapa final'!$R$47),"")</f>
        <v/>
      </c>
      <c r="R171" s="110" t="str">
        <f>IF(AND('Mapa final'!$AB$48="Baja",'Mapa final'!$AD$48="Moderado"),CONCATENATE("R16C",'Mapa final'!$R$48),"")</f>
        <v/>
      </c>
      <c r="S171" s="104" t="str">
        <f ca="1">IF(AND('Mapa final'!$AB$46="Baja",'Mapa final'!$AD$46="Mayor"),CONCATENATE("R16C",'Mapa final'!$R$46),"")</f>
        <v/>
      </c>
      <c r="T171" s="42" t="str">
        <f>IF(AND('Mapa final'!$AB$47="Baja",'Mapa final'!$AD$47="Mayor"),CONCATENATE("R16C",'Mapa final'!$R$47),"")</f>
        <v/>
      </c>
      <c r="U171" s="105" t="str">
        <f>IF(AND('Mapa final'!$AB$48="Baja",'Mapa final'!$AD$48="Mayor"),CONCATENATE("R16C",'Mapa final'!$R$48),"")</f>
        <v/>
      </c>
      <c r="V171" s="43" t="str">
        <f ca="1">IF(AND('Mapa final'!$AB$46="Baja",'Mapa final'!$AD$46="Catastrófico"),CONCATENATE("R16C",'Mapa final'!$R$46),"")</f>
        <v/>
      </c>
      <c r="W171" s="44" t="str">
        <f>IF(AND('Mapa final'!$AB$47="Baja",'Mapa final'!$AD$47="Catastrófico"),CONCATENATE("R16C",'Mapa final'!$R$47),"")</f>
        <v/>
      </c>
      <c r="X171" s="99" t="str">
        <f>IF(AND('Mapa final'!$AB$48="Baja",'Mapa final'!$AD$48="Catastrófico"),CONCATENATE("R16C",'Mapa final'!$R$48),"")</f>
        <v/>
      </c>
      <c r="Y171" s="56"/>
      <c r="Z171" s="291"/>
      <c r="AA171" s="292"/>
      <c r="AB171" s="292"/>
      <c r="AC171" s="292"/>
      <c r="AD171" s="292"/>
      <c r="AE171" s="293"/>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row>
    <row r="172" spans="1:61" ht="15" customHeight="1" x14ac:dyDescent="0.25">
      <c r="A172" s="56"/>
      <c r="B172" s="286"/>
      <c r="C172" s="286"/>
      <c r="D172" s="287"/>
      <c r="E172" s="274"/>
      <c r="F172" s="275"/>
      <c r="G172" s="275"/>
      <c r="H172" s="275"/>
      <c r="I172" s="275"/>
      <c r="J172" s="114" t="str">
        <f ca="1">IF(AND('Mapa final'!$AB$49="Baja",'Mapa final'!$AD$49="Leve"),CONCATENATE("R17C",'Mapa final'!$R$49),"")</f>
        <v/>
      </c>
      <c r="K172" s="54" t="str">
        <f>IF(AND('Mapa final'!$AB$50="Baja",'Mapa final'!$AD$50="Leve"),CONCATENATE("R17C",'Mapa final'!$R$50),"")</f>
        <v/>
      </c>
      <c r="L172" s="115" t="str">
        <f>IF(AND('Mapa final'!$AB$51="Baja",'Mapa final'!$AD$51="Leve"),CONCATENATE("R17C",'Mapa final'!$R$51),"")</f>
        <v/>
      </c>
      <c r="M172" s="49" t="str">
        <f ca="1">IF(AND('Mapa final'!$AB$49="Baja",'Mapa final'!$AD$49="Menor"),CONCATENATE("R17C",'Mapa final'!$R$49),"")</f>
        <v/>
      </c>
      <c r="N172" s="50" t="str">
        <f>IF(AND('Mapa final'!$AB$50="Baja",'Mapa final'!$AD$50="Menor"),CONCATENATE("R17C",'Mapa final'!$R$50),"")</f>
        <v/>
      </c>
      <c r="O172" s="110" t="str">
        <f>IF(AND('Mapa final'!$AB$51="Baja",'Mapa final'!$AD$51="Menor"),CONCATENATE("R17C",'Mapa final'!$R$51),"")</f>
        <v/>
      </c>
      <c r="P172" s="49" t="str">
        <f ca="1">IF(AND('Mapa final'!$AB$49="Baja",'Mapa final'!$AD$49="Moderado"),CONCATENATE("R17C",'Mapa final'!$R$49),"")</f>
        <v/>
      </c>
      <c r="Q172" s="50" t="str">
        <f>IF(AND('Mapa final'!$AB$50="Baja",'Mapa final'!$AD$50="Moderado"),CONCATENATE("R17C",'Mapa final'!$R$50),"")</f>
        <v/>
      </c>
      <c r="R172" s="110" t="str">
        <f>IF(AND('Mapa final'!$AB$51="Baja",'Mapa final'!$AD$51="Moderado"),CONCATENATE("R17C",'Mapa final'!$R$51),"")</f>
        <v/>
      </c>
      <c r="S172" s="104" t="str">
        <f ca="1">IF(AND('Mapa final'!$AB$49="Baja",'Mapa final'!$AD$49="Mayor"),CONCATENATE("R17C",'Mapa final'!$R$49),"")</f>
        <v/>
      </c>
      <c r="T172" s="42" t="str">
        <f>IF(AND('Mapa final'!$AB$50="Baja",'Mapa final'!$AD$50="Mayor"),CONCATENATE("R17C",'Mapa final'!$R$50),"")</f>
        <v/>
      </c>
      <c r="U172" s="105" t="str">
        <f>IF(AND('Mapa final'!$AB$51="Baja",'Mapa final'!$AD$51="Mayor"),CONCATENATE("R17C",'Mapa final'!$R$51),"")</f>
        <v/>
      </c>
      <c r="V172" s="43" t="str">
        <f ca="1">IF(AND('Mapa final'!$AB$49="Baja",'Mapa final'!$AD$49="Catastrófico"),CONCATENATE("R17C",'Mapa final'!$R$49),"")</f>
        <v/>
      </c>
      <c r="W172" s="44" t="str">
        <f>IF(AND('Mapa final'!$AB$50="Baja",'Mapa final'!$AD$50="Catastrófico"),CONCATENATE("R17C",'Mapa final'!$R$50),"")</f>
        <v/>
      </c>
      <c r="X172" s="99" t="str">
        <f>IF(AND('Mapa final'!$AB$51="Baja",'Mapa final'!$AD$51="Catastrófico"),CONCATENATE("R17C",'Mapa final'!$R$51),"")</f>
        <v/>
      </c>
      <c r="Y172" s="56"/>
      <c r="Z172" s="291"/>
      <c r="AA172" s="292"/>
      <c r="AB172" s="292"/>
      <c r="AC172" s="292"/>
      <c r="AD172" s="292"/>
      <c r="AE172" s="293"/>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row>
    <row r="173" spans="1:61" ht="15" customHeight="1" x14ac:dyDescent="0.25">
      <c r="A173" s="56"/>
      <c r="B173" s="286"/>
      <c r="C173" s="286"/>
      <c r="D173" s="287"/>
      <c r="E173" s="274"/>
      <c r="F173" s="275"/>
      <c r="G173" s="275"/>
      <c r="H173" s="275"/>
      <c r="I173" s="275"/>
      <c r="J173" s="114" t="str">
        <f ca="1">IF(AND('Mapa final'!$AB$52="Baja",'Mapa final'!$AD$52="Leve"),CONCATENATE("R18C",'Mapa final'!$R$52),"")</f>
        <v/>
      </c>
      <c r="K173" s="54" t="str">
        <f>IF(AND('Mapa final'!$AB$53="Baja",'Mapa final'!$AD$53="Leve"),CONCATENATE("R18C",'Mapa final'!$R$53),"")</f>
        <v/>
      </c>
      <c r="L173" s="115" t="str">
        <f>IF(AND('Mapa final'!$AB$54="Baja",'Mapa final'!$AD$54="Leve"),CONCATENATE("R18C",'Mapa final'!$R$54),"")</f>
        <v/>
      </c>
      <c r="M173" s="49" t="str">
        <f ca="1">IF(AND('Mapa final'!$AB$52="Baja",'Mapa final'!$AD$52="Menor"),CONCATENATE("R18C",'Mapa final'!$R$52),"")</f>
        <v/>
      </c>
      <c r="N173" s="50" t="str">
        <f>IF(AND('Mapa final'!$AB$53="Baja",'Mapa final'!$AD$53="Menor"),CONCATENATE("R18C",'Mapa final'!$R$53),"")</f>
        <v/>
      </c>
      <c r="O173" s="110" t="str">
        <f>IF(AND('Mapa final'!$AB$54="Baja",'Mapa final'!$AD$54="Menor"),CONCATENATE("R18C",'Mapa final'!$R$54),"")</f>
        <v/>
      </c>
      <c r="P173" s="49" t="str">
        <f ca="1">IF(AND('Mapa final'!$AB$52="Baja",'Mapa final'!$AD$52="Moderado"),CONCATENATE("R18C",'Mapa final'!$R$52),"")</f>
        <v/>
      </c>
      <c r="Q173" s="50" t="str">
        <f>IF(AND('Mapa final'!$AB$53="Baja",'Mapa final'!$AD$53="Moderado"),CONCATENATE("R18C",'Mapa final'!$R$53),"")</f>
        <v>R18C2</v>
      </c>
      <c r="R173" s="110" t="str">
        <f>IF(AND('Mapa final'!$AB$54="Baja",'Mapa final'!$AD$54="Moderado"),CONCATENATE("R18C",'Mapa final'!$R$54),"")</f>
        <v/>
      </c>
      <c r="S173" s="104" t="str">
        <f ca="1">IF(AND('Mapa final'!$AB$52="Baja",'Mapa final'!$AD$52="Mayor"),CONCATENATE("R18C",'Mapa final'!$R$52),"")</f>
        <v/>
      </c>
      <c r="T173" s="42" t="str">
        <f>IF(AND('Mapa final'!$AB$53="Baja",'Mapa final'!$AD$53="Mayor"),CONCATENATE("R18C",'Mapa final'!$R$53),"")</f>
        <v/>
      </c>
      <c r="U173" s="105" t="str">
        <f>IF(AND('Mapa final'!$AB$54="Baja",'Mapa final'!$AD$54="Mayor"),CONCATENATE("R18C",'Mapa final'!$R$54),"")</f>
        <v/>
      </c>
      <c r="V173" s="43" t="str">
        <f ca="1">IF(AND('Mapa final'!$AB$52="Baja",'Mapa final'!$AD$52="Catastrófico"),CONCATENATE("R18C",'Mapa final'!$R$52),"")</f>
        <v/>
      </c>
      <c r="W173" s="44" t="str">
        <f>IF(AND('Mapa final'!$AB$53="Baja",'Mapa final'!$AD$53="Catastrófico"),CONCATENATE("R18C",'Mapa final'!$R$53),"")</f>
        <v/>
      </c>
      <c r="X173" s="99" t="str">
        <f>IF(AND('Mapa final'!$AB$54="Baja",'Mapa final'!$AD$54="Catastrófico"),CONCATENATE("R18C",'Mapa final'!$R$54),"")</f>
        <v/>
      </c>
      <c r="Y173" s="56"/>
      <c r="Z173" s="291"/>
      <c r="AA173" s="292"/>
      <c r="AB173" s="292"/>
      <c r="AC173" s="292"/>
      <c r="AD173" s="292"/>
      <c r="AE173" s="293"/>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row>
    <row r="174" spans="1:61" ht="15" customHeight="1" x14ac:dyDescent="0.25">
      <c r="A174" s="56"/>
      <c r="B174" s="286"/>
      <c r="C174" s="286"/>
      <c r="D174" s="287"/>
      <c r="E174" s="274"/>
      <c r="F174" s="275"/>
      <c r="G174" s="275"/>
      <c r="H174" s="275"/>
      <c r="I174" s="275"/>
      <c r="J174" s="114" t="str">
        <f ca="1">IF(AND('Mapa final'!$AB$55="Baja",'Mapa final'!$AD$55="Leve"),CONCATENATE("R19C",'Mapa final'!$R$55),"")</f>
        <v/>
      </c>
      <c r="K174" s="54" t="str">
        <f>IF(AND('Mapa final'!$AB$56="Baja",'Mapa final'!$AD$56="Leve"),CONCATENATE("R19C",'Mapa final'!$R$56),"")</f>
        <v/>
      </c>
      <c r="L174" s="115" t="str">
        <f>IF(AND('Mapa final'!$AB$57="Baja",'Mapa final'!$AD$57="Leve"),CONCATENATE("R19C",'Mapa final'!$R$57),"")</f>
        <v/>
      </c>
      <c r="M174" s="49" t="str">
        <f ca="1">IF(AND('Mapa final'!$AB$55="Baja",'Mapa final'!$AD$55="Menor"),CONCATENATE("R19C",'Mapa final'!$R$55),"")</f>
        <v/>
      </c>
      <c r="N174" s="50" t="str">
        <f>IF(AND('Mapa final'!$AB$56="Baja",'Mapa final'!$AD$56="Menor"),CONCATENATE("R19C",'Mapa final'!$R$56),"")</f>
        <v/>
      </c>
      <c r="O174" s="110" t="str">
        <f>IF(AND('Mapa final'!$AB$57="Baja",'Mapa final'!$AD$57="Menor"),CONCATENATE("R19C",'Mapa final'!$R$57),"")</f>
        <v/>
      </c>
      <c r="P174" s="49" t="str">
        <f ca="1">IF(AND('Mapa final'!$AB$55="Baja",'Mapa final'!$AD$55="Moderado"),CONCATENATE("R19C",'Mapa final'!$R$55),"")</f>
        <v/>
      </c>
      <c r="Q174" s="50" t="str">
        <f>IF(AND('Mapa final'!$AB$56="Baja",'Mapa final'!$AD$56="Moderado"),CONCATENATE("R19C",'Mapa final'!$R$56),"")</f>
        <v/>
      </c>
      <c r="R174" s="110" t="str">
        <f>IF(AND('Mapa final'!$AB$57="Baja",'Mapa final'!$AD$57="Moderado"),CONCATENATE("R19C",'Mapa final'!$R$57),"")</f>
        <v/>
      </c>
      <c r="S174" s="104" t="str">
        <f ca="1">IF(AND('Mapa final'!$AB$55="Baja",'Mapa final'!$AD$55="Mayor"),CONCATENATE("R19C",'Mapa final'!$R$55),"")</f>
        <v/>
      </c>
      <c r="T174" s="42" t="str">
        <f>IF(AND('Mapa final'!$AB$56="Baja",'Mapa final'!$AD$56="Mayor"),CONCATENATE("R19C",'Mapa final'!$R$56),"")</f>
        <v/>
      </c>
      <c r="U174" s="105" t="str">
        <f>IF(AND('Mapa final'!$AB$57="Baja",'Mapa final'!$AD$57="Mayor"),CONCATENATE("R19C",'Mapa final'!$R$57),"")</f>
        <v/>
      </c>
      <c r="V174" s="43" t="str">
        <f ca="1">IF(AND('Mapa final'!$AB$55="Baja",'Mapa final'!$AD$55="Catastrófico"),CONCATENATE("R19C",'Mapa final'!$R$55),"")</f>
        <v/>
      </c>
      <c r="W174" s="44" t="str">
        <f>IF(AND('Mapa final'!$AB$56="Baja",'Mapa final'!$AD$56="Catastrófico"),CONCATENATE("R19C",'Mapa final'!$R$56),"")</f>
        <v/>
      </c>
      <c r="X174" s="99" t="str">
        <f>IF(AND('Mapa final'!$AB$57="Baja",'Mapa final'!$AD$57="Catastrófico"),CONCATENATE("R19C",'Mapa final'!$R$57),"")</f>
        <v/>
      </c>
      <c r="Y174" s="56"/>
      <c r="Z174" s="291"/>
      <c r="AA174" s="292"/>
      <c r="AB174" s="292"/>
      <c r="AC174" s="292"/>
      <c r="AD174" s="292"/>
      <c r="AE174" s="293"/>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row>
    <row r="175" spans="1:61" ht="15" customHeight="1" x14ac:dyDescent="0.25">
      <c r="A175" s="56"/>
      <c r="B175" s="286"/>
      <c r="C175" s="286"/>
      <c r="D175" s="287"/>
      <c r="E175" s="274"/>
      <c r="F175" s="275"/>
      <c r="G175" s="275"/>
      <c r="H175" s="275"/>
      <c r="I175" s="275"/>
      <c r="J175" s="114" t="str">
        <f ca="1">IF(AND('Mapa final'!$AB$58="Baja",'Mapa final'!$AD$58="Leve"),CONCATENATE("R20C",'Mapa final'!$R$58),"")</f>
        <v/>
      </c>
      <c r="K175" s="54" t="str">
        <f>IF(AND('Mapa final'!$AB$59="Baja",'Mapa final'!$AD$59="Leve"),CONCATENATE("R20C",'Mapa final'!$R$59),"")</f>
        <v/>
      </c>
      <c r="L175" s="115" t="str">
        <f>IF(AND('Mapa final'!$AB$60="Baja",'Mapa final'!$AD$60="Leve"),CONCATENATE("R20C",'Mapa final'!$R$60),"")</f>
        <v/>
      </c>
      <c r="M175" s="49" t="str">
        <f ca="1">IF(AND('Mapa final'!$AB$58="Baja",'Mapa final'!$AD$58="Menor"),CONCATENATE("R20C",'Mapa final'!$R$58),"")</f>
        <v/>
      </c>
      <c r="N175" s="50" t="str">
        <f>IF(AND('Mapa final'!$AB$59="Baja",'Mapa final'!$AD$59="Menor"),CONCATENATE("R20C",'Mapa final'!$R$59),"")</f>
        <v/>
      </c>
      <c r="O175" s="110" t="str">
        <f>IF(AND('Mapa final'!$AB$60="Baja",'Mapa final'!$AD$60="Menor"),CONCATENATE("R20C",'Mapa final'!$R$60),"")</f>
        <v/>
      </c>
      <c r="P175" s="49" t="str">
        <f ca="1">IF(AND('Mapa final'!$AB$58="Baja",'Mapa final'!$AD$58="Moderado"),CONCATENATE("R20C",'Mapa final'!$R$58),"")</f>
        <v/>
      </c>
      <c r="Q175" s="50" t="str">
        <f>IF(AND('Mapa final'!$AB$59="Baja",'Mapa final'!$AD$59="Moderado"),CONCATENATE("R20C",'Mapa final'!$R$59),"")</f>
        <v/>
      </c>
      <c r="R175" s="110" t="str">
        <f>IF(AND('Mapa final'!$AB$60="Baja",'Mapa final'!$AD$60="Moderado"),CONCATENATE("R20C",'Mapa final'!$R$60),"")</f>
        <v/>
      </c>
      <c r="S175" s="104" t="str">
        <f ca="1">IF(AND('Mapa final'!$AB$58="Baja",'Mapa final'!$AD$58="Mayor"),CONCATENATE("R20C",'Mapa final'!$R$58),"")</f>
        <v>R20C1</v>
      </c>
      <c r="T175" s="42" t="str">
        <f>IF(AND('Mapa final'!$AB$59="Baja",'Mapa final'!$AD$59="Mayor"),CONCATENATE("R20C",'Mapa final'!$R$59),"")</f>
        <v/>
      </c>
      <c r="U175" s="105" t="str">
        <f>IF(AND('Mapa final'!$AB$60="Baja",'Mapa final'!$AD$60="Mayor"),CONCATENATE("R20C",'Mapa final'!$R$60),"")</f>
        <v/>
      </c>
      <c r="V175" s="43" t="str">
        <f ca="1">IF(AND('Mapa final'!$AB$58="Baja",'Mapa final'!$AD$58="Catastrófico"),CONCATENATE("R20C",'Mapa final'!$R$58),"")</f>
        <v/>
      </c>
      <c r="W175" s="44" t="str">
        <f>IF(AND('Mapa final'!$AB$59="Baja",'Mapa final'!$AD$59="Catastrófico"),CONCATENATE("R20C",'Mapa final'!$R$59),"")</f>
        <v/>
      </c>
      <c r="X175" s="99" t="str">
        <f>IF(AND('Mapa final'!$AB$60="Baja",'Mapa final'!$AD$60="Catastrófico"),CONCATENATE("R20C",'Mapa final'!$R$60),"")</f>
        <v/>
      </c>
      <c r="Y175" s="56"/>
      <c r="Z175" s="291"/>
      <c r="AA175" s="292"/>
      <c r="AB175" s="292"/>
      <c r="AC175" s="292"/>
      <c r="AD175" s="292"/>
      <c r="AE175" s="293"/>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row>
    <row r="176" spans="1:61" ht="15" customHeight="1" x14ac:dyDescent="0.25">
      <c r="A176" s="56"/>
      <c r="B176" s="286"/>
      <c r="C176" s="286"/>
      <c r="D176" s="287"/>
      <c r="E176" s="274"/>
      <c r="F176" s="275"/>
      <c r="G176" s="275"/>
      <c r="H176" s="275"/>
      <c r="I176" s="275"/>
      <c r="J176" s="114" t="str">
        <f ca="1">IF(AND('Mapa final'!$AB$61="Baja",'Mapa final'!$AD$61="Leve"),CONCATENATE("R21C",'Mapa final'!$R$61),"")</f>
        <v>R21C1</v>
      </c>
      <c r="K176" s="54" t="str">
        <f>IF(AND('Mapa final'!$AB$62="Baja",'Mapa final'!$AD$62="Leve"),CONCATENATE("R21C",'Mapa final'!$R$62),"")</f>
        <v/>
      </c>
      <c r="L176" s="115" t="str">
        <f>IF(AND('Mapa final'!$AB$63="Baja",'Mapa final'!$AD$63="Leve"),CONCATENATE("R21C",'Mapa final'!$R$63),"")</f>
        <v/>
      </c>
      <c r="M176" s="49" t="str">
        <f ca="1">IF(AND('Mapa final'!$AB$61="Baja",'Mapa final'!$AD$61="Menor"),CONCATENATE("R21C",'Mapa final'!$R$61),"")</f>
        <v/>
      </c>
      <c r="N176" s="50" t="str">
        <f>IF(AND('Mapa final'!$AB$62="Baja",'Mapa final'!$AD$62="Menor"),CONCATENATE("R21C",'Mapa final'!$R$62),"")</f>
        <v/>
      </c>
      <c r="O176" s="110" t="str">
        <f>IF(AND('Mapa final'!$AB$63="Baja",'Mapa final'!$AD$63="Menor"),CONCATENATE("R21C",'Mapa final'!$R$63),"")</f>
        <v/>
      </c>
      <c r="P176" s="49" t="str">
        <f ca="1">IF(AND('Mapa final'!$AB$61="Baja",'Mapa final'!$AD$61="Moderado"),CONCATENATE("R21C",'Mapa final'!$R$61),"")</f>
        <v/>
      </c>
      <c r="Q176" s="50" t="str">
        <f>IF(AND('Mapa final'!$AB$62="Baja",'Mapa final'!$AD$62="Moderado"),CONCATENATE("R21C",'Mapa final'!$R$62),"")</f>
        <v/>
      </c>
      <c r="R176" s="110" t="str">
        <f>IF(AND('Mapa final'!$AB$63="Baja",'Mapa final'!$AD$63="Moderado"),CONCATENATE("R21C",'Mapa final'!$R$63),"")</f>
        <v/>
      </c>
      <c r="S176" s="104" t="str">
        <f ca="1">IF(AND('Mapa final'!$AB$61="Baja",'Mapa final'!$AD$61="Mayor"),CONCATENATE("R21C",'Mapa final'!$R$61),"")</f>
        <v/>
      </c>
      <c r="T176" s="42" t="str">
        <f>IF(AND('Mapa final'!$AB$62="Baja",'Mapa final'!$AD$62="Mayor"),CONCATENATE("R21C",'Mapa final'!$R$62),"")</f>
        <v/>
      </c>
      <c r="U176" s="105" t="str">
        <f>IF(AND('Mapa final'!$AB$63="Baja",'Mapa final'!$AD$63="Mayor"),CONCATENATE("R21C",'Mapa final'!$R$63),"")</f>
        <v/>
      </c>
      <c r="V176" s="43" t="str">
        <f ca="1">IF(AND('Mapa final'!$AB$61="Baja",'Mapa final'!$AD$61="Catastrófico"),CONCATENATE("R21C",'Mapa final'!$R$61),"")</f>
        <v/>
      </c>
      <c r="W176" s="44" t="str">
        <f>IF(AND('Mapa final'!$AB$62="Baja",'Mapa final'!$AD$62="Catastrófico"),CONCATENATE("R21C",'Mapa final'!$R$62),"")</f>
        <v/>
      </c>
      <c r="X176" s="99" t="str">
        <f>IF(AND('Mapa final'!$AB$63="Baja",'Mapa final'!$AD$63="Catastrófico"),CONCATENATE("R21C",'Mapa final'!$R$63),"")</f>
        <v/>
      </c>
      <c r="Y176" s="56"/>
      <c r="Z176" s="291"/>
      <c r="AA176" s="292"/>
      <c r="AB176" s="292"/>
      <c r="AC176" s="292"/>
      <c r="AD176" s="292"/>
      <c r="AE176" s="293"/>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row>
    <row r="177" spans="1:61" ht="15" customHeight="1" x14ac:dyDescent="0.25">
      <c r="A177" s="56"/>
      <c r="B177" s="286"/>
      <c r="C177" s="286"/>
      <c r="D177" s="287"/>
      <c r="E177" s="274"/>
      <c r="F177" s="275"/>
      <c r="G177" s="275"/>
      <c r="H177" s="275"/>
      <c r="I177" s="275"/>
      <c r="J177" s="114" t="str">
        <f ca="1">IF(AND('Mapa final'!$AB$64="Baja",'Mapa final'!$AD$64="Leve"),CONCATENATE("R22C",'Mapa final'!$R$64),"")</f>
        <v/>
      </c>
      <c r="K177" s="54" t="str">
        <f>IF(AND('Mapa final'!$AB$65="Baja",'Mapa final'!$AD$65="Leve"),CONCATENATE("R22C",'Mapa final'!$R$65),"")</f>
        <v/>
      </c>
      <c r="L177" s="115" t="str">
        <f>IF(AND('Mapa final'!$AB$66="Baja",'Mapa final'!$AD$66="Leve"),CONCATENATE("R22C",'Mapa final'!$R$66),"")</f>
        <v/>
      </c>
      <c r="M177" s="49" t="str">
        <f ca="1">IF(AND('Mapa final'!$AB$64="Baja",'Mapa final'!$AD$64="Menor"),CONCATENATE("R22C",'Mapa final'!$R$64),"")</f>
        <v>R22C1</v>
      </c>
      <c r="N177" s="50" t="str">
        <f>IF(AND('Mapa final'!$AB$65="Baja",'Mapa final'!$AD$65="Menor"),CONCATENATE("R22C",'Mapa final'!$R$65),"")</f>
        <v/>
      </c>
      <c r="O177" s="110" t="str">
        <f>IF(AND('Mapa final'!$AB$66="Baja",'Mapa final'!$AD$66="Menor"),CONCATENATE("R22C",'Mapa final'!$R$66),"")</f>
        <v/>
      </c>
      <c r="P177" s="49" t="str">
        <f ca="1">IF(AND('Mapa final'!$AB$64="Baja",'Mapa final'!$AD$64="Moderado"),CONCATENATE("R22C",'Mapa final'!$R$64),"")</f>
        <v/>
      </c>
      <c r="Q177" s="50" t="str">
        <f>IF(AND('Mapa final'!$AB$65="Baja",'Mapa final'!$AD$65="Moderado"),CONCATENATE("R22C",'Mapa final'!$R$65),"")</f>
        <v/>
      </c>
      <c r="R177" s="110" t="str">
        <f>IF(AND('Mapa final'!$AB$66="Baja",'Mapa final'!$AD$66="Moderado"),CONCATENATE("R22C",'Mapa final'!$R$66),"")</f>
        <v/>
      </c>
      <c r="S177" s="104" t="str">
        <f ca="1">IF(AND('Mapa final'!$AB$64="Baja",'Mapa final'!$AD$64="Mayor"),CONCATENATE("R22C",'Mapa final'!$R$64),"")</f>
        <v/>
      </c>
      <c r="T177" s="42" t="str">
        <f>IF(AND('Mapa final'!$AB$65="Baja",'Mapa final'!$AD$65="Mayor"),CONCATENATE("R22C",'Mapa final'!$R$65),"")</f>
        <v/>
      </c>
      <c r="U177" s="105" t="str">
        <f>IF(AND('Mapa final'!$AB$66="Baja",'Mapa final'!$AD$66="Mayor"),CONCATENATE("R22C",'Mapa final'!$R$66),"")</f>
        <v/>
      </c>
      <c r="V177" s="43" t="str">
        <f ca="1">IF(AND('Mapa final'!$AB$64="Baja",'Mapa final'!$AD$64="Catastrófico"),CONCATENATE("R22C",'Mapa final'!$R$64),"")</f>
        <v/>
      </c>
      <c r="W177" s="44" t="str">
        <f>IF(AND('Mapa final'!$AB$65="Baja",'Mapa final'!$AD$65="Catastrófico"),CONCATENATE("R22C",'Mapa final'!$R$65),"")</f>
        <v/>
      </c>
      <c r="X177" s="99" t="str">
        <f>IF(AND('Mapa final'!$AB$66="Baja",'Mapa final'!$AD$66="Catastrófico"),CONCATENATE("R22C",'Mapa final'!$R$66),"")</f>
        <v/>
      </c>
      <c r="Y177" s="56"/>
      <c r="Z177" s="291"/>
      <c r="AA177" s="292"/>
      <c r="AB177" s="292"/>
      <c r="AC177" s="292"/>
      <c r="AD177" s="292"/>
      <c r="AE177" s="293"/>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row>
    <row r="178" spans="1:61" ht="15" customHeight="1" x14ac:dyDescent="0.25">
      <c r="A178" s="56"/>
      <c r="B178" s="286"/>
      <c r="C178" s="286"/>
      <c r="D178" s="287"/>
      <c r="E178" s="274"/>
      <c r="F178" s="275"/>
      <c r="G178" s="275"/>
      <c r="H178" s="275"/>
      <c r="I178" s="275"/>
      <c r="J178" s="114" t="str">
        <f ca="1">IF(AND('Mapa final'!$AB$70="Baja",'Mapa final'!$AD$70="Leve"),CONCATENATE("R23C",'Mapa final'!$R$70),"")</f>
        <v/>
      </c>
      <c r="K178" s="54" t="str">
        <f>IF(AND('Mapa final'!$AB$71="Baja",'Mapa final'!$AD$71="Leve"),CONCATENATE("R23C",'Mapa final'!$R$71),"")</f>
        <v/>
      </c>
      <c r="L178" s="115" t="str">
        <f>IF(AND('Mapa final'!$AB$72="Baja",'Mapa final'!$AD$72="Leve"),CONCATENATE("R23C",'Mapa final'!$R$72),"")</f>
        <v/>
      </c>
      <c r="M178" s="49" t="str">
        <f ca="1">IF(AND('Mapa final'!$AB$70="Baja",'Mapa final'!$AD$70="Menor"),CONCATENATE("R23C",'Mapa final'!$R$70),"")</f>
        <v/>
      </c>
      <c r="N178" s="50" t="str">
        <f>IF(AND('Mapa final'!$AB$71="Baja",'Mapa final'!$AD$71="Menor"),CONCATENATE("R23C",'Mapa final'!$R$71),"")</f>
        <v/>
      </c>
      <c r="O178" s="110" t="str">
        <f>IF(AND('Mapa final'!$AB$72="Baja",'Mapa final'!$AD$72="Menor"),CONCATENATE("R23C",'Mapa final'!$R$72),"")</f>
        <v/>
      </c>
      <c r="P178" s="49" t="str">
        <f ca="1">IF(AND('Mapa final'!$AB$70="Baja",'Mapa final'!$AD$70="Moderado"),CONCATENATE("R23C",'Mapa final'!$R$70),"")</f>
        <v/>
      </c>
      <c r="Q178" s="50" t="str">
        <f>IF(AND('Mapa final'!$AB$71="Baja",'Mapa final'!$AD$71="Moderado"),CONCATENATE("R23C",'Mapa final'!$R$71),"")</f>
        <v/>
      </c>
      <c r="R178" s="110" t="str">
        <f>IF(AND('Mapa final'!$AB$72="Baja",'Mapa final'!$AD$72="Moderado"),CONCATENATE("R23C",'Mapa final'!$R$72),"")</f>
        <v/>
      </c>
      <c r="S178" s="104" t="str">
        <f ca="1">IF(AND('Mapa final'!$AB$70="Baja",'Mapa final'!$AD$70="Mayor"),CONCATENATE("R23C",'Mapa final'!$R$70),"")</f>
        <v>R23C1</v>
      </c>
      <c r="T178" s="42" t="str">
        <f>IF(AND('Mapa final'!$AB$71="Baja",'Mapa final'!$AD$71="Mayor"),CONCATENATE("R23C",'Mapa final'!$R$71),"")</f>
        <v/>
      </c>
      <c r="U178" s="105" t="str">
        <f>IF(AND('Mapa final'!$AB$72="Baja",'Mapa final'!$AD$72="Mayor"),CONCATENATE("R23C",'Mapa final'!$R$72),"")</f>
        <v/>
      </c>
      <c r="V178" s="43" t="str">
        <f ca="1">IF(AND('Mapa final'!$AB$70="Baja",'Mapa final'!$AD$70="Catastrófico"),CONCATENATE("R23C",'Mapa final'!$R$70),"")</f>
        <v/>
      </c>
      <c r="W178" s="44" t="str">
        <f>IF(AND('Mapa final'!$AB$71="Baja",'Mapa final'!$AD$71="Catastrófico"),CONCATENATE("R23C",'Mapa final'!$R$71),"")</f>
        <v/>
      </c>
      <c r="X178" s="99" t="str">
        <f>IF(AND('Mapa final'!$AB$72="Baja",'Mapa final'!$AD$72="Catastrófico"),CONCATENATE("R23C",'Mapa final'!$R$72),"")</f>
        <v/>
      </c>
      <c r="Y178" s="56"/>
      <c r="Z178" s="291"/>
      <c r="AA178" s="292"/>
      <c r="AB178" s="292"/>
      <c r="AC178" s="292"/>
      <c r="AD178" s="292"/>
      <c r="AE178" s="293"/>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c r="BI178" s="56"/>
    </row>
    <row r="179" spans="1:61" ht="15" customHeight="1" x14ac:dyDescent="0.25">
      <c r="A179" s="56"/>
      <c r="B179" s="286"/>
      <c r="C179" s="286"/>
      <c r="D179" s="287"/>
      <c r="E179" s="274"/>
      <c r="F179" s="275"/>
      <c r="G179" s="275"/>
      <c r="H179" s="275"/>
      <c r="I179" s="275"/>
      <c r="J179" s="114" t="str">
        <f ca="1">IF(AND('Mapa final'!$AB$73="Baja",'Mapa final'!$AD$73="Leve"),CONCATENATE("R24C",'Mapa final'!$R$73),"")</f>
        <v/>
      </c>
      <c r="K179" s="54" t="str">
        <f>IF(AND('Mapa final'!$AB$74="Baja",'Mapa final'!$AD$74="Leve"),CONCATENATE("R24C",'Mapa final'!$R$74),"")</f>
        <v/>
      </c>
      <c r="L179" s="115" t="str">
        <f>IF(AND('Mapa final'!$AB$75="Baja",'Mapa final'!$AD$75="Leve"),CONCATENATE("R24C",'Mapa final'!$R$75),"")</f>
        <v/>
      </c>
      <c r="M179" s="49" t="str">
        <f ca="1">IF(AND('Mapa final'!$AB$73="Baja",'Mapa final'!$AD$73="Menor"),CONCATENATE("R24C",'Mapa final'!$R$73),"")</f>
        <v/>
      </c>
      <c r="N179" s="50" t="str">
        <f>IF(AND('Mapa final'!$AB$74="Baja",'Mapa final'!$AD$74="Menor"),CONCATENATE("R24C",'Mapa final'!$R$74),"")</f>
        <v/>
      </c>
      <c r="O179" s="110" t="str">
        <f>IF(AND('Mapa final'!$AB$75="Baja",'Mapa final'!$AD$75="Menor"),CONCATENATE("R24C",'Mapa final'!$R$75),"")</f>
        <v/>
      </c>
      <c r="P179" s="49" t="str">
        <f ca="1">IF(AND('Mapa final'!$AB$73="Baja",'Mapa final'!$AD$73="Moderado"),CONCATENATE("R24C",'Mapa final'!$R$73),"")</f>
        <v>R24C1</v>
      </c>
      <c r="Q179" s="50" t="str">
        <f>IF(AND('Mapa final'!$AB$74="Baja",'Mapa final'!$AD$74="Moderado"),CONCATENATE("R24C",'Mapa final'!$R$74),"")</f>
        <v/>
      </c>
      <c r="R179" s="110" t="str">
        <f>IF(AND('Mapa final'!$AB$75="Baja",'Mapa final'!$AD$75="Moderado"),CONCATENATE("R24C",'Mapa final'!$R$75),"")</f>
        <v/>
      </c>
      <c r="S179" s="104" t="str">
        <f ca="1">IF(AND('Mapa final'!$AB$73="Baja",'Mapa final'!$AD$73="Mayor"),CONCATENATE("R24C",'Mapa final'!$R$73),"")</f>
        <v/>
      </c>
      <c r="T179" s="42" t="str">
        <f>IF(AND('Mapa final'!$AB$74="Baja",'Mapa final'!$AD$74="Mayor"),CONCATENATE("R24C",'Mapa final'!$R$74),"")</f>
        <v/>
      </c>
      <c r="U179" s="105" t="str">
        <f>IF(AND('Mapa final'!$AB$75="Baja",'Mapa final'!$AD$75="Mayor"),CONCATENATE("R24C",'Mapa final'!$R$75),"")</f>
        <v/>
      </c>
      <c r="V179" s="43" t="str">
        <f ca="1">IF(AND('Mapa final'!$AB$73="Baja",'Mapa final'!$AD$73="Catastrófico"),CONCATENATE("R24C",'Mapa final'!$R$73),"")</f>
        <v/>
      </c>
      <c r="W179" s="44" t="str">
        <f>IF(AND('Mapa final'!$AB$74="Baja",'Mapa final'!$AD$74="Catastrófico"),CONCATENATE("R24C",'Mapa final'!$R$74),"")</f>
        <v/>
      </c>
      <c r="X179" s="99" t="str">
        <f>IF(AND('Mapa final'!$AB$75="Baja",'Mapa final'!$AD$75="Catastrófico"),CONCATENATE("R24C",'Mapa final'!$R$75),"")</f>
        <v/>
      </c>
      <c r="Y179" s="56"/>
      <c r="Z179" s="291"/>
      <c r="AA179" s="292"/>
      <c r="AB179" s="292"/>
      <c r="AC179" s="292"/>
      <c r="AD179" s="292"/>
      <c r="AE179" s="293"/>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row>
    <row r="180" spans="1:61" ht="15" customHeight="1" x14ac:dyDescent="0.25">
      <c r="A180" s="56"/>
      <c r="B180" s="286"/>
      <c r="C180" s="286"/>
      <c r="D180" s="287"/>
      <c r="E180" s="274"/>
      <c r="F180" s="275"/>
      <c r="G180" s="275"/>
      <c r="H180" s="275"/>
      <c r="I180" s="275"/>
      <c r="J180" s="114" t="str">
        <f ca="1">IF(AND('Mapa final'!$AB$76="Baja",'Mapa final'!$AD$76="Leve"),CONCATENATE("R25C",'Mapa final'!$R$76),"")</f>
        <v/>
      </c>
      <c r="K180" s="54" t="str">
        <f>IF(AND('Mapa final'!$AB$77="Baja",'Mapa final'!$AD$77="Leve"),CONCATENATE("R25C",'Mapa final'!$R$77),"")</f>
        <v/>
      </c>
      <c r="L180" s="115" t="str">
        <f>IF(AND('Mapa final'!$AB$78="Baja",'Mapa final'!$AD$78="Leve"),CONCATENATE("R25C",'Mapa final'!$R$78),"")</f>
        <v/>
      </c>
      <c r="M180" s="49" t="str">
        <f ca="1">IF(AND('Mapa final'!$AB$76="Baja",'Mapa final'!$AD$76="Menor"),CONCATENATE("R25C",'Mapa final'!$R$76),"")</f>
        <v/>
      </c>
      <c r="N180" s="50" t="str">
        <f>IF(AND('Mapa final'!$AB$77="Baja",'Mapa final'!$AD$77="Menor"),CONCATENATE("R25C",'Mapa final'!$R$77),"")</f>
        <v/>
      </c>
      <c r="O180" s="110" t="str">
        <f>IF(AND('Mapa final'!$AB$78="Baja",'Mapa final'!$AD$78="Menor"),CONCATENATE("R25C",'Mapa final'!$R$78),"")</f>
        <v/>
      </c>
      <c r="P180" s="49" t="str">
        <f ca="1">IF(AND('Mapa final'!$AB$76="Baja",'Mapa final'!$AD$76="Moderado"),CONCATENATE("R25C",'Mapa final'!$R$76),"")</f>
        <v>R25C1</v>
      </c>
      <c r="Q180" s="50" t="str">
        <f>IF(AND('Mapa final'!$AB$77="Baja",'Mapa final'!$AD$77="Moderado"),CONCATENATE("R25C",'Mapa final'!$R$77),"")</f>
        <v/>
      </c>
      <c r="R180" s="110" t="str">
        <f>IF(AND('Mapa final'!$AB$78="Baja",'Mapa final'!$AD$78="Moderado"),CONCATENATE("R25C",'Mapa final'!$R$78),"")</f>
        <v/>
      </c>
      <c r="S180" s="104" t="str">
        <f ca="1">IF(AND('Mapa final'!$AB$76="Baja",'Mapa final'!$AD$76="Mayor"),CONCATENATE("R25C",'Mapa final'!$R$76),"")</f>
        <v/>
      </c>
      <c r="T180" s="42" t="str">
        <f>IF(AND('Mapa final'!$AB$77="Baja",'Mapa final'!$AD$77="Mayor"),CONCATENATE("R25C",'Mapa final'!$R$77),"")</f>
        <v/>
      </c>
      <c r="U180" s="105" t="str">
        <f>IF(AND('Mapa final'!$AB$78="Baja",'Mapa final'!$AD$78="Mayor"),CONCATENATE("R25C",'Mapa final'!$R$78),"")</f>
        <v/>
      </c>
      <c r="V180" s="43" t="str">
        <f ca="1">IF(AND('Mapa final'!$AB$76="Baja",'Mapa final'!$AD$76="Catastrófico"),CONCATENATE("R25C",'Mapa final'!$R$76),"")</f>
        <v/>
      </c>
      <c r="W180" s="44" t="str">
        <f>IF(AND('Mapa final'!$AB$77="Baja",'Mapa final'!$AD$77="Catastrófico"),CONCATENATE("R25C",'Mapa final'!$R$77),"")</f>
        <v/>
      </c>
      <c r="X180" s="99" t="str">
        <f>IF(AND('Mapa final'!$AB$78="Baja",'Mapa final'!$AD$78="Catastrófico"),CONCATENATE("R25C",'Mapa final'!$R$78),"")</f>
        <v/>
      </c>
      <c r="Y180" s="56"/>
      <c r="Z180" s="291"/>
      <c r="AA180" s="292"/>
      <c r="AB180" s="292"/>
      <c r="AC180" s="292"/>
      <c r="AD180" s="292"/>
      <c r="AE180" s="293"/>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row>
    <row r="181" spans="1:61" ht="15" customHeight="1" x14ac:dyDescent="0.25">
      <c r="A181" s="56"/>
      <c r="B181" s="286"/>
      <c r="C181" s="286"/>
      <c r="D181" s="287"/>
      <c r="E181" s="274"/>
      <c r="F181" s="275"/>
      <c r="G181" s="275"/>
      <c r="H181" s="275"/>
      <c r="I181" s="275"/>
      <c r="J181" s="114" t="str">
        <f ca="1">IF(AND('Mapa final'!$AB$79="Baja",'Mapa final'!$AD$79="Leve"),CONCATENATE("R26C",'Mapa final'!$R$79),"")</f>
        <v/>
      </c>
      <c r="K181" s="54" t="str">
        <f ca="1">IF(AND('Mapa final'!$AB$80="Baja",'Mapa final'!$AD$80="Leve"),CONCATENATE("R26C",'Mapa final'!$R$80),"")</f>
        <v/>
      </c>
      <c r="L181" s="115" t="str">
        <f ca="1">IF(AND('Mapa final'!$AB$81="Baja",'Mapa final'!$AD$81="Leve"),CONCATENATE("R26C",'Mapa final'!$R$81),"")</f>
        <v/>
      </c>
      <c r="M181" s="49" t="str">
        <f ca="1">IF(AND('Mapa final'!$AB$79="Baja",'Mapa final'!$AD$79="Menor"),CONCATENATE("R26C",'Mapa final'!$R$79),"")</f>
        <v/>
      </c>
      <c r="N181" s="50" t="str">
        <f ca="1">IF(AND('Mapa final'!$AB$80="Baja",'Mapa final'!$AD$80="Menor"),CONCATENATE("R26C",'Mapa final'!$R$80),"")</f>
        <v/>
      </c>
      <c r="O181" s="110" t="str">
        <f ca="1">IF(AND('Mapa final'!$AB$81="Baja",'Mapa final'!$AD$81="Menor"),CONCATENATE("R26C",'Mapa final'!$R$81),"")</f>
        <v/>
      </c>
      <c r="P181" s="49" t="str">
        <f ca="1">IF(AND('Mapa final'!$AB$79="Baja",'Mapa final'!$AD$79="Moderado"),CONCATENATE("R26C",'Mapa final'!$R$79),"")</f>
        <v/>
      </c>
      <c r="Q181" s="50" t="str">
        <f ca="1">IF(AND('Mapa final'!$AB$80="Baja",'Mapa final'!$AD$80="Moderado"),CONCATENATE("R26C",'Mapa final'!$R$80),"")</f>
        <v/>
      </c>
      <c r="R181" s="110" t="str">
        <f ca="1">IF(AND('Mapa final'!$AB$81="Baja",'Mapa final'!$AD$81="Moderado"),CONCATENATE("R26C",'Mapa final'!$R$81),"")</f>
        <v/>
      </c>
      <c r="S181" s="104" t="str">
        <f ca="1">IF(AND('Mapa final'!$AB$79="Baja",'Mapa final'!$AD$79="Mayor"),CONCATENATE("R26C",'Mapa final'!$R$79),"")</f>
        <v/>
      </c>
      <c r="T181" s="42" t="str">
        <f ca="1">IF(AND('Mapa final'!$AB$80="Baja",'Mapa final'!$AD$80="Mayor"),CONCATENATE("R26C",'Mapa final'!$R$80),"")</f>
        <v/>
      </c>
      <c r="U181" s="105" t="str">
        <f ca="1">IF(AND('Mapa final'!$AB$81="Baja",'Mapa final'!$AD$81="Mayor"),CONCATENATE("R26C",'Mapa final'!$R$81),"")</f>
        <v/>
      </c>
      <c r="V181" s="43" t="str">
        <f ca="1">IF(AND('Mapa final'!$AB$79="Baja",'Mapa final'!$AD$79="Catastrófico"),CONCATENATE("R26C",'Mapa final'!$R$79),"")</f>
        <v/>
      </c>
      <c r="W181" s="44" t="str">
        <f ca="1">IF(AND('Mapa final'!$AB$80="Baja",'Mapa final'!$AD$80="Catastrófico"),CONCATENATE("R26C",'Mapa final'!$R$80),"")</f>
        <v/>
      </c>
      <c r="X181" s="99" t="str">
        <f ca="1">IF(AND('Mapa final'!$AB$81="Baja",'Mapa final'!$AD$81="Catastrófico"),CONCATENATE("R26C",'Mapa final'!$R$81),"")</f>
        <v/>
      </c>
      <c r="Y181" s="56"/>
      <c r="Z181" s="291"/>
      <c r="AA181" s="292"/>
      <c r="AB181" s="292"/>
      <c r="AC181" s="292"/>
      <c r="AD181" s="292"/>
      <c r="AE181" s="293"/>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row>
    <row r="182" spans="1:61" ht="15" customHeight="1" x14ac:dyDescent="0.25">
      <c r="A182" s="56"/>
      <c r="B182" s="286"/>
      <c r="C182" s="286"/>
      <c r="D182" s="287"/>
      <c r="E182" s="274"/>
      <c r="F182" s="275"/>
      <c r="G182" s="275"/>
      <c r="H182" s="275"/>
      <c r="I182" s="275"/>
      <c r="J182" s="114" t="str">
        <f ca="1">IF(AND('Mapa final'!$AB$82="Baja",'Mapa final'!$AD$82="Leve"),CONCATENATE("R27C",'Mapa final'!$R$82),"")</f>
        <v/>
      </c>
      <c r="K182" s="54" t="str">
        <f>IF(AND('Mapa final'!$AB$83="Baja",'Mapa final'!$AD$83="Leve"),CONCATENATE("R27C",'Mapa final'!$R$83),"")</f>
        <v/>
      </c>
      <c r="L182" s="115" t="str">
        <f>IF(AND('Mapa final'!$AB$84="Baja",'Mapa final'!$AD$84="Leve"),CONCATENATE("R27C",'Mapa final'!$R$84),"")</f>
        <v/>
      </c>
      <c r="M182" s="49" t="str">
        <f ca="1">IF(AND('Mapa final'!$AB$82="Baja",'Mapa final'!$AD$82="Menor"),CONCATENATE("R27C",'Mapa final'!$R$82),"")</f>
        <v/>
      </c>
      <c r="N182" s="50" t="str">
        <f>IF(AND('Mapa final'!$AB$83="Baja",'Mapa final'!$AD$83="Menor"),CONCATENATE("R27C",'Mapa final'!$R$83),"")</f>
        <v/>
      </c>
      <c r="O182" s="110" t="str">
        <f>IF(AND('Mapa final'!$AB$84="Baja",'Mapa final'!$AD$84="Menor"),CONCATENATE("R27C",'Mapa final'!$R$84),"")</f>
        <v/>
      </c>
      <c r="P182" s="49" t="str">
        <f ca="1">IF(AND('Mapa final'!$AB$82="Baja",'Mapa final'!$AD$82="Moderado"),CONCATENATE("R27C",'Mapa final'!$R$82),"")</f>
        <v>R27C1</v>
      </c>
      <c r="Q182" s="50" t="str">
        <f>IF(AND('Mapa final'!$AB$83="Baja",'Mapa final'!$AD$83="Moderado"),CONCATENATE("R27C",'Mapa final'!$R$83),"")</f>
        <v/>
      </c>
      <c r="R182" s="110" t="str">
        <f>IF(AND('Mapa final'!$AB$84="Baja",'Mapa final'!$AD$84="Moderado"),CONCATENATE("R27C",'Mapa final'!$R$84),"")</f>
        <v/>
      </c>
      <c r="S182" s="104" t="str">
        <f ca="1">IF(AND('Mapa final'!$AB$82="Baja",'Mapa final'!$AD$82="Mayor"),CONCATENATE("R27C",'Mapa final'!$R$82),"")</f>
        <v/>
      </c>
      <c r="T182" s="42" t="str">
        <f>IF(AND('Mapa final'!$AB$83="Baja",'Mapa final'!$AD$83="Mayor"),CONCATENATE("R27C",'Mapa final'!$R$83),"")</f>
        <v/>
      </c>
      <c r="U182" s="105" t="str">
        <f>IF(AND('Mapa final'!$AB$84="Baja",'Mapa final'!$AD$84="Mayor"),CONCATENATE("R27C",'Mapa final'!$R$84),"")</f>
        <v/>
      </c>
      <c r="V182" s="43" t="str">
        <f ca="1">IF(AND('Mapa final'!$AB$82="Baja",'Mapa final'!$AD$82="Catastrófico"),CONCATENATE("R27C",'Mapa final'!$R$82),"")</f>
        <v/>
      </c>
      <c r="W182" s="44" t="str">
        <f>IF(AND('Mapa final'!$AB$83="Baja",'Mapa final'!$AD$83="Catastrófico"),CONCATENATE("R27C",'Mapa final'!$R$83),"")</f>
        <v/>
      </c>
      <c r="X182" s="99" t="str">
        <f>IF(AND('Mapa final'!$AB$84="Baja",'Mapa final'!$AD$84="Catastrófico"),CONCATENATE("R27C",'Mapa final'!$R$84),"")</f>
        <v/>
      </c>
      <c r="Y182" s="56"/>
      <c r="Z182" s="291"/>
      <c r="AA182" s="292"/>
      <c r="AB182" s="292"/>
      <c r="AC182" s="292"/>
      <c r="AD182" s="292"/>
      <c r="AE182" s="293"/>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row>
    <row r="183" spans="1:61" ht="15" customHeight="1" x14ac:dyDescent="0.25">
      <c r="A183" s="56"/>
      <c r="B183" s="286"/>
      <c r="C183" s="286"/>
      <c r="D183" s="287"/>
      <c r="E183" s="274"/>
      <c r="F183" s="275"/>
      <c r="G183" s="275"/>
      <c r="H183" s="275"/>
      <c r="I183" s="275"/>
      <c r="J183" s="114" t="str">
        <f ca="1">IF(AND('Mapa final'!$AB$85="Baja",'Mapa final'!$AD$85="Leve"),CONCATENATE("R28C",'Mapa final'!$R$85),"")</f>
        <v/>
      </c>
      <c r="K183" s="54" t="str">
        <f>IF(AND('Mapa final'!$AB$86="Baja",'Mapa final'!$AD$86="Leve"),CONCATENATE("R28C",'Mapa final'!$R$86),"")</f>
        <v/>
      </c>
      <c r="L183" s="115" t="str">
        <f>IF(AND('Mapa final'!$AB$87="Baja",'Mapa final'!$AD$87="Leve"),CONCATENATE("R28C",'Mapa final'!$R$87),"")</f>
        <v/>
      </c>
      <c r="M183" s="49" t="str">
        <f ca="1">IF(AND('Mapa final'!$AB$85="Baja",'Mapa final'!$AD$85="Menor"),CONCATENATE("R28C",'Mapa final'!$R$85),"")</f>
        <v/>
      </c>
      <c r="N183" s="50" t="str">
        <f>IF(AND('Mapa final'!$AB$86="Baja",'Mapa final'!$AD$86="Menor"),CONCATENATE("R28C",'Mapa final'!$R$86),"")</f>
        <v/>
      </c>
      <c r="O183" s="110" t="str">
        <f>IF(AND('Mapa final'!$AB$87="Baja",'Mapa final'!$AD$87="Menor"),CONCATENATE("R28C",'Mapa final'!$R$87),"")</f>
        <v/>
      </c>
      <c r="P183" s="49" t="str">
        <f ca="1">IF(AND('Mapa final'!$AB$85="Baja",'Mapa final'!$AD$85="Moderado"),CONCATENATE("R28C",'Mapa final'!$R$85),"")</f>
        <v/>
      </c>
      <c r="Q183" s="50" t="str">
        <f>IF(AND('Mapa final'!$AB$86="Baja",'Mapa final'!$AD$86="Moderado"),CONCATENATE("R28C",'Mapa final'!$R$86),"")</f>
        <v/>
      </c>
      <c r="R183" s="110" t="str">
        <f>IF(AND('Mapa final'!$AB$87="Baja",'Mapa final'!$AD$87="Moderado"),CONCATENATE("R28C",'Mapa final'!$R$87),"")</f>
        <v/>
      </c>
      <c r="S183" s="104" t="str">
        <f ca="1">IF(AND('Mapa final'!$AB$85="Baja",'Mapa final'!$AD$85="Mayor"),CONCATENATE("R28C",'Mapa final'!$R$85),"")</f>
        <v>R28C1</v>
      </c>
      <c r="T183" s="42" t="str">
        <f>IF(AND('Mapa final'!$AB$86="Baja",'Mapa final'!$AD$86="Mayor"),CONCATENATE("R28C",'Mapa final'!$R$86),"")</f>
        <v/>
      </c>
      <c r="U183" s="105" t="str">
        <f>IF(AND('Mapa final'!$AB$87="Baja",'Mapa final'!$AD$87="Mayor"),CONCATENATE("R28C",'Mapa final'!$R$87),"")</f>
        <v/>
      </c>
      <c r="V183" s="43" t="str">
        <f ca="1">IF(AND('Mapa final'!$AB$85="Baja",'Mapa final'!$AD$85="Catastrófico"),CONCATENATE("R28C",'Mapa final'!$R$85),"")</f>
        <v/>
      </c>
      <c r="W183" s="44" t="str">
        <f>IF(AND('Mapa final'!$AB$86="Baja",'Mapa final'!$AD$86="Catastrófico"),CONCATENATE("R28C",'Mapa final'!$R$86),"")</f>
        <v/>
      </c>
      <c r="X183" s="99" t="str">
        <f>IF(AND('Mapa final'!$AB$87="Baja",'Mapa final'!$AD$87="Catastrófico"),CONCATENATE("R28C",'Mapa final'!$R$87),"")</f>
        <v/>
      </c>
      <c r="Y183" s="56"/>
      <c r="Z183" s="291"/>
      <c r="AA183" s="292"/>
      <c r="AB183" s="292"/>
      <c r="AC183" s="292"/>
      <c r="AD183" s="292"/>
      <c r="AE183" s="293"/>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row>
    <row r="184" spans="1:61" ht="15" customHeight="1" x14ac:dyDescent="0.25">
      <c r="A184" s="56"/>
      <c r="B184" s="286"/>
      <c r="C184" s="286"/>
      <c r="D184" s="287"/>
      <c r="E184" s="276"/>
      <c r="F184" s="275"/>
      <c r="G184" s="275"/>
      <c r="H184" s="275"/>
      <c r="I184" s="275"/>
      <c r="J184" s="114" t="str">
        <f ca="1">IF(AND('Mapa final'!$AB$88="Baja",'Mapa final'!$AD$88="Leve"),CONCATENATE("R29C",'Mapa final'!$R$88),"")</f>
        <v/>
      </c>
      <c r="K184" s="54" t="str">
        <f>IF(AND('Mapa final'!$AB$89="Baja",'Mapa final'!$AD$89="Leve"),CONCATENATE("R29C",'Mapa final'!$R$89),"")</f>
        <v/>
      </c>
      <c r="L184" s="115" t="str">
        <f>IF(AND('Mapa final'!$AB$90="Baja",'Mapa final'!$AD$90="Leve"),CONCATENATE("R29C",'Mapa final'!$R$90),"")</f>
        <v/>
      </c>
      <c r="M184" s="49" t="str">
        <f ca="1">IF(AND('Mapa final'!$AB$88="Baja",'Mapa final'!$AD$88="Menor"),CONCATENATE("R29C",'Mapa final'!$R$88),"")</f>
        <v/>
      </c>
      <c r="N184" s="50" t="str">
        <f>IF(AND('Mapa final'!$AB$89="Baja",'Mapa final'!$AD$89="Menor"),CONCATENATE("R29C",'Mapa final'!$R$89),"")</f>
        <v/>
      </c>
      <c r="O184" s="110" t="str">
        <f>IF(AND('Mapa final'!$AB$90="Baja",'Mapa final'!$AD$90="Menor"),CONCATENATE("R29C",'Mapa final'!$R$90),"")</f>
        <v/>
      </c>
      <c r="P184" s="49" t="str">
        <f ca="1">IF(AND('Mapa final'!$AB$88="Baja",'Mapa final'!$AD$88="Moderado"),CONCATENATE("R29C",'Mapa final'!$R$88),"")</f>
        <v/>
      </c>
      <c r="Q184" s="50" t="str">
        <f>IF(AND('Mapa final'!$AB$89="Baja",'Mapa final'!$AD$89="Moderado"),CONCATENATE("R29C",'Mapa final'!$R$89),"")</f>
        <v/>
      </c>
      <c r="R184" s="110" t="str">
        <f>IF(AND('Mapa final'!$AB$90="Baja",'Mapa final'!$AD$90="Moderado"),CONCATENATE("R29C",'Mapa final'!$R$90),"")</f>
        <v/>
      </c>
      <c r="S184" s="104" t="str">
        <f ca="1">IF(AND('Mapa final'!$AB$88="Baja",'Mapa final'!$AD$88="Mayor"),CONCATENATE("R29C",'Mapa final'!$R$88),"")</f>
        <v>R29C1</v>
      </c>
      <c r="T184" s="42" t="str">
        <f>IF(AND('Mapa final'!$AB$89="Baja",'Mapa final'!$AD$89="Mayor"),CONCATENATE("R29C",'Mapa final'!$R$89),"")</f>
        <v/>
      </c>
      <c r="U184" s="105" t="str">
        <f>IF(AND('Mapa final'!$AB$90="Baja",'Mapa final'!$AD$90="Mayor"),CONCATENATE("R29C",'Mapa final'!$R$90),"")</f>
        <v/>
      </c>
      <c r="V184" s="43" t="str">
        <f ca="1">IF(AND('Mapa final'!$AB$88="Baja",'Mapa final'!$AD$88="Catastrófico"),CONCATENATE("R29C",'Mapa final'!$R$88),"")</f>
        <v/>
      </c>
      <c r="W184" s="44" t="str">
        <f>IF(AND('Mapa final'!$AB$89="Baja",'Mapa final'!$AD$89="Catastrófico"),CONCATENATE("R29C",'Mapa final'!$R$89),"")</f>
        <v/>
      </c>
      <c r="X184" s="99" t="str">
        <f>IF(AND('Mapa final'!$AB$90="Baja",'Mapa final'!$AD$90="Catastrófico"),CONCATENATE("R29C",'Mapa final'!$R$90),"")</f>
        <v/>
      </c>
      <c r="Y184" s="56"/>
      <c r="Z184" s="291"/>
      <c r="AA184" s="292"/>
      <c r="AB184" s="292"/>
      <c r="AC184" s="292"/>
      <c r="AD184" s="292"/>
      <c r="AE184" s="293"/>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row>
    <row r="185" spans="1:61" ht="15" customHeight="1" x14ac:dyDescent="0.25">
      <c r="A185" s="56"/>
      <c r="B185" s="286"/>
      <c r="C185" s="286"/>
      <c r="D185" s="287"/>
      <c r="E185" s="276"/>
      <c r="F185" s="275"/>
      <c r="G185" s="275"/>
      <c r="H185" s="275"/>
      <c r="I185" s="275"/>
      <c r="J185" s="114" t="str">
        <f ca="1">IF(AND('Mapa final'!$AB$91="Baja",'Mapa final'!$AD$91="Leve"),CONCATENATE("R30C",'Mapa final'!$R$91),"")</f>
        <v/>
      </c>
      <c r="K185" s="54" t="str">
        <f>IF(AND('Mapa final'!$AB$92="Baja",'Mapa final'!$AD$92="Leve"),CONCATENATE("R30C",'Mapa final'!$R$92),"")</f>
        <v/>
      </c>
      <c r="L185" s="115" t="str">
        <f>IF(AND('Mapa final'!$AB$93="Baja",'Mapa final'!$AD$93="Leve"),CONCATENATE("R30C",'Mapa final'!$R$93),"")</f>
        <v/>
      </c>
      <c r="M185" s="49" t="str">
        <f ca="1">IF(AND('Mapa final'!$AB$91="Baja",'Mapa final'!$AD$91="Menor"),CONCATENATE("R30C",'Mapa final'!$R$91),"")</f>
        <v/>
      </c>
      <c r="N185" s="50" t="str">
        <f>IF(AND('Mapa final'!$AB$92="Baja",'Mapa final'!$AD$92="Menor"),CONCATENATE("R30C",'Mapa final'!$R$92),"")</f>
        <v/>
      </c>
      <c r="O185" s="110" t="str">
        <f>IF(AND('Mapa final'!$AB$93="Baja",'Mapa final'!$AD$93="Menor"),CONCATENATE("R30C",'Mapa final'!$R$93),"")</f>
        <v/>
      </c>
      <c r="P185" s="49" t="str">
        <f ca="1">IF(AND('Mapa final'!$AB$91="Baja",'Mapa final'!$AD$91="Moderado"),CONCATENATE("R30C",'Mapa final'!$R$91),"")</f>
        <v/>
      </c>
      <c r="Q185" s="50" t="str">
        <f>IF(AND('Mapa final'!$AB$92="Baja",'Mapa final'!$AD$92="Moderado"),CONCATENATE("R30C",'Mapa final'!$R$92),"")</f>
        <v/>
      </c>
      <c r="R185" s="110" t="str">
        <f>IF(AND('Mapa final'!$AB$93="Baja",'Mapa final'!$AD$93="Moderado"),CONCATENATE("R30C",'Mapa final'!$R$93),"")</f>
        <v/>
      </c>
      <c r="S185" s="104" t="str">
        <f ca="1">IF(AND('Mapa final'!$AB$91="Baja",'Mapa final'!$AD$91="Mayor"),CONCATENATE("R30C",'Mapa final'!$R$91),"")</f>
        <v/>
      </c>
      <c r="T185" s="42" t="str">
        <f>IF(AND('Mapa final'!$AB$92="Baja",'Mapa final'!$AD$92="Mayor"),CONCATENATE("R30C",'Mapa final'!$R$92),"")</f>
        <v>R30C2</v>
      </c>
      <c r="U185" s="105" t="str">
        <f>IF(AND('Mapa final'!$AB$93="Baja",'Mapa final'!$AD$93="Mayor"),CONCATENATE("R30C",'Mapa final'!$R$93),"")</f>
        <v/>
      </c>
      <c r="V185" s="43" t="str">
        <f ca="1">IF(AND('Mapa final'!$AB$91="Baja",'Mapa final'!$AD$91="Catastrófico"),CONCATENATE("R30C",'Mapa final'!$R$91),"")</f>
        <v/>
      </c>
      <c r="W185" s="44" t="str">
        <f>IF(AND('Mapa final'!$AB$92="Baja",'Mapa final'!$AD$92="Catastrófico"),CONCATENATE("R30C",'Mapa final'!$R$92),"")</f>
        <v/>
      </c>
      <c r="X185" s="99" t="str">
        <f>IF(AND('Mapa final'!$AB$93="Baja",'Mapa final'!$AD$93="Catastrófico"),CONCATENATE("R30C",'Mapa final'!$R$93),"")</f>
        <v/>
      </c>
      <c r="Y185" s="56"/>
      <c r="Z185" s="291"/>
      <c r="AA185" s="292"/>
      <c r="AB185" s="292"/>
      <c r="AC185" s="292"/>
      <c r="AD185" s="292"/>
      <c r="AE185" s="293"/>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row>
    <row r="186" spans="1:61" ht="15" customHeight="1" x14ac:dyDescent="0.25">
      <c r="A186" s="56"/>
      <c r="B186" s="286"/>
      <c r="C186" s="286"/>
      <c r="D186" s="287"/>
      <c r="E186" s="276"/>
      <c r="F186" s="275"/>
      <c r="G186" s="275"/>
      <c r="H186" s="275"/>
      <c r="I186" s="275"/>
      <c r="J186" s="114" t="str">
        <f ca="1">IF(AND('Mapa final'!$AB$94="Baja",'Mapa final'!$AD$94="Leve"),CONCATENATE("R31C",'Mapa final'!$R$94),"")</f>
        <v/>
      </c>
      <c r="K186" s="54" t="str">
        <f>IF(AND('Mapa final'!$AB$95="Baja",'Mapa final'!$AD$95="Leve"),CONCATENATE("R31C",'Mapa final'!$R$95),"")</f>
        <v/>
      </c>
      <c r="L186" s="115" t="str">
        <f>IF(AND('Mapa final'!$AB$96="Baja",'Mapa final'!$AD$96="Leve"),CONCATENATE("R31C",'Mapa final'!$R$96),"")</f>
        <v/>
      </c>
      <c r="M186" s="49" t="str">
        <f ca="1">IF(AND('Mapa final'!$AB$94="Baja",'Mapa final'!$AD$94="Menor"),CONCATENATE("R31C",'Mapa final'!$R$94),"")</f>
        <v/>
      </c>
      <c r="N186" s="50" t="str">
        <f>IF(AND('Mapa final'!$AB$95="Baja",'Mapa final'!$AD$95="Menor"),CONCATENATE("R31C",'Mapa final'!$R$95),"")</f>
        <v/>
      </c>
      <c r="O186" s="110" t="str">
        <f>IF(AND('Mapa final'!$AB$96="Baja",'Mapa final'!$AD$96="Menor"),CONCATENATE("R31C",'Mapa final'!$R$96),"")</f>
        <v/>
      </c>
      <c r="P186" s="49" t="str">
        <f ca="1">IF(AND('Mapa final'!$AB$94="Baja",'Mapa final'!$AD$94="Moderado"),CONCATENATE("R31C",'Mapa final'!$R$94),"")</f>
        <v>R31C1</v>
      </c>
      <c r="Q186" s="50" t="str">
        <f>IF(AND('Mapa final'!$AB$95="Baja",'Mapa final'!$AD$95="Moderado"),CONCATENATE("R31C",'Mapa final'!$R$95),"")</f>
        <v/>
      </c>
      <c r="R186" s="110" t="str">
        <f>IF(AND('Mapa final'!$AB$96="Baja",'Mapa final'!$AD$96="Moderado"),CONCATENATE("R31C",'Mapa final'!$R$96),"")</f>
        <v/>
      </c>
      <c r="S186" s="104" t="str">
        <f ca="1">IF(AND('Mapa final'!$AB$94="Baja",'Mapa final'!$AD$94="Mayor"),CONCATENATE("R31C",'Mapa final'!$R$94),"")</f>
        <v/>
      </c>
      <c r="T186" s="42" t="str">
        <f>IF(AND('Mapa final'!$AB$95="Baja",'Mapa final'!$AD$95="Mayor"),CONCATENATE("R31C",'Mapa final'!$R$95),"")</f>
        <v/>
      </c>
      <c r="U186" s="105" t="str">
        <f>IF(AND('Mapa final'!$AB$96="Baja",'Mapa final'!$AD$96="Mayor"),CONCATENATE("R31C",'Mapa final'!$R$96),"")</f>
        <v/>
      </c>
      <c r="V186" s="43" t="str">
        <f ca="1">IF(AND('Mapa final'!$AB$94="Baja",'Mapa final'!$AD$94="Catastrófico"),CONCATENATE("R31C",'Mapa final'!$R$94),"")</f>
        <v/>
      </c>
      <c r="W186" s="44" t="str">
        <f>IF(AND('Mapa final'!$AB$95="Baja",'Mapa final'!$AD$95="Catastrófico"),CONCATENATE("R31C",'Mapa final'!$R$95),"")</f>
        <v/>
      </c>
      <c r="X186" s="99" t="str">
        <f>IF(AND('Mapa final'!$AB$96="Baja",'Mapa final'!$AD$96="Catastrófico"),CONCATENATE("R31C",'Mapa final'!$R$96),"")</f>
        <v/>
      </c>
      <c r="Y186" s="56"/>
      <c r="Z186" s="291"/>
      <c r="AA186" s="292"/>
      <c r="AB186" s="292"/>
      <c r="AC186" s="292"/>
      <c r="AD186" s="292"/>
      <c r="AE186" s="293"/>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row>
    <row r="187" spans="1:61" ht="15" customHeight="1" x14ac:dyDescent="0.25">
      <c r="A187" s="56"/>
      <c r="B187" s="286"/>
      <c r="C187" s="286"/>
      <c r="D187" s="287"/>
      <c r="E187" s="276"/>
      <c r="F187" s="275"/>
      <c r="G187" s="275"/>
      <c r="H187" s="275"/>
      <c r="I187" s="275"/>
      <c r="J187" s="114" t="e">
        <f>IF(AND('Mapa final'!#REF!="Baja",'Mapa final'!#REF!="Leve"),CONCATENATE("R32C",'Mapa final'!#REF!),"")</f>
        <v>#REF!</v>
      </c>
      <c r="K187" s="54" t="e">
        <f>IF(AND('Mapa final'!#REF!="Baja",'Mapa final'!#REF!="Leve"),CONCATENATE("R32C",'Mapa final'!#REF!),"")</f>
        <v>#REF!</v>
      </c>
      <c r="L187" s="115" t="e">
        <f>IF(AND('Mapa final'!#REF!="Baja",'Mapa final'!#REF!="Leve"),CONCATENATE("R32C",'Mapa final'!#REF!),"")</f>
        <v>#REF!</v>
      </c>
      <c r="M187" s="49" t="e">
        <f>IF(AND('Mapa final'!#REF!="Baja",'Mapa final'!#REF!="Menor"),CONCATENATE("R32C",'Mapa final'!#REF!),"")</f>
        <v>#REF!</v>
      </c>
      <c r="N187" s="50" t="e">
        <f>IF(AND('Mapa final'!#REF!="Baja",'Mapa final'!#REF!="Menor"),CONCATENATE("R32C",'Mapa final'!#REF!),"")</f>
        <v>#REF!</v>
      </c>
      <c r="O187" s="110" t="e">
        <f>IF(AND('Mapa final'!#REF!="Baja",'Mapa final'!#REF!="Menor"),CONCATENATE("R32C",'Mapa final'!#REF!),"")</f>
        <v>#REF!</v>
      </c>
      <c r="P187" s="49" t="e">
        <f>IF(AND('Mapa final'!#REF!="Baja",'Mapa final'!#REF!="Moderado"),CONCATENATE("R32C",'Mapa final'!#REF!),"")</f>
        <v>#REF!</v>
      </c>
      <c r="Q187" s="50" t="e">
        <f>IF(AND('Mapa final'!#REF!="Baja",'Mapa final'!#REF!="Moderado"),CONCATENATE("R32C",'Mapa final'!#REF!),"")</f>
        <v>#REF!</v>
      </c>
      <c r="R187" s="110" t="e">
        <f>IF(AND('Mapa final'!#REF!="Baja",'Mapa final'!#REF!="Moderado"),CONCATENATE("R32C",'Mapa final'!#REF!),"")</f>
        <v>#REF!</v>
      </c>
      <c r="S187" s="104" t="e">
        <f>IF(AND('Mapa final'!#REF!="Baja",'Mapa final'!#REF!="Mayor"),CONCATENATE("R32C",'Mapa final'!#REF!),"")</f>
        <v>#REF!</v>
      </c>
      <c r="T187" s="42" t="e">
        <f>IF(AND('Mapa final'!#REF!="Baja",'Mapa final'!#REF!="Mayor"),CONCATENATE("R32C",'Mapa final'!#REF!),"")</f>
        <v>#REF!</v>
      </c>
      <c r="U187" s="105" t="e">
        <f>IF(AND('Mapa final'!#REF!="Baja",'Mapa final'!#REF!="Mayor"),CONCATENATE("R32C",'Mapa final'!#REF!),"")</f>
        <v>#REF!</v>
      </c>
      <c r="V187" s="43" t="e">
        <f>IF(AND('Mapa final'!#REF!="Baja",'Mapa final'!#REF!="Catastrófico"),CONCATENATE("R32C",'Mapa final'!#REF!),"")</f>
        <v>#REF!</v>
      </c>
      <c r="W187" s="44" t="e">
        <f>IF(AND('Mapa final'!#REF!="Baja",'Mapa final'!#REF!="Catastrófico"),CONCATENATE("R32C",'Mapa final'!#REF!),"")</f>
        <v>#REF!</v>
      </c>
      <c r="X187" s="99" t="e">
        <f>IF(AND('Mapa final'!#REF!="Baja",'Mapa final'!#REF!="Catastrófico"),CONCATENATE("R32C",'Mapa final'!#REF!),"")</f>
        <v>#REF!</v>
      </c>
      <c r="Y187" s="56"/>
      <c r="Z187" s="291"/>
      <c r="AA187" s="292"/>
      <c r="AB187" s="292"/>
      <c r="AC187" s="292"/>
      <c r="AD187" s="292"/>
      <c r="AE187" s="293"/>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56"/>
      <c r="BF187" s="56"/>
      <c r="BG187" s="56"/>
      <c r="BH187" s="56"/>
      <c r="BI187" s="56"/>
    </row>
    <row r="188" spans="1:61" ht="15" customHeight="1" x14ac:dyDescent="0.25">
      <c r="A188" s="56"/>
      <c r="B188" s="286"/>
      <c r="C188" s="286"/>
      <c r="D188" s="287"/>
      <c r="E188" s="276"/>
      <c r="F188" s="275"/>
      <c r="G188" s="275"/>
      <c r="H188" s="275"/>
      <c r="I188" s="275"/>
      <c r="J188" s="114" t="str">
        <f>IF(AND('Mapa final'!$AB$97="Baja",'Mapa final'!$AD$97="Leve"),CONCATENATE("R33C",'Mapa final'!$R$97),"")</f>
        <v/>
      </c>
      <c r="K188" s="54" t="str">
        <f>IF(AND('Mapa final'!$AB$98="Baja",'Mapa final'!$AD$98="Leve"),CONCATENATE("R33C",'Mapa final'!$R$98),"")</f>
        <v/>
      </c>
      <c r="L188" s="115" t="str">
        <f>IF(AND('Mapa final'!$AB$99="Baja",'Mapa final'!$AD$99="Leve"),CONCATENATE("R33C",'Mapa final'!$R$99),"")</f>
        <v/>
      </c>
      <c r="M188" s="49" t="str">
        <f>IF(AND('Mapa final'!$AB$97="Baja",'Mapa final'!$AD$97="Menor"),CONCATENATE("R33C",'Mapa final'!$R$97),"")</f>
        <v/>
      </c>
      <c r="N188" s="50" t="str">
        <f>IF(AND('Mapa final'!$AB$98="Baja",'Mapa final'!$AD$98="Menor"),CONCATENATE("R33C",'Mapa final'!$R$98),"")</f>
        <v/>
      </c>
      <c r="O188" s="110" t="str">
        <f>IF(AND('Mapa final'!$AB$99="Baja",'Mapa final'!$AD$99="Menor"),CONCATENATE("R33C",'Mapa final'!$R$99),"")</f>
        <v/>
      </c>
      <c r="P188" s="49" t="str">
        <f>IF(AND('Mapa final'!$AB$97="Baja",'Mapa final'!$AD$97="Moderado"),CONCATENATE("R33C",'Mapa final'!$R$97),"")</f>
        <v/>
      </c>
      <c r="Q188" s="50" t="str">
        <f>IF(AND('Mapa final'!$AB$98="Baja",'Mapa final'!$AD$98="Moderado"),CONCATENATE("R33C",'Mapa final'!$R$98),"")</f>
        <v/>
      </c>
      <c r="R188" s="110" t="str">
        <f>IF(AND('Mapa final'!$AB$99="Baja",'Mapa final'!$AD$99="Moderado"),CONCATENATE("R33C",'Mapa final'!$R$99),"")</f>
        <v/>
      </c>
      <c r="S188" s="104" t="str">
        <f>IF(AND('Mapa final'!$AB$97="Baja",'Mapa final'!$AD$97="Mayor"),CONCATENATE("R33C",'Mapa final'!$R$97),"")</f>
        <v/>
      </c>
      <c r="T188" s="42" t="str">
        <f>IF(AND('Mapa final'!$AB$98="Baja",'Mapa final'!$AD$98="Mayor"),CONCATENATE("R33C",'Mapa final'!$R$98),"")</f>
        <v/>
      </c>
      <c r="U188" s="105" t="str">
        <f>IF(AND('Mapa final'!$AB$99="Baja",'Mapa final'!$AD$99="Mayor"),CONCATENATE("R33C",'Mapa final'!$R$99),"")</f>
        <v/>
      </c>
      <c r="V188" s="43" t="str">
        <f>IF(AND('Mapa final'!$AB$97="Baja",'Mapa final'!$AD$97="Catastrófico"),CONCATENATE("R33C",'Mapa final'!$R$97),"")</f>
        <v/>
      </c>
      <c r="W188" s="44" t="str">
        <f>IF(AND('Mapa final'!$AB$98="Baja",'Mapa final'!$AD$98="Catastrófico"),CONCATENATE("R33C",'Mapa final'!$R$98),"")</f>
        <v/>
      </c>
      <c r="X188" s="99" t="str">
        <f>IF(AND('Mapa final'!$AB$99="Baja",'Mapa final'!$AD$99="Catastrófico"),CONCATENATE("R33C",'Mapa final'!$R$99),"")</f>
        <v/>
      </c>
      <c r="Y188" s="56"/>
      <c r="Z188" s="291"/>
      <c r="AA188" s="292"/>
      <c r="AB188" s="292"/>
      <c r="AC188" s="292"/>
      <c r="AD188" s="292"/>
      <c r="AE188" s="293"/>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row>
    <row r="189" spans="1:61" ht="15" customHeight="1" x14ac:dyDescent="0.25">
      <c r="A189" s="56"/>
      <c r="B189" s="286"/>
      <c r="C189" s="286"/>
      <c r="D189" s="287"/>
      <c r="E189" s="276"/>
      <c r="F189" s="275"/>
      <c r="G189" s="275"/>
      <c r="H189" s="275"/>
      <c r="I189" s="275"/>
      <c r="J189" s="114" t="str">
        <f ca="1">IF(AND('Mapa final'!$AB$100="Baja",'Mapa final'!$AD$100="Leve"),CONCATENATE("R34C",'Mapa final'!$R$100),"")</f>
        <v/>
      </c>
      <c r="K189" s="54" t="str">
        <f>IF(AND('Mapa final'!$AB$101="Baja",'Mapa final'!$AD$101="Leve"),CONCATENATE("R34C",'Mapa final'!$R$101),"")</f>
        <v/>
      </c>
      <c r="L189" s="115" t="str">
        <f>IF(AND('Mapa final'!$AB$102="Baja",'Mapa final'!$AD$102="Leve"),CONCATENATE("R34C",'Mapa final'!$R$102),"")</f>
        <v/>
      </c>
      <c r="M189" s="49" t="str">
        <f ca="1">IF(AND('Mapa final'!$AB$100="Baja",'Mapa final'!$AD$100="Menor"),CONCATENATE("R34C",'Mapa final'!$R$100),"")</f>
        <v/>
      </c>
      <c r="N189" s="50" t="str">
        <f>IF(AND('Mapa final'!$AB$101="Baja",'Mapa final'!$AD$101="Menor"),CONCATENATE("R34C",'Mapa final'!$R$101),"")</f>
        <v/>
      </c>
      <c r="O189" s="110" t="str">
        <f>IF(AND('Mapa final'!$AB$102="Baja",'Mapa final'!$AD$102="Menor"),CONCATENATE("R34C",'Mapa final'!$R$102),"")</f>
        <v/>
      </c>
      <c r="P189" s="49" t="str">
        <f ca="1">IF(AND('Mapa final'!$AB$100="Baja",'Mapa final'!$AD$100="Moderado"),CONCATENATE("R34C",'Mapa final'!$R$100),"")</f>
        <v/>
      </c>
      <c r="Q189" s="50" t="str">
        <f>IF(AND('Mapa final'!$AB$101="Baja",'Mapa final'!$AD$101="Moderado"),CONCATENATE("R34C",'Mapa final'!$R$101),"")</f>
        <v>R34C2</v>
      </c>
      <c r="R189" s="110" t="str">
        <f>IF(AND('Mapa final'!$AB$102="Baja",'Mapa final'!$AD$102="Moderado"),CONCATENATE("R34C",'Mapa final'!$R$102),"")</f>
        <v/>
      </c>
      <c r="S189" s="104" t="str">
        <f ca="1">IF(AND('Mapa final'!$AB$100="Baja",'Mapa final'!$AD$100="Mayor"),CONCATENATE("R34C",'Mapa final'!$R$100),"")</f>
        <v/>
      </c>
      <c r="T189" s="42" t="str">
        <f>IF(AND('Mapa final'!$AB$101="Baja",'Mapa final'!$AD$101="Mayor"),CONCATENATE("R34C",'Mapa final'!$R$101),"")</f>
        <v/>
      </c>
      <c r="U189" s="105" t="str">
        <f>IF(AND('Mapa final'!$AB$102="Baja",'Mapa final'!$AD$102="Mayor"),CONCATENATE("R34C",'Mapa final'!$R$102),"")</f>
        <v/>
      </c>
      <c r="V189" s="43" t="str">
        <f ca="1">IF(AND('Mapa final'!$AB$100="Baja",'Mapa final'!$AD$100="Catastrófico"),CONCATENATE("R34C",'Mapa final'!$R$100),"")</f>
        <v/>
      </c>
      <c r="W189" s="44" t="str">
        <f>IF(AND('Mapa final'!$AB$101="Baja",'Mapa final'!$AD$101="Catastrófico"),CONCATENATE("R34C",'Mapa final'!$R$101),"")</f>
        <v/>
      </c>
      <c r="X189" s="99" t="str">
        <f>IF(AND('Mapa final'!$AB$102="Baja",'Mapa final'!$AD$102="Catastrófico"),CONCATENATE("R34C",'Mapa final'!$R$102),"")</f>
        <v/>
      </c>
      <c r="Y189" s="56"/>
      <c r="Z189" s="291"/>
      <c r="AA189" s="292"/>
      <c r="AB189" s="292"/>
      <c r="AC189" s="292"/>
      <c r="AD189" s="292"/>
      <c r="AE189" s="293"/>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row>
    <row r="190" spans="1:61" ht="15" customHeight="1" x14ac:dyDescent="0.25">
      <c r="A190" s="56"/>
      <c r="B190" s="286"/>
      <c r="C190" s="286"/>
      <c r="D190" s="287"/>
      <c r="E190" s="276"/>
      <c r="F190" s="275"/>
      <c r="G190" s="275"/>
      <c r="H190" s="275"/>
      <c r="I190" s="275"/>
      <c r="J190" s="114" t="str">
        <f ca="1">IF(AND('Mapa final'!$AB$103="Baja",'Mapa final'!$AD$103="Leve"),CONCATENATE("R35C",'Mapa final'!$R$103),"")</f>
        <v/>
      </c>
      <c r="K190" s="54" t="str">
        <f>IF(AND('Mapa final'!$AB$104="Baja",'Mapa final'!$AD$104="Leve"),CONCATENATE("R35C",'Mapa final'!$R$104),"")</f>
        <v/>
      </c>
      <c r="L190" s="115" t="str">
        <f>IF(AND('Mapa final'!$AB$105="Baja",'Mapa final'!$AD$105="Leve"),CONCATENATE("R35C",'Mapa final'!$R$105),"")</f>
        <v/>
      </c>
      <c r="M190" s="49" t="str">
        <f ca="1">IF(AND('Mapa final'!$AB$103="Baja",'Mapa final'!$AD$103="Menor"),CONCATENATE("R35C",'Mapa final'!$R$103),"")</f>
        <v/>
      </c>
      <c r="N190" s="50" t="str">
        <f>IF(AND('Mapa final'!$AB$104="Baja",'Mapa final'!$AD$104="Menor"),CONCATENATE("R35C",'Mapa final'!$R$104),"")</f>
        <v/>
      </c>
      <c r="O190" s="110" t="str">
        <f>IF(AND('Mapa final'!$AB$105="Baja",'Mapa final'!$AD$105="Menor"),CONCATENATE("R35C",'Mapa final'!$R$105),"")</f>
        <v/>
      </c>
      <c r="P190" s="49" t="str">
        <f ca="1">IF(AND('Mapa final'!$AB$103="Baja",'Mapa final'!$AD$103="Moderado"),CONCATENATE("R35C",'Mapa final'!$R$103),"")</f>
        <v>R35C1</v>
      </c>
      <c r="Q190" s="50" t="str">
        <f>IF(AND('Mapa final'!$AB$104="Baja",'Mapa final'!$AD$104="Moderado"),CONCATENATE("R35C",'Mapa final'!$R$104),"")</f>
        <v>R35C2</v>
      </c>
      <c r="R190" s="110" t="str">
        <f>IF(AND('Mapa final'!$AB$105="Baja",'Mapa final'!$AD$105="Moderado"),CONCATENATE("R35C",'Mapa final'!$R$105),"")</f>
        <v/>
      </c>
      <c r="S190" s="104" t="str">
        <f ca="1">IF(AND('Mapa final'!$AB$103="Baja",'Mapa final'!$AD$103="Mayor"),CONCATENATE("R35C",'Mapa final'!$R$103),"")</f>
        <v/>
      </c>
      <c r="T190" s="42" t="str">
        <f>IF(AND('Mapa final'!$AB$104="Baja",'Mapa final'!$AD$104="Mayor"),CONCATENATE("R35C",'Mapa final'!$R$104),"")</f>
        <v/>
      </c>
      <c r="U190" s="105" t="str">
        <f>IF(AND('Mapa final'!$AB$105="Baja",'Mapa final'!$AD$105="Mayor"),CONCATENATE("R35C",'Mapa final'!$R$105),"")</f>
        <v/>
      </c>
      <c r="V190" s="43" t="str">
        <f ca="1">IF(AND('Mapa final'!$AB$103="Baja",'Mapa final'!$AD$103="Catastrófico"),CONCATENATE("R35C",'Mapa final'!$R$103),"")</f>
        <v/>
      </c>
      <c r="W190" s="44" t="str">
        <f>IF(AND('Mapa final'!$AB$104="Baja",'Mapa final'!$AD$104="Catastrófico"),CONCATENATE("R35C",'Mapa final'!$R$104),"")</f>
        <v/>
      </c>
      <c r="X190" s="99" t="str">
        <f>IF(AND('Mapa final'!$AB$105="Baja",'Mapa final'!$AD$105="Catastrófico"),CONCATENATE("R35C",'Mapa final'!$R$105),"")</f>
        <v/>
      </c>
      <c r="Y190" s="56"/>
      <c r="Z190" s="291"/>
      <c r="AA190" s="292"/>
      <c r="AB190" s="292"/>
      <c r="AC190" s="292"/>
      <c r="AD190" s="292"/>
      <c r="AE190" s="293"/>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row>
    <row r="191" spans="1:61" ht="15" customHeight="1" x14ac:dyDescent="0.25">
      <c r="A191" s="56"/>
      <c r="B191" s="286"/>
      <c r="C191" s="286"/>
      <c r="D191" s="287"/>
      <c r="E191" s="276"/>
      <c r="F191" s="275"/>
      <c r="G191" s="275"/>
      <c r="H191" s="275"/>
      <c r="I191" s="275"/>
      <c r="J191" s="114" t="str">
        <f ca="1">IF(AND('Mapa final'!$AB$106="Baja",'Mapa final'!$AD$106="Leve"),CONCATENATE("R36C",'Mapa final'!$R$106),"")</f>
        <v/>
      </c>
      <c r="K191" s="54" t="str">
        <f>IF(AND('Mapa final'!$AB$107="Baja",'Mapa final'!$AD$107="Leve"),CONCATENATE("R36C",'Mapa final'!$R$107),"")</f>
        <v/>
      </c>
      <c r="L191" s="115" t="str">
        <f>IF(AND('Mapa final'!$AB$108="Baja",'Mapa final'!$AD$108="Leve"),CONCATENATE("R36C",'Mapa final'!$R$108),"")</f>
        <v/>
      </c>
      <c r="M191" s="49" t="str">
        <f ca="1">IF(AND('Mapa final'!$AB$106="Baja",'Mapa final'!$AD$106="Menor"),CONCATENATE("R36C",'Mapa final'!$R$106),"")</f>
        <v/>
      </c>
      <c r="N191" s="50" t="str">
        <f>IF(AND('Mapa final'!$AB$107="Baja",'Mapa final'!$AD$107="Menor"),CONCATENATE("R36C",'Mapa final'!$R$107),"")</f>
        <v/>
      </c>
      <c r="O191" s="110" t="str">
        <f>IF(AND('Mapa final'!$AB$108="Baja",'Mapa final'!$AD$108="Menor"),CONCATENATE("R36C",'Mapa final'!$R$108),"")</f>
        <v/>
      </c>
      <c r="P191" s="49" t="str">
        <f ca="1">IF(AND('Mapa final'!$AB$106="Baja",'Mapa final'!$AD$106="Moderado"),CONCATENATE("R36C",'Mapa final'!$R$106),"")</f>
        <v/>
      </c>
      <c r="Q191" s="50" t="str">
        <f>IF(AND('Mapa final'!$AB$107="Baja",'Mapa final'!$AD$107="Moderado"),CONCATENATE("R36C",'Mapa final'!$R$107),"")</f>
        <v/>
      </c>
      <c r="R191" s="110" t="str">
        <f>IF(AND('Mapa final'!$AB$108="Baja",'Mapa final'!$AD$108="Moderado"),CONCATENATE("R36C",'Mapa final'!$R$108),"")</f>
        <v/>
      </c>
      <c r="S191" s="104" t="str">
        <f ca="1">IF(AND('Mapa final'!$AB$106="Baja",'Mapa final'!$AD$106="Mayor"),CONCATENATE("R36C",'Mapa final'!$R$106),"")</f>
        <v>R36C1</v>
      </c>
      <c r="T191" s="42" t="str">
        <f>IF(AND('Mapa final'!$AB$107="Baja",'Mapa final'!$AD$107="Mayor"),CONCATENATE("R36C",'Mapa final'!$R$107),"")</f>
        <v>R36C2</v>
      </c>
      <c r="U191" s="105" t="str">
        <f>IF(AND('Mapa final'!$AB$108="Baja",'Mapa final'!$AD$108="Mayor"),CONCATENATE("R36C",'Mapa final'!$R$108),"")</f>
        <v/>
      </c>
      <c r="V191" s="43" t="str">
        <f ca="1">IF(AND('Mapa final'!$AB$106="Baja",'Mapa final'!$AD$106="Catastrófico"),CONCATENATE("R36C",'Mapa final'!$R$106),"")</f>
        <v/>
      </c>
      <c r="W191" s="44" t="str">
        <f>IF(AND('Mapa final'!$AB$107="Baja",'Mapa final'!$AD$107="Catastrófico"),CONCATENATE("R36C",'Mapa final'!$R$107),"")</f>
        <v/>
      </c>
      <c r="X191" s="99" t="str">
        <f>IF(AND('Mapa final'!$AB$108="Baja",'Mapa final'!$AD$108="Catastrófico"),CONCATENATE("R36C",'Mapa final'!$R$108),"")</f>
        <v/>
      </c>
      <c r="Y191" s="56"/>
      <c r="Z191" s="291"/>
      <c r="AA191" s="292"/>
      <c r="AB191" s="292"/>
      <c r="AC191" s="292"/>
      <c r="AD191" s="292"/>
      <c r="AE191" s="293"/>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6"/>
      <c r="BE191" s="56"/>
      <c r="BF191" s="56"/>
      <c r="BG191" s="56"/>
      <c r="BH191" s="56"/>
      <c r="BI191" s="56"/>
    </row>
    <row r="192" spans="1:61" ht="15" customHeight="1" x14ac:dyDescent="0.25">
      <c r="A192" s="56"/>
      <c r="B192" s="286"/>
      <c r="C192" s="286"/>
      <c r="D192" s="287"/>
      <c r="E192" s="276"/>
      <c r="F192" s="275"/>
      <c r="G192" s="275"/>
      <c r="H192" s="275"/>
      <c r="I192" s="275"/>
      <c r="J192" s="114" t="str">
        <f ca="1">IF(AND('Mapa final'!$AB$109="Baja",'Mapa final'!$AD$109="Leve"),CONCATENATE("R37C",'Mapa final'!$R$109),"")</f>
        <v/>
      </c>
      <c r="K192" s="54" t="str">
        <f>IF(AND('Mapa final'!$AB$110="Baja",'Mapa final'!$AD$110="Leve"),CONCATENATE("R37C",'Mapa final'!$R$110),"")</f>
        <v/>
      </c>
      <c r="L192" s="115" t="str">
        <f>IF(AND('Mapa final'!$AB$111="Baja",'Mapa final'!$AD$111="Leve"),CONCATENATE("R37C",'Mapa final'!$R$111),"")</f>
        <v/>
      </c>
      <c r="M192" s="49" t="str">
        <f ca="1">IF(AND('Mapa final'!$AB$109="Baja",'Mapa final'!$AD$109="Menor"),CONCATENATE("R37C",'Mapa final'!$R$109),"")</f>
        <v>R37C1</v>
      </c>
      <c r="N192" s="50" t="str">
        <f>IF(AND('Mapa final'!$AB$110="Baja",'Mapa final'!$AD$110="Menor"),CONCATENATE("R37C",'Mapa final'!$R$110),"")</f>
        <v>R37C2</v>
      </c>
      <c r="O192" s="110" t="str">
        <f>IF(AND('Mapa final'!$AB$111="Baja",'Mapa final'!$AD$111="Menor"),CONCATENATE("R37C",'Mapa final'!$R$111),"")</f>
        <v/>
      </c>
      <c r="P192" s="49" t="str">
        <f ca="1">IF(AND('Mapa final'!$AB$109="Baja",'Mapa final'!$AD$109="Moderado"),CONCATENATE("R37C",'Mapa final'!$R$109),"")</f>
        <v/>
      </c>
      <c r="Q192" s="50" t="str">
        <f>IF(AND('Mapa final'!$AB$110="Baja",'Mapa final'!$AD$110="Moderado"),CONCATENATE("R37C",'Mapa final'!$R$110),"")</f>
        <v/>
      </c>
      <c r="R192" s="110" t="str">
        <f>IF(AND('Mapa final'!$AB$111="Baja",'Mapa final'!$AD$111="Moderado"),CONCATENATE("R37C",'Mapa final'!$R$111),"")</f>
        <v/>
      </c>
      <c r="S192" s="104" t="str">
        <f ca="1">IF(AND('Mapa final'!$AB$109="Baja",'Mapa final'!$AD$109="Mayor"),CONCATENATE("R37C",'Mapa final'!$R$109),"")</f>
        <v/>
      </c>
      <c r="T192" s="42" t="str">
        <f>IF(AND('Mapa final'!$AB$110="Baja",'Mapa final'!$AD$110="Mayor"),CONCATENATE("R37C",'Mapa final'!$R$110),"")</f>
        <v/>
      </c>
      <c r="U192" s="105" t="str">
        <f>IF(AND('Mapa final'!$AB$111="Baja",'Mapa final'!$AD$111="Mayor"),CONCATENATE("R37C",'Mapa final'!$R$111),"")</f>
        <v/>
      </c>
      <c r="V192" s="43" t="str">
        <f ca="1">IF(AND('Mapa final'!$AB$109="Baja",'Mapa final'!$AD$109="Catastrófico"),CONCATENATE("R37C",'Mapa final'!$R$109),"")</f>
        <v/>
      </c>
      <c r="W192" s="44" t="str">
        <f>IF(AND('Mapa final'!$AB$110="Baja",'Mapa final'!$AD$110="Catastrófico"),CONCATENATE("R37C",'Mapa final'!$R$110),"")</f>
        <v/>
      </c>
      <c r="X192" s="99" t="str">
        <f>IF(AND('Mapa final'!$AB$111="Baja",'Mapa final'!$AD$111="Catastrófico"),CONCATENATE("R37C",'Mapa final'!$R$111),"")</f>
        <v/>
      </c>
      <c r="Y192" s="56"/>
      <c r="Z192" s="291"/>
      <c r="AA192" s="292"/>
      <c r="AB192" s="292"/>
      <c r="AC192" s="292"/>
      <c r="AD192" s="292"/>
      <c r="AE192" s="293"/>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6"/>
      <c r="BE192" s="56"/>
      <c r="BF192" s="56"/>
      <c r="BG192" s="56"/>
      <c r="BH192" s="56"/>
      <c r="BI192" s="56"/>
    </row>
    <row r="193" spans="1:65" ht="15" customHeight="1" x14ac:dyDescent="0.25">
      <c r="A193" s="56"/>
      <c r="B193" s="286"/>
      <c r="C193" s="286"/>
      <c r="D193" s="287"/>
      <c r="E193" s="276"/>
      <c r="F193" s="275"/>
      <c r="G193" s="275"/>
      <c r="H193" s="275"/>
      <c r="I193" s="275"/>
      <c r="J193" s="114" t="str">
        <f ca="1">IF(AND('Mapa final'!$AB$112="Baja",'Mapa final'!$AD$112="Leve"),CONCATENATE("R38C",'Mapa final'!$R$112),"")</f>
        <v/>
      </c>
      <c r="K193" s="54" t="str">
        <f>IF(AND('Mapa final'!$AB$113="Baja",'Mapa final'!$AD$113="Leve"),CONCATENATE("R38C",'Mapa final'!$R$113),"")</f>
        <v/>
      </c>
      <c r="L193" s="115" t="str">
        <f>IF(AND('Mapa final'!$AB$114="Baja",'Mapa final'!$AD$114="Leve"),CONCATENATE("R38C",'Mapa final'!$R$114),"")</f>
        <v/>
      </c>
      <c r="M193" s="49" t="str">
        <f ca="1">IF(AND('Mapa final'!$AB$112="Baja",'Mapa final'!$AD$112="Menor"),CONCATENATE("R38C",'Mapa final'!$R$112),"")</f>
        <v>R38C1</v>
      </c>
      <c r="N193" s="50" t="str">
        <f>IF(AND('Mapa final'!$AB$113="Baja",'Mapa final'!$AD$113="Menor"),CONCATENATE("R38C",'Mapa final'!$R$113),"")</f>
        <v/>
      </c>
      <c r="O193" s="110" t="str">
        <f>IF(AND('Mapa final'!$AB$114="Baja",'Mapa final'!$AD$114="Menor"),CONCATENATE("R38C",'Mapa final'!$R$114),"")</f>
        <v/>
      </c>
      <c r="P193" s="49" t="str">
        <f ca="1">IF(AND('Mapa final'!$AB$112="Baja",'Mapa final'!$AD$112="Moderado"),CONCATENATE("R38C",'Mapa final'!$R$112),"")</f>
        <v/>
      </c>
      <c r="Q193" s="50" t="str">
        <f>IF(AND('Mapa final'!$AB$113="Baja",'Mapa final'!$AD$113="Moderado"),CONCATENATE("R38C",'Mapa final'!$R$113),"")</f>
        <v/>
      </c>
      <c r="R193" s="110" t="str">
        <f>IF(AND('Mapa final'!$AB$114="Baja",'Mapa final'!$AD$114="Moderado"),CONCATENATE("R38C",'Mapa final'!$R$114),"")</f>
        <v/>
      </c>
      <c r="S193" s="104" t="str">
        <f ca="1">IF(AND('Mapa final'!$AB$112="Baja",'Mapa final'!$AD$112="Mayor"),CONCATENATE("R38C",'Mapa final'!$R$112),"")</f>
        <v/>
      </c>
      <c r="T193" s="42" t="str">
        <f>IF(AND('Mapa final'!$AB$113="Baja",'Mapa final'!$AD$113="Mayor"),CONCATENATE("R38C",'Mapa final'!$R$113),"")</f>
        <v/>
      </c>
      <c r="U193" s="105" t="str">
        <f>IF(AND('Mapa final'!$AB$114="Baja",'Mapa final'!$AD$114="Mayor"),CONCATENATE("R38C",'Mapa final'!$R$114),"")</f>
        <v/>
      </c>
      <c r="V193" s="43" t="str">
        <f ca="1">IF(AND('Mapa final'!$AB$112="Baja",'Mapa final'!$AD$112="Catastrófico"),CONCATENATE("R38C",'Mapa final'!$R$112),"")</f>
        <v/>
      </c>
      <c r="W193" s="44" t="str">
        <f>IF(AND('Mapa final'!$AB$113="Baja",'Mapa final'!$AD$113="Catastrófico"),CONCATENATE("R38C",'Mapa final'!$R$113),"")</f>
        <v/>
      </c>
      <c r="X193" s="99" t="str">
        <f>IF(AND('Mapa final'!$AB$114="Baja",'Mapa final'!$AD$114="Catastrófico"),CONCATENATE("R38C",'Mapa final'!$R$114),"")</f>
        <v/>
      </c>
      <c r="Y193" s="56"/>
      <c r="Z193" s="291"/>
      <c r="AA193" s="292"/>
      <c r="AB193" s="292"/>
      <c r="AC193" s="292"/>
      <c r="AD193" s="292"/>
      <c r="AE193" s="293"/>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56"/>
      <c r="BF193" s="56"/>
      <c r="BG193" s="56"/>
      <c r="BH193" s="56"/>
      <c r="BI193" s="56"/>
    </row>
    <row r="194" spans="1:65" ht="15" customHeight="1" x14ac:dyDescent="0.25">
      <c r="A194" s="56"/>
      <c r="B194" s="286"/>
      <c r="C194" s="286"/>
      <c r="D194" s="287"/>
      <c r="E194" s="276"/>
      <c r="F194" s="275"/>
      <c r="G194" s="275"/>
      <c r="H194" s="275"/>
      <c r="I194" s="275"/>
      <c r="J194" s="114" t="str">
        <f ca="1">IF(AND('Mapa final'!$AB$115="Baja",'Mapa final'!$AD$115="Leve"),CONCATENATE("R39C",'Mapa final'!$R$115),"")</f>
        <v/>
      </c>
      <c r="K194" s="54" t="str">
        <f>IF(AND('Mapa final'!$AB$116="Baja",'Mapa final'!$AD$116="Leve"),CONCATENATE("R39C",'Mapa final'!$R$116),"")</f>
        <v/>
      </c>
      <c r="L194" s="115" t="str">
        <f>IF(AND('Mapa final'!$AB$117="Baja",'Mapa final'!$AD$117="Leve"),CONCATENATE("R39C",'Mapa final'!$R$117),"")</f>
        <v/>
      </c>
      <c r="M194" s="49" t="str">
        <f ca="1">IF(AND('Mapa final'!$AB$115="Baja",'Mapa final'!$AD$115="Menor"),CONCATENATE("R39C",'Mapa final'!$R$115),"")</f>
        <v/>
      </c>
      <c r="N194" s="50" t="str">
        <f>IF(AND('Mapa final'!$AB$116="Baja",'Mapa final'!$AD$116="Menor"),CONCATENATE("R39C",'Mapa final'!$R$116),"")</f>
        <v>R39C2</v>
      </c>
      <c r="O194" s="110" t="str">
        <f>IF(AND('Mapa final'!$AB$117="Baja",'Mapa final'!$AD$117="Menor"),CONCATENATE("R39C",'Mapa final'!$R$117),"")</f>
        <v>R39C3</v>
      </c>
      <c r="P194" s="49" t="str">
        <f ca="1">IF(AND('Mapa final'!$AB$115="Baja",'Mapa final'!$AD$115="Moderado"),CONCATENATE("R39C",'Mapa final'!$R$115),"")</f>
        <v/>
      </c>
      <c r="Q194" s="50" t="str">
        <f>IF(AND('Mapa final'!$AB$116="Baja",'Mapa final'!$AD$116="Moderado"),CONCATENATE("R39C",'Mapa final'!$R$116),"")</f>
        <v/>
      </c>
      <c r="R194" s="110" t="str">
        <f>IF(AND('Mapa final'!$AB$117="Baja",'Mapa final'!$AD$117="Moderado"),CONCATENATE("R39C",'Mapa final'!$R$117),"")</f>
        <v/>
      </c>
      <c r="S194" s="104" t="str">
        <f ca="1">IF(AND('Mapa final'!$AB$115="Baja",'Mapa final'!$AD$115="Mayor"),CONCATENATE("R39C",'Mapa final'!$R$115),"")</f>
        <v/>
      </c>
      <c r="T194" s="42" t="str">
        <f>IF(AND('Mapa final'!$AB$116="Baja",'Mapa final'!$AD$116="Mayor"),CONCATENATE("R39C",'Mapa final'!$R$116),"")</f>
        <v/>
      </c>
      <c r="U194" s="105" t="str">
        <f>IF(AND('Mapa final'!$AB$117="Baja",'Mapa final'!$AD$117="Mayor"),CONCATENATE("R39C",'Mapa final'!$R$117),"")</f>
        <v/>
      </c>
      <c r="V194" s="43" t="str">
        <f ca="1">IF(AND('Mapa final'!$AB$115="Baja",'Mapa final'!$AD$115="Catastrófico"),CONCATENATE("R39C",'Mapa final'!$R$115),"")</f>
        <v/>
      </c>
      <c r="W194" s="44" t="str">
        <f>IF(AND('Mapa final'!$AB$116="Baja",'Mapa final'!$AD$116="Catastrófico"),CONCATENATE("R39C",'Mapa final'!$R$116),"")</f>
        <v/>
      </c>
      <c r="X194" s="99" t="str">
        <f>IF(AND('Mapa final'!$AB$117="Baja",'Mapa final'!$AD$117="Catastrófico"),CONCATENATE("R39C",'Mapa final'!$R$117),"")</f>
        <v/>
      </c>
      <c r="Y194" s="56"/>
      <c r="Z194" s="291"/>
      <c r="AA194" s="292"/>
      <c r="AB194" s="292"/>
      <c r="AC194" s="292"/>
      <c r="AD194" s="292"/>
      <c r="AE194" s="293"/>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row>
    <row r="195" spans="1:65" ht="15" customHeight="1" x14ac:dyDescent="0.25">
      <c r="A195" s="56"/>
      <c r="B195" s="286"/>
      <c r="C195" s="286"/>
      <c r="D195" s="287"/>
      <c r="E195" s="276"/>
      <c r="F195" s="275"/>
      <c r="G195" s="275"/>
      <c r="H195" s="275"/>
      <c r="I195" s="275"/>
      <c r="J195" s="114" t="str">
        <f ca="1">IF(AND('Mapa final'!$AB$118="Baja",'Mapa final'!$AD$118="Leve"),CONCATENATE("R40C",'Mapa final'!$R$118),"")</f>
        <v/>
      </c>
      <c r="K195" s="54" t="str">
        <f>IF(AND('Mapa final'!$AB$119="Baja",'Mapa final'!$AD$119="Leve"),CONCATENATE("R40C",'Mapa final'!$R$119),"")</f>
        <v>R40C2</v>
      </c>
      <c r="L195" s="115" t="str">
        <f>IF(AND('Mapa final'!$AB$120="Baja",'Mapa final'!$AD$120="Leve"),CONCATENATE("R40C",'Mapa final'!$R$120),"")</f>
        <v/>
      </c>
      <c r="M195" s="49" t="str">
        <f ca="1">IF(AND('Mapa final'!$AB$118="Baja",'Mapa final'!$AD$118="Menor"),CONCATENATE("R40C",'Mapa final'!$R$118),"")</f>
        <v/>
      </c>
      <c r="N195" s="50" t="str">
        <f>IF(AND('Mapa final'!$AB$119="Baja",'Mapa final'!$AD$119="Menor"),CONCATENATE("R40C",'Mapa final'!$R$119),"")</f>
        <v/>
      </c>
      <c r="O195" s="110" t="str">
        <f>IF(AND('Mapa final'!$AB$120="Baja",'Mapa final'!$AD$120="Menor"),CONCATENATE("R40C",'Mapa final'!$R$120),"")</f>
        <v/>
      </c>
      <c r="P195" s="49" t="str">
        <f ca="1">IF(AND('Mapa final'!$AB$118="Baja",'Mapa final'!$AD$118="Moderado"),CONCATENATE("R40C",'Mapa final'!$R$118),"")</f>
        <v>R40C1</v>
      </c>
      <c r="Q195" s="50" t="str">
        <f>IF(AND('Mapa final'!$AB$119="Baja",'Mapa final'!$AD$119="Moderado"),CONCATENATE("R40C",'Mapa final'!$R$119),"")</f>
        <v/>
      </c>
      <c r="R195" s="110" t="str">
        <f>IF(AND('Mapa final'!$AB$120="Baja",'Mapa final'!$AD$120="Moderado"),CONCATENATE("R40C",'Mapa final'!$R$120),"")</f>
        <v/>
      </c>
      <c r="S195" s="104" t="str">
        <f ca="1">IF(AND('Mapa final'!$AB$118="Baja",'Mapa final'!$AD$118="Mayor"),CONCATENATE("R40C",'Mapa final'!$R$118),"")</f>
        <v/>
      </c>
      <c r="T195" s="42" t="str">
        <f>IF(AND('Mapa final'!$AB$119="Baja",'Mapa final'!$AD$119="Mayor"),CONCATENATE("R40C",'Mapa final'!$R$119),"")</f>
        <v/>
      </c>
      <c r="U195" s="105" t="str">
        <f>IF(AND('Mapa final'!$AB$120="Baja",'Mapa final'!$AD$120="Mayor"),CONCATENATE("R40C",'Mapa final'!$R$120),"")</f>
        <v/>
      </c>
      <c r="V195" s="43" t="str">
        <f ca="1">IF(AND('Mapa final'!$AB$118="Baja",'Mapa final'!$AD$118="Catastrófico"),CONCATENATE("R40C",'Mapa final'!$R$118),"")</f>
        <v/>
      </c>
      <c r="W195" s="44" t="str">
        <f>IF(AND('Mapa final'!$AB$119="Baja",'Mapa final'!$AD$119="Catastrófico"),CONCATENATE("R40C",'Mapa final'!$R$119),"")</f>
        <v/>
      </c>
      <c r="X195" s="99" t="str">
        <f>IF(AND('Mapa final'!$AB$120="Baja",'Mapa final'!$AD$120="Catastrófico"),CONCATENATE("R40C",'Mapa final'!$R$120),"")</f>
        <v/>
      </c>
      <c r="Y195" s="56"/>
      <c r="Z195" s="291"/>
      <c r="AA195" s="292"/>
      <c r="AB195" s="292"/>
      <c r="AC195" s="292"/>
      <c r="AD195" s="292"/>
      <c r="AE195" s="293"/>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row>
    <row r="196" spans="1:65" ht="15" customHeight="1" x14ac:dyDescent="0.25">
      <c r="A196" s="56"/>
      <c r="B196" s="286"/>
      <c r="C196" s="286"/>
      <c r="D196" s="287"/>
      <c r="E196" s="276"/>
      <c r="F196" s="275"/>
      <c r="G196" s="275"/>
      <c r="H196" s="275"/>
      <c r="I196" s="275"/>
      <c r="J196" s="114" t="str">
        <f ca="1">IF(AND('Mapa final'!$AB$121="Baja",'Mapa final'!$AD$121="Leve"),CONCATENATE("R41C",'Mapa final'!$R$121),"")</f>
        <v/>
      </c>
      <c r="K196" s="54" t="str">
        <f>IF(AND('Mapa final'!$AB$122="Baja",'Mapa final'!$AD$122="Leve"),CONCATENATE("R41C",'Mapa final'!$R$122),"")</f>
        <v/>
      </c>
      <c r="L196" s="115" t="str">
        <f>IF(AND('Mapa final'!$AB$123="Baja",'Mapa final'!$AD$123="Leve"),CONCATENATE("R41C",'Mapa final'!$R$123),"")</f>
        <v/>
      </c>
      <c r="M196" s="49" t="str">
        <f ca="1">IF(AND('Mapa final'!$AB$121="Baja",'Mapa final'!$AD$121="Menor"),CONCATENATE("R41C",'Mapa final'!$R$121),"")</f>
        <v/>
      </c>
      <c r="N196" s="50" t="str">
        <f>IF(AND('Mapa final'!$AB$122="Baja",'Mapa final'!$AD$122="Menor"),CONCATENATE("R41C",'Mapa final'!$R$122),"")</f>
        <v/>
      </c>
      <c r="O196" s="110" t="str">
        <f>IF(AND('Mapa final'!$AB$123="Baja",'Mapa final'!$AD$123="Menor"),CONCATENATE("R41C",'Mapa final'!$R$123),"")</f>
        <v/>
      </c>
      <c r="P196" s="49" t="str">
        <f ca="1">IF(AND('Mapa final'!$AB$121="Baja",'Mapa final'!$AD$121="Moderado"),CONCATENATE("R41C",'Mapa final'!$R$121),"")</f>
        <v/>
      </c>
      <c r="Q196" s="50" t="str">
        <f>IF(AND('Mapa final'!$AB$122="Baja",'Mapa final'!$AD$122="Moderado"),CONCATENATE("R41C",'Mapa final'!$R$122),"")</f>
        <v/>
      </c>
      <c r="R196" s="110" t="str">
        <f>IF(AND('Mapa final'!$AB$123="Baja",'Mapa final'!$AD$123="Moderado"),CONCATENATE("R41C",'Mapa final'!$R$123),"")</f>
        <v/>
      </c>
      <c r="S196" s="104" t="str">
        <f ca="1">IF(AND('Mapa final'!$AB$121="Baja",'Mapa final'!$AD$121="Mayor"),CONCATENATE("R41C",'Mapa final'!$R$121),"")</f>
        <v/>
      </c>
      <c r="T196" s="42" t="str">
        <f>IF(AND('Mapa final'!$AB$122="Baja",'Mapa final'!$AD$122="Mayor"),CONCATENATE("R41C",'Mapa final'!$R$122),"")</f>
        <v/>
      </c>
      <c r="U196" s="105" t="str">
        <f>IF(AND('Mapa final'!$AB$123="Baja",'Mapa final'!$AD$123="Mayor"),CONCATENATE("R41C",'Mapa final'!$R$123),"")</f>
        <v/>
      </c>
      <c r="V196" s="43" t="str">
        <f ca="1">IF(AND('Mapa final'!$AB$121="Baja",'Mapa final'!$AD$121="Catastrófico"),CONCATENATE("R41C",'Mapa final'!$R$121),"")</f>
        <v/>
      </c>
      <c r="W196" s="44" t="str">
        <f>IF(AND('Mapa final'!$AB$122="Baja",'Mapa final'!$AD$122="Catastrófico"),CONCATENATE("R41C",'Mapa final'!$R$122),"")</f>
        <v/>
      </c>
      <c r="X196" s="99" t="str">
        <f>IF(AND('Mapa final'!$AB$123="Baja",'Mapa final'!$AD$123="Catastrófico"),CONCATENATE("R41C",'Mapa final'!$R$123),"")</f>
        <v/>
      </c>
      <c r="Y196" s="56"/>
      <c r="Z196" s="291"/>
      <c r="AA196" s="292"/>
      <c r="AB196" s="292"/>
      <c r="AC196" s="292"/>
      <c r="AD196" s="292"/>
      <c r="AE196" s="293"/>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row>
    <row r="197" spans="1:65" ht="15" customHeight="1" x14ac:dyDescent="0.25">
      <c r="A197" s="56"/>
      <c r="B197" s="286"/>
      <c r="C197" s="286"/>
      <c r="D197" s="287"/>
      <c r="E197" s="276"/>
      <c r="F197" s="275"/>
      <c r="G197" s="275"/>
      <c r="H197" s="275"/>
      <c r="I197" s="275"/>
      <c r="J197" s="114" t="str">
        <f ca="1">IF(AND('Mapa final'!$AB$124="Baja",'Mapa final'!$AD$124="Leve"),CONCATENATE("R42C",'Mapa final'!$R$124),"")</f>
        <v/>
      </c>
      <c r="K197" s="54" t="str">
        <f>IF(AND('Mapa final'!$AB$125="Baja",'Mapa final'!$AD$125="Leve"),CONCATENATE("R42C",'Mapa final'!$R$125),"")</f>
        <v/>
      </c>
      <c r="L197" s="115" t="str">
        <f>IF(AND('Mapa final'!$AB$126="Baja",'Mapa final'!$AD$126="Leve"),CONCATENATE("R42C",'Mapa final'!$R$126),"")</f>
        <v/>
      </c>
      <c r="M197" s="49" t="str">
        <f ca="1">IF(AND('Mapa final'!$AB$124="Baja",'Mapa final'!$AD$124="Menor"),CONCATENATE("R42C",'Mapa final'!$R$124),"")</f>
        <v/>
      </c>
      <c r="N197" s="50" t="str">
        <f>IF(AND('Mapa final'!$AB$125="Baja",'Mapa final'!$AD$125="Menor"),CONCATENATE("R42C",'Mapa final'!$R$125),"")</f>
        <v/>
      </c>
      <c r="O197" s="110" t="str">
        <f>IF(AND('Mapa final'!$AB$126="Baja",'Mapa final'!$AD$126="Menor"),CONCATENATE("R42C",'Mapa final'!$R$126),"")</f>
        <v/>
      </c>
      <c r="P197" s="49" t="str">
        <f ca="1">IF(AND('Mapa final'!$AB$124="Baja",'Mapa final'!$AD$124="Moderado"),CONCATENATE("R42C",'Mapa final'!$R$124),"")</f>
        <v>R42C1</v>
      </c>
      <c r="Q197" s="50" t="str">
        <f>IF(AND('Mapa final'!$AB$125="Baja",'Mapa final'!$AD$125="Moderado"),CONCATENATE("R42C",'Mapa final'!$R$125),"")</f>
        <v/>
      </c>
      <c r="R197" s="110" t="str">
        <f>IF(AND('Mapa final'!$AB$126="Baja",'Mapa final'!$AD$126="Moderado"),CONCATENATE("R42C",'Mapa final'!$R$126),"")</f>
        <v/>
      </c>
      <c r="S197" s="104" t="str">
        <f ca="1">IF(AND('Mapa final'!$AB$124="Baja",'Mapa final'!$AD$124="Mayor"),CONCATENATE("R42C",'Mapa final'!$R$124),"")</f>
        <v/>
      </c>
      <c r="T197" s="42" t="str">
        <f>IF(AND('Mapa final'!$AB$125="Baja",'Mapa final'!$AD$125="Mayor"),CONCATENATE("R42C",'Mapa final'!$R$125),"")</f>
        <v/>
      </c>
      <c r="U197" s="105" t="str">
        <f>IF(AND('Mapa final'!$AB$126="Baja",'Mapa final'!$AD$126="Mayor"),CONCATENATE("R42C",'Mapa final'!$R$126),"")</f>
        <v/>
      </c>
      <c r="V197" s="43" t="str">
        <f ca="1">IF(AND('Mapa final'!$AB$124="Baja",'Mapa final'!$AD$124="Catastrófico"),CONCATENATE("R42C",'Mapa final'!$R$124),"")</f>
        <v/>
      </c>
      <c r="W197" s="44" t="str">
        <f>IF(AND('Mapa final'!$AB$125="Baja",'Mapa final'!$AD$125="Catastrófico"),CONCATENATE("R42C",'Mapa final'!$R$125),"")</f>
        <v/>
      </c>
      <c r="X197" s="99" t="str">
        <f>IF(AND('Mapa final'!$AB$126="Baja",'Mapa final'!$AD$126="Catastrófico"),CONCATENATE("R42C",'Mapa final'!$R$126),"")</f>
        <v/>
      </c>
      <c r="Y197" s="56"/>
      <c r="Z197" s="291"/>
      <c r="AA197" s="292"/>
      <c r="AB197" s="292"/>
      <c r="AC197" s="292"/>
      <c r="AD197" s="292"/>
      <c r="AE197" s="293"/>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c r="BB197" s="56"/>
      <c r="BC197" s="56"/>
      <c r="BD197" s="56"/>
      <c r="BE197" s="56"/>
      <c r="BF197" s="56"/>
      <c r="BG197" s="56"/>
      <c r="BH197" s="56"/>
      <c r="BI197" s="56"/>
    </row>
    <row r="198" spans="1:65" ht="15" customHeight="1" x14ac:dyDescent="0.25">
      <c r="A198" s="56"/>
      <c r="B198" s="286"/>
      <c r="C198" s="286"/>
      <c r="D198" s="287"/>
      <c r="E198" s="276"/>
      <c r="F198" s="275"/>
      <c r="G198" s="275"/>
      <c r="H198" s="275"/>
      <c r="I198" s="275"/>
      <c r="J198" s="114" t="str">
        <f ca="1">IF(AND('Mapa final'!$AB$127="Baja",'Mapa final'!$AD$127="Leve"),CONCATENATE("R43C",'Mapa final'!$R$127),"")</f>
        <v/>
      </c>
      <c r="K198" s="54" t="str">
        <f>IF(AND('Mapa final'!$AB$128="Baja",'Mapa final'!$AD$128="Leve"),CONCATENATE("R43C",'Mapa final'!$R$128),"")</f>
        <v/>
      </c>
      <c r="L198" s="115" t="str">
        <f>IF(AND('Mapa final'!$AB$129="Baja",'Mapa final'!$AD$129="Leve"),CONCATENATE("R43C",'Mapa final'!$R$129),"")</f>
        <v/>
      </c>
      <c r="M198" s="49" t="str">
        <f ca="1">IF(AND('Mapa final'!$AB$127="Baja",'Mapa final'!$AD$127="Menor"),CONCATENATE("R43C",'Mapa final'!$R$127),"")</f>
        <v/>
      </c>
      <c r="N198" s="50" t="str">
        <f>IF(AND('Mapa final'!$AB$128="Baja",'Mapa final'!$AD$128="Menor"),CONCATENATE("R43C",'Mapa final'!$R$128),"")</f>
        <v/>
      </c>
      <c r="O198" s="110" t="str">
        <f>IF(AND('Mapa final'!$AB$129="Baja",'Mapa final'!$AD$129="Menor"),CONCATENATE("R43C",'Mapa final'!$R$129),"")</f>
        <v/>
      </c>
      <c r="P198" s="49" t="str">
        <f ca="1">IF(AND('Mapa final'!$AB$127="Baja",'Mapa final'!$AD$127="Moderado"),CONCATENATE("R43C",'Mapa final'!$R$127),"")</f>
        <v/>
      </c>
      <c r="Q198" s="50" t="str">
        <f>IF(AND('Mapa final'!$AB$128="Baja",'Mapa final'!$AD$128="Moderado"),CONCATENATE("R43C",'Mapa final'!$R$128),"")</f>
        <v/>
      </c>
      <c r="R198" s="110" t="str">
        <f>IF(AND('Mapa final'!$AB$129="Baja",'Mapa final'!$AD$129="Moderado"),CONCATENATE("R43C",'Mapa final'!$R$129),"")</f>
        <v/>
      </c>
      <c r="S198" s="104" t="str">
        <f ca="1">IF(AND('Mapa final'!$AB$127="Baja",'Mapa final'!$AD$127="Mayor"),CONCATENATE("R43C",'Mapa final'!$R$127),"")</f>
        <v/>
      </c>
      <c r="T198" s="42" t="str">
        <f>IF(AND('Mapa final'!$AB$128="Baja",'Mapa final'!$AD$128="Mayor"),CONCATENATE("R43C",'Mapa final'!$R$128),"")</f>
        <v>R43C2</v>
      </c>
      <c r="U198" s="105" t="str">
        <f>IF(AND('Mapa final'!$AB$129="Baja",'Mapa final'!$AD$129="Mayor"),CONCATENATE("R43C",'Mapa final'!$R$129),"")</f>
        <v/>
      </c>
      <c r="V198" s="43" t="str">
        <f ca="1">IF(AND('Mapa final'!$AB$127="Baja",'Mapa final'!$AD$127="Catastrófico"),CONCATENATE("R43C",'Mapa final'!$R$127),"")</f>
        <v/>
      </c>
      <c r="W198" s="44" t="str">
        <f>IF(AND('Mapa final'!$AB$128="Baja",'Mapa final'!$AD$128="Catastrófico"),CONCATENATE("R43C",'Mapa final'!$R$128),"")</f>
        <v/>
      </c>
      <c r="X198" s="99" t="str">
        <f>IF(AND('Mapa final'!$AB$129="Baja",'Mapa final'!$AD$129="Catastrófico"),CONCATENATE("R43C",'Mapa final'!$R$129),"")</f>
        <v/>
      </c>
      <c r="Y198" s="56"/>
      <c r="Z198" s="291"/>
      <c r="AA198" s="292"/>
      <c r="AB198" s="292"/>
      <c r="AC198" s="292"/>
      <c r="AD198" s="292"/>
      <c r="AE198" s="293"/>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56"/>
      <c r="BC198" s="56"/>
      <c r="BD198" s="56"/>
      <c r="BE198" s="56"/>
      <c r="BF198" s="56"/>
      <c r="BG198" s="56"/>
      <c r="BH198" s="56"/>
      <c r="BI198" s="56"/>
    </row>
    <row r="199" spans="1:65" ht="15" customHeight="1" x14ac:dyDescent="0.25">
      <c r="A199" s="56"/>
      <c r="B199" s="286"/>
      <c r="C199" s="286"/>
      <c r="D199" s="287"/>
      <c r="E199" s="276"/>
      <c r="F199" s="275"/>
      <c r="G199" s="275"/>
      <c r="H199" s="275"/>
      <c r="I199" s="275"/>
      <c r="J199" s="114" t="str">
        <f ca="1">IF(AND('Mapa final'!$AB$130="Baja",'Mapa final'!$AD$130="Leve"),CONCATENATE("R44C",'Mapa final'!$R$130),"")</f>
        <v/>
      </c>
      <c r="K199" s="54" t="str">
        <f>IF(AND('Mapa final'!$AB$131="Baja",'Mapa final'!$AD$131="Leve"),CONCATENATE("R44C",'Mapa final'!$R$131),"")</f>
        <v/>
      </c>
      <c r="L199" s="115" t="str">
        <f>IF(AND('Mapa final'!$AB$132="Baja",'Mapa final'!$AD$132="Leve"),CONCATENATE("R44C",'Mapa final'!$R$132),"")</f>
        <v/>
      </c>
      <c r="M199" s="49" t="str">
        <f ca="1">IF(AND('Mapa final'!$AB$130="Baja",'Mapa final'!$AD$130="Menor"),CONCATENATE("R44C",'Mapa final'!$R$130),"")</f>
        <v/>
      </c>
      <c r="N199" s="50" t="str">
        <f>IF(AND('Mapa final'!$AB$131="Baja",'Mapa final'!$AD$131="Menor"),CONCATENATE("R44C",'Mapa final'!$R$131),"")</f>
        <v/>
      </c>
      <c r="O199" s="110" t="str">
        <f>IF(AND('Mapa final'!$AB$132="Baja",'Mapa final'!$AD$132="Menor"),CONCATENATE("R44C",'Mapa final'!$R$132),"")</f>
        <v/>
      </c>
      <c r="P199" s="49" t="str">
        <f ca="1">IF(AND('Mapa final'!$AB$130="Baja",'Mapa final'!$AD$130="Moderado"),CONCATENATE("R44C",'Mapa final'!$R$130),"")</f>
        <v/>
      </c>
      <c r="Q199" s="50" t="str">
        <f>IF(AND('Mapa final'!$AB$131="Baja",'Mapa final'!$AD$131="Moderado"),CONCATENATE("R44C",'Mapa final'!$R$131),"")</f>
        <v>R44C2</v>
      </c>
      <c r="R199" s="110" t="str">
        <f>IF(AND('Mapa final'!$AB$132="Baja",'Mapa final'!$AD$132="Moderado"),CONCATENATE("R44C",'Mapa final'!$R$132),"")</f>
        <v>R44C3</v>
      </c>
      <c r="S199" s="104" t="str">
        <f ca="1">IF(AND('Mapa final'!$AB$130="Baja",'Mapa final'!$AD$130="Mayor"),CONCATENATE("R44C",'Mapa final'!$R$130),"")</f>
        <v/>
      </c>
      <c r="T199" s="42" t="str">
        <f>IF(AND('Mapa final'!$AB$131="Baja",'Mapa final'!$AD$131="Mayor"),CONCATENATE("R44C",'Mapa final'!$R$131),"")</f>
        <v/>
      </c>
      <c r="U199" s="105" t="str">
        <f>IF(AND('Mapa final'!$AB$132="Baja",'Mapa final'!$AD$132="Mayor"),CONCATENATE("R44C",'Mapa final'!$R$132),"")</f>
        <v/>
      </c>
      <c r="V199" s="43" t="str">
        <f ca="1">IF(AND('Mapa final'!$AB$130="Baja",'Mapa final'!$AD$130="Catastrófico"),CONCATENATE("R44C",'Mapa final'!$R$130),"")</f>
        <v/>
      </c>
      <c r="W199" s="44" t="str">
        <f>IF(AND('Mapa final'!$AB$131="Baja",'Mapa final'!$AD$131="Catastrófico"),CONCATENATE("R44C",'Mapa final'!$R$131),"")</f>
        <v/>
      </c>
      <c r="X199" s="99" t="str">
        <f>IF(AND('Mapa final'!$AB$132="Baja",'Mapa final'!$AD$132="Catastrófico"),CONCATENATE("R44C",'Mapa final'!$R$132),"")</f>
        <v/>
      </c>
      <c r="Y199" s="56"/>
      <c r="Z199" s="291"/>
      <c r="AA199" s="292"/>
      <c r="AB199" s="292"/>
      <c r="AC199" s="292"/>
      <c r="AD199" s="292"/>
      <c r="AE199" s="293"/>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c r="BB199" s="56"/>
      <c r="BC199" s="56"/>
      <c r="BD199" s="56"/>
      <c r="BE199" s="56"/>
      <c r="BF199" s="56"/>
      <c r="BG199" s="56"/>
      <c r="BH199" s="56"/>
      <c r="BI199" s="56"/>
    </row>
    <row r="200" spans="1:65" ht="15" customHeight="1" x14ac:dyDescent="0.25">
      <c r="A200" s="56"/>
      <c r="B200" s="286"/>
      <c r="C200" s="286"/>
      <c r="D200" s="287"/>
      <c r="E200" s="276"/>
      <c r="F200" s="275"/>
      <c r="G200" s="275"/>
      <c r="H200" s="275"/>
      <c r="I200" s="275"/>
      <c r="J200" s="114" t="str">
        <f ca="1">IF(AND('Mapa final'!$AB$133="Baja",'Mapa final'!$AD$133="Leve"),CONCATENATE("R45C",'Mapa final'!$R$133),"")</f>
        <v/>
      </c>
      <c r="K200" s="54" t="str">
        <f>IF(AND('Mapa final'!$AB$134="Baja",'Mapa final'!$AD$134="Leve"),CONCATENATE("R45C",'Mapa final'!$R$134),"")</f>
        <v/>
      </c>
      <c r="L200" s="115" t="str">
        <f>IF(AND('Mapa final'!$AB$135="Baja",'Mapa final'!$AD$135="Leve"),CONCATENATE("R45C",'Mapa final'!$R$135),"")</f>
        <v/>
      </c>
      <c r="M200" s="49" t="str">
        <f ca="1">IF(AND('Mapa final'!$AB$133="Baja",'Mapa final'!$AD$133="Menor"),CONCATENATE("R45C",'Mapa final'!$R$133),"")</f>
        <v/>
      </c>
      <c r="N200" s="50" t="str">
        <f>IF(AND('Mapa final'!$AB$134="Baja",'Mapa final'!$AD$134="Menor"),CONCATENATE("R45C",'Mapa final'!$R$134),"")</f>
        <v/>
      </c>
      <c r="O200" s="110" t="str">
        <f>IF(AND('Mapa final'!$AB$135="Baja",'Mapa final'!$AD$135="Menor"),CONCATENATE("R45C",'Mapa final'!$R$135),"")</f>
        <v/>
      </c>
      <c r="P200" s="49" t="str">
        <f ca="1">IF(AND('Mapa final'!$AB$133="Baja",'Mapa final'!$AD$133="Moderado"),CONCATENATE("R45C",'Mapa final'!$R$133),"")</f>
        <v/>
      </c>
      <c r="Q200" s="50" t="str">
        <f>IF(AND('Mapa final'!$AB$134="Baja",'Mapa final'!$AD$134="Moderado"),CONCATENATE("R45C",'Mapa final'!$R$134),"")</f>
        <v/>
      </c>
      <c r="R200" s="110" t="str">
        <f>IF(AND('Mapa final'!$AB$135="Baja",'Mapa final'!$AD$135="Moderado"),CONCATENATE("R45C",'Mapa final'!$R$135),"")</f>
        <v/>
      </c>
      <c r="S200" s="104" t="str">
        <f ca="1">IF(AND('Mapa final'!$AB$133="Baja",'Mapa final'!$AD$133="Mayor"),CONCATENATE("R45C",'Mapa final'!$R$133),"")</f>
        <v/>
      </c>
      <c r="T200" s="42" t="str">
        <f>IF(AND('Mapa final'!$AB$134="Baja",'Mapa final'!$AD$134="Mayor"),CONCATENATE("R45C",'Mapa final'!$R$134),"")</f>
        <v/>
      </c>
      <c r="U200" s="105" t="str">
        <f>IF(AND('Mapa final'!$AB$135="Baja",'Mapa final'!$AD$135="Mayor"),CONCATENATE("R45C",'Mapa final'!$R$135),"")</f>
        <v/>
      </c>
      <c r="V200" s="43" t="str">
        <f ca="1">IF(AND('Mapa final'!$AB$133="Baja",'Mapa final'!$AD$133="Catastrófico"),CONCATENATE("R45C",'Mapa final'!$R$133),"")</f>
        <v/>
      </c>
      <c r="W200" s="44" t="str">
        <f>IF(AND('Mapa final'!$AB$134="Baja",'Mapa final'!$AD$134="Catastrófico"),CONCATENATE("R45C",'Mapa final'!$R$134),"")</f>
        <v/>
      </c>
      <c r="X200" s="99" t="str">
        <f>IF(AND('Mapa final'!$AB$135="Baja",'Mapa final'!$AD$135="Catastrófico"),CONCATENATE("R45C",'Mapa final'!$R$135),"")</f>
        <v/>
      </c>
      <c r="Y200" s="56"/>
      <c r="Z200" s="291"/>
      <c r="AA200" s="292"/>
      <c r="AB200" s="292"/>
      <c r="AC200" s="292"/>
      <c r="AD200" s="292"/>
      <c r="AE200" s="293"/>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c r="BB200" s="56"/>
      <c r="BC200" s="56"/>
      <c r="BD200" s="56"/>
      <c r="BE200" s="56"/>
      <c r="BF200" s="56"/>
      <c r="BG200" s="56"/>
      <c r="BH200" s="56"/>
      <c r="BI200" s="56"/>
    </row>
    <row r="201" spans="1:65" ht="15" customHeight="1" x14ac:dyDescent="0.25">
      <c r="A201" s="56"/>
      <c r="B201" s="286"/>
      <c r="C201" s="286"/>
      <c r="D201" s="287"/>
      <c r="E201" s="276"/>
      <c r="F201" s="275"/>
      <c r="G201" s="275"/>
      <c r="H201" s="275"/>
      <c r="I201" s="275"/>
      <c r="J201" s="114" t="str">
        <f ca="1">IF(AND('Mapa final'!$AB$136="Baja",'Mapa final'!$AD$136="Leve"),CONCATENATE("R46C",'Mapa final'!$R$136),"")</f>
        <v/>
      </c>
      <c r="K201" s="54" t="str">
        <f>IF(AND('Mapa final'!$AB$137="Baja",'Mapa final'!$AD$137="Leve"),CONCATENATE("R46C",'Mapa final'!$R$137),"")</f>
        <v/>
      </c>
      <c r="L201" s="115" t="str">
        <f>IF(AND('Mapa final'!$AB$138="Baja",'Mapa final'!$AD$138="Leve"),CONCATENATE("R46C",'Mapa final'!$R$138),"")</f>
        <v/>
      </c>
      <c r="M201" s="49" t="str">
        <f ca="1">IF(AND('Mapa final'!$AB$136="Baja",'Mapa final'!$AD$136="Menor"),CONCATENATE("R46C",'Mapa final'!$R$136),"")</f>
        <v/>
      </c>
      <c r="N201" s="50" t="str">
        <f>IF(AND('Mapa final'!$AB$137="Baja",'Mapa final'!$AD$137="Menor"),CONCATENATE("R46C",'Mapa final'!$R$137),"")</f>
        <v/>
      </c>
      <c r="O201" s="110" t="str">
        <f>IF(AND('Mapa final'!$AB$138="Baja",'Mapa final'!$AD$138="Menor"),CONCATENATE("R46C",'Mapa final'!$R$138),"")</f>
        <v/>
      </c>
      <c r="P201" s="49" t="str">
        <f ca="1">IF(AND('Mapa final'!$AB$136="Baja",'Mapa final'!$AD$136="Moderado"),CONCATENATE("R46C",'Mapa final'!$R$136),"")</f>
        <v/>
      </c>
      <c r="Q201" s="50" t="str">
        <f>IF(AND('Mapa final'!$AB$137="Baja",'Mapa final'!$AD$137="Moderado"),CONCATENATE("R46C",'Mapa final'!$R$137),"")</f>
        <v/>
      </c>
      <c r="R201" s="110" t="str">
        <f>IF(AND('Mapa final'!$AB$138="Baja",'Mapa final'!$AD$138="Moderado"),CONCATENATE("R46C",'Mapa final'!$R$138),"")</f>
        <v/>
      </c>
      <c r="S201" s="104" t="str">
        <f ca="1">IF(AND('Mapa final'!$AB$136="Baja",'Mapa final'!$AD$136="Mayor"),CONCATENATE("R46C",'Mapa final'!$R$136),"")</f>
        <v>R46C1</v>
      </c>
      <c r="T201" s="42" t="str">
        <f>IF(AND('Mapa final'!$AB$137="Baja",'Mapa final'!$AD$137="Mayor"),CONCATENATE("R46C",'Mapa final'!$R$137),"")</f>
        <v/>
      </c>
      <c r="U201" s="105" t="str">
        <f>IF(AND('Mapa final'!$AB$138="Baja",'Mapa final'!$AD$138="Mayor"),CONCATENATE("R46C",'Mapa final'!$R$138),"")</f>
        <v/>
      </c>
      <c r="V201" s="43" t="str">
        <f ca="1">IF(AND('Mapa final'!$AB$136="Baja",'Mapa final'!$AD$136="Catastrófico"),CONCATENATE("R46C",'Mapa final'!$R$136),"")</f>
        <v/>
      </c>
      <c r="W201" s="44" t="str">
        <f>IF(AND('Mapa final'!$AB$137="Baja",'Mapa final'!$AD$137="Catastrófico"),CONCATENATE("R46C",'Mapa final'!$R$137),"")</f>
        <v/>
      </c>
      <c r="X201" s="99" t="str">
        <f>IF(AND('Mapa final'!$AB$138="Baja",'Mapa final'!$AD$138="Catastrófico"),CONCATENATE("R46C",'Mapa final'!$R$138),"")</f>
        <v/>
      </c>
      <c r="Y201" s="56"/>
      <c r="Z201" s="291"/>
      <c r="AA201" s="292"/>
      <c r="AB201" s="292"/>
      <c r="AC201" s="292"/>
      <c r="AD201" s="292"/>
      <c r="AE201" s="293"/>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c r="BB201" s="56"/>
      <c r="BC201" s="56"/>
      <c r="BD201" s="56"/>
      <c r="BE201" s="56"/>
      <c r="BF201" s="56"/>
      <c r="BG201" s="56"/>
      <c r="BH201" s="56"/>
      <c r="BI201" s="56"/>
    </row>
    <row r="202" spans="1:65" ht="15" customHeight="1" x14ac:dyDescent="0.25">
      <c r="A202" s="56"/>
      <c r="B202" s="286"/>
      <c r="C202" s="286"/>
      <c r="D202" s="287"/>
      <c r="E202" s="276"/>
      <c r="F202" s="275"/>
      <c r="G202" s="275"/>
      <c r="H202" s="275"/>
      <c r="I202" s="275"/>
      <c r="J202" s="114" t="str">
        <f ca="1">IF(AND('Mapa final'!$AB$139="Baja",'Mapa final'!$AD$139="Leve"),CONCATENATE("R47C",'Mapa final'!$R$139),"")</f>
        <v/>
      </c>
      <c r="K202" s="54" t="str">
        <f>IF(AND('Mapa final'!$AB$140="Baja",'Mapa final'!$AD$140="Leve"),CONCATENATE("R47C",'Mapa final'!$R$140),"")</f>
        <v/>
      </c>
      <c r="L202" s="115" t="str">
        <f>IF(AND('Mapa final'!$AB$141="Baja",'Mapa final'!$AD$141="Leve"),CONCATENATE("R47C",'Mapa final'!$R$141),"")</f>
        <v/>
      </c>
      <c r="M202" s="49" t="str">
        <f ca="1">IF(AND('Mapa final'!$AB$139="Baja",'Mapa final'!$AD$139="Menor"),CONCATENATE("R47C",'Mapa final'!$R$139),"")</f>
        <v/>
      </c>
      <c r="N202" s="50" t="str">
        <f>IF(AND('Mapa final'!$AB$140="Baja",'Mapa final'!$AD$140="Menor"),CONCATENATE("R47C",'Mapa final'!$R$140),"")</f>
        <v/>
      </c>
      <c r="O202" s="110" t="str">
        <f>IF(AND('Mapa final'!$AB$141="Baja",'Mapa final'!$AD$141="Menor"),CONCATENATE("R47C",'Mapa final'!$R$141),"")</f>
        <v/>
      </c>
      <c r="P202" s="49" t="str">
        <f ca="1">IF(AND('Mapa final'!$AB$139="Baja",'Mapa final'!$AD$139="Moderado"),CONCATENATE("R47C",'Mapa final'!$R$139),"")</f>
        <v>R47C1</v>
      </c>
      <c r="Q202" s="50" t="str">
        <f>IF(AND('Mapa final'!$AB$140="Baja",'Mapa final'!$AD$140="Moderado"),CONCATENATE("R47C",'Mapa final'!$R$140),"")</f>
        <v/>
      </c>
      <c r="R202" s="110" t="str">
        <f>IF(AND('Mapa final'!$AB$141="Baja",'Mapa final'!$AD$141="Moderado"),CONCATENATE("R47C",'Mapa final'!$R$141),"")</f>
        <v/>
      </c>
      <c r="S202" s="104" t="str">
        <f ca="1">IF(AND('Mapa final'!$AB$139="Baja",'Mapa final'!$AD$139="Mayor"),CONCATENATE("R47C",'Mapa final'!$R$139),"")</f>
        <v/>
      </c>
      <c r="T202" s="42" t="str">
        <f>IF(AND('Mapa final'!$AB$140="Baja",'Mapa final'!$AD$140="Mayor"),CONCATENATE("R47C",'Mapa final'!$R$140),"")</f>
        <v/>
      </c>
      <c r="U202" s="105" t="str">
        <f>IF(AND('Mapa final'!$AB$141="Baja",'Mapa final'!$AD$141="Mayor"),CONCATENATE("R47C",'Mapa final'!$R$141),"")</f>
        <v/>
      </c>
      <c r="V202" s="43" t="str">
        <f ca="1">IF(AND('Mapa final'!$AB$139="Baja",'Mapa final'!$AD$139="Catastrófico"),CONCATENATE("R47C",'Mapa final'!$R$139),"")</f>
        <v/>
      </c>
      <c r="W202" s="44" t="str">
        <f>IF(AND('Mapa final'!$AB$140="Baja",'Mapa final'!$AD$140="Catastrófico"),CONCATENATE("R47C",'Mapa final'!$R$140),"")</f>
        <v/>
      </c>
      <c r="X202" s="99" t="str">
        <f>IF(AND('Mapa final'!$AB$141="Baja",'Mapa final'!$AD$141="Catastrófico"),CONCATENATE("R47C",'Mapa final'!$R$141),"")</f>
        <v/>
      </c>
      <c r="Y202" s="56"/>
      <c r="Z202" s="291"/>
      <c r="AA202" s="292"/>
      <c r="AB202" s="292"/>
      <c r="AC202" s="292"/>
      <c r="AD202" s="292"/>
      <c r="AE202" s="293"/>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c r="BB202" s="56"/>
      <c r="BC202" s="56"/>
      <c r="BD202" s="56"/>
      <c r="BE202" s="56"/>
      <c r="BF202" s="56"/>
      <c r="BG202" s="56"/>
      <c r="BH202" s="56"/>
      <c r="BI202" s="56"/>
    </row>
    <row r="203" spans="1:65" ht="15" customHeight="1" x14ac:dyDescent="0.25">
      <c r="A203" s="56"/>
      <c r="B203" s="286"/>
      <c r="C203" s="286"/>
      <c r="D203" s="287"/>
      <c r="E203" s="276"/>
      <c r="F203" s="275"/>
      <c r="G203" s="275"/>
      <c r="H203" s="275"/>
      <c r="I203" s="275"/>
      <c r="J203" s="114" t="str">
        <f>IF(AND('Mapa final'!$AB$142="Baja",'Mapa final'!$AD$142="Leve"),CONCATENATE("R48C",'Mapa final'!$R$142),"")</f>
        <v/>
      </c>
      <c r="K203" s="54" t="str">
        <f>IF(AND('Mapa final'!$AB$143="Baja",'Mapa final'!$AD$143="Leve"),CONCATENATE("R48C",'Mapa final'!$R$143),"")</f>
        <v/>
      </c>
      <c r="L203" s="115" t="str">
        <f>IF(AND('Mapa final'!$AB$144="Baja",'Mapa final'!$AD$144="Leve"),CONCATENATE("R48C",'Mapa final'!$R$144),"")</f>
        <v/>
      </c>
      <c r="M203" s="49" t="str">
        <f>IF(AND('Mapa final'!$AB$142="Baja",'Mapa final'!$AD$142="Menor"),CONCATENATE("R48C",'Mapa final'!$R$142),"")</f>
        <v/>
      </c>
      <c r="N203" s="50" t="str">
        <f>IF(AND('Mapa final'!$AB$143="Baja",'Mapa final'!$AD$143="Menor"),CONCATENATE("R48C",'Mapa final'!$R$143),"")</f>
        <v/>
      </c>
      <c r="O203" s="110" t="str">
        <f>IF(AND('Mapa final'!$AB$144="Baja",'Mapa final'!$AD$144="Menor"),CONCATENATE("R48C",'Mapa final'!$R$144),"")</f>
        <v/>
      </c>
      <c r="P203" s="49" t="str">
        <f>IF(AND('Mapa final'!$AB$142="Baja",'Mapa final'!$AD$142="Moderado"),CONCATENATE("R48C",'Mapa final'!$R$142),"")</f>
        <v/>
      </c>
      <c r="Q203" s="50" t="str">
        <f>IF(AND('Mapa final'!$AB$143="Baja",'Mapa final'!$AD$143="Moderado"),CONCATENATE("R48C",'Mapa final'!$R$143),"")</f>
        <v/>
      </c>
      <c r="R203" s="110" t="str">
        <f>IF(AND('Mapa final'!$AB$144="Baja",'Mapa final'!$AD$144="Moderado"),CONCATENATE("R48C",'Mapa final'!$R$144),"")</f>
        <v/>
      </c>
      <c r="S203" s="104" t="str">
        <f>IF(AND('Mapa final'!$AB$142="Baja",'Mapa final'!$AD$142="Mayor"),CONCATENATE("R48C",'Mapa final'!$R$142),"")</f>
        <v/>
      </c>
      <c r="T203" s="42" t="str">
        <f>IF(AND('Mapa final'!$AB$143="Baja",'Mapa final'!$AD$143="Mayor"),CONCATENATE("R48C",'Mapa final'!$R$143),"")</f>
        <v/>
      </c>
      <c r="U203" s="105" t="str">
        <f>IF(AND('Mapa final'!$AB$144="Baja",'Mapa final'!$AD$144="Mayor"),CONCATENATE("R48C",'Mapa final'!$R$144),"")</f>
        <v/>
      </c>
      <c r="V203" s="43" t="str">
        <f>IF(AND('Mapa final'!$AB$142="Baja",'Mapa final'!$AD$142="Catastrófico"),CONCATENATE("R48C",'Mapa final'!$R$142),"")</f>
        <v/>
      </c>
      <c r="W203" s="44" t="str">
        <f>IF(AND('Mapa final'!$AB$143="Baja",'Mapa final'!$AD$143="Catastrófico"),CONCATENATE("R48C",'Mapa final'!$R$143),"")</f>
        <v/>
      </c>
      <c r="X203" s="99" t="str">
        <f>IF(AND('Mapa final'!$AB$144="Baja",'Mapa final'!$AD$144="Catastrófico"),CONCATENATE("R48C",'Mapa final'!$R$144),"")</f>
        <v/>
      </c>
      <c r="Y203" s="56"/>
      <c r="Z203" s="291"/>
      <c r="AA203" s="292"/>
      <c r="AB203" s="292"/>
      <c r="AC203" s="292"/>
      <c r="AD203" s="292"/>
      <c r="AE203" s="293"/>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c r="BB203" s="56"/>
      <c r="BC203" s="56"/>
      <c r="BD203" s="56"/>
      <c r="BE203" s="56"/>
      <c r="BF203" s="56"/>
      <c r="BG203" s="56"/>
      <c r="BH203" s="56"/>
      <c r="BI203" s="56"/>
    </row>
    <row r="204" spans="1:65" ht="15" customHeight="1" x14ac:dyDescent="0.25">
      <c r="A204" s="56"/>
      <c r="B204" s="286"/>
      <c r="C204" s="286"/>
      <c r="D204" s="287"/>
      <c r="E204" s="276"/>
      <c r="F204" s="275"/>
      <c r="G204" s="275"/>
      <c r="H204" s="275"/>
      <c r="I204" s="275"/>
      <c r="J204" s="114" t="str">
        <f>IF(AND('Mapa final'!$AB$145="Baja",'Mapa final'!$AD$145="Leve"),CONCATENATE("R49C",'Mapa final'!$R$145),"")</f>
        <v/>
      </c>
      <c r="K204" s="54" t="str">
        <f>IF(AND('Mapa final'!$AB$146="Baja",'Mapa final'!$AD$146="Leve"),CONCATENATE("R49C",'Mapa final'!$R$146),"")</f>
        <v/>
      </c>
      <c r="L204" s="115" t="str">
        <f>IF(AND('Mapa final'!$AB$147="Baja",'Mapa final'!$AD$147="Leve"),CONCATENATE("R49C",'Mapa final'!$R$147),"")</f>
        <v/>
      </c>
      <c r="M204" s="49" t="str">
        <f>IF(AND('Mapa final'!$AB$145="Baja",'Mapa final'!$AD$145="Menor"),CONCATENATE("R49C",'Mapa final'!$R$145),"")</f>
        <v/>
      </c>
      <c r="N204" s="50" t="str">
        <f>IF(AND('Mapa final'!$AB$146="Baja",'Mapa final'!$AD$146="Menor"),CONCATENATE("R49C",'Mapa final'!$R$146),"")</f>
        <v/>
      </c>
      <c r="O204" s="110" t="str">
        <f>IF(AND('Mapa final'!$AB$147="Baja",'Mapa final'!$AD$147="Menor"),CONCATENATE("R49C",'Mapa final'!$R$147),"")</f>
        <v/>
      </c>
      <c r="P204" s="49" t="str">
        <f>IF(AND('Mapa final'!$AB$145="Baja",'Mapa final'!$AD$145="Moderado"),CONCATENATE("R49C",'Mapa final'!$R$145),"")</f>
        <v/>
      </c>
      <c r="Q204" s="50" t="str">
        <f>IF(AND('Mapa final'!$AB$146="Baja",'Mapa final'!$AD$146="Moderado"),CONCATENATE("R49C",'Mapa final'!$R$146),"")</f>
        <v/>
      </c>
      <c r="R204" s="110" t="str">
        <f>IF(AND('Mapa final'!$AB$147="Baja",'Mapa final'!$AD$147="Moderado"),CONCATENATE("R49C",'Mapa final'!$R$147),"")</f>
        <v/>
      </c>
      <c r="S204" s="104" t="str">
        <f>IF(AND('Mapa final'!$AB$145="Baja",'Mapa final'!$AD$145="Mayor"),CONCATENATE("R49C",'Mapa final'!$R$145),"")</f>
        <v/>
      </c>
      <c r="T204" s="42" t="str">
        <f>IF(AND('Mapa final'!$AB$146="Baja",'Mapa final'!$AD$146="Mayor"),CONCATENATE("R49C",'Mapa final'!$R$146),"")</f>
        <v/>
      </c>
      <c r="U204" s="105" t="str">
        <f>IF(AND('Mapa final'!$AB$147="Baja",'Mapa final'!$AD$147="Mayor"),CONCATENATE("R49C",'Mapa final'!$R$147),"")</f>
        <v/>
      </c>
      <c r="V204" s="43" t="str">
        <f>IF(AND('Mapa final'!$AB$145="Baja",'Mapa final'!$AD$145="Catastrófico"),CONCATENATE("R49C",'Mapa final'!$R$145),"")</f>
        <v/>
      </c>
      <c r="W204" s="44" t="str">
        <f>IF(AND('Mapa final'!$AB$146="Baja",'Mapa final'!$AD$146="Catastrófico"),CONCATENATE("R49C",'Mapa final'!$R$146),"")</f>
        <v/>
      </c>
      <c r="X204" s="99" t="str">
        <f>IF(AND('Mapa final'!$AB$147="Baja",'Mapa final'!$AD$147="Catastrófico"),CONCATENATE("R49C",'Mapa final'!$R$147),"")</f>
        <v/>
      </c>
      <c r="Y204" s="56"/>
      <c r="Z204" s="291"/>
      <c r="AA204" s="292"/>
      <c r="AB204" s="292"/>
      <c r="AC204" s="292"/>
      <c r="AD204" s="292"/>
      <c r="AE204" s="293"/>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c r="BB204" s="56"/>
      <c r="BC204" s="56"/>
      <c r="BD204" s="56"/>
      <c r="BE204" s="56"/>
      <c r="BF204" s="56"/>
      <c r="BG204" s="56"/>
      <c r="BH204" s="56"/>
      <c r="BI204" s="56"/>
    </row>
    <row r="205" spans="1:65" ht="15" customHeight="1" thickBot="1" x14ac:dyDescent="0.3">
      <c r="A205" s="56"/>
      <c r="B205" s="286"/>
      <c r="C205" s="286"/>
      <c r="D205" s="287"/>
      <c r="E205" s="276"/>
      <c r="F205" s="275"/>
      <c r="G205" s="275"/>
      <c r="H205" s="275"/>
      <c r="I205" s="275"/>
      <c r="J205" s="116" t="str">
        <f>IF(AND('Mapa final'!$AB$148="Baja",'Mapa final'!$AD$148="Leve"),CONCATENATE("R50C",'Mapa final'!$R$148),"")</f>
        <v/>
      </c>
      <c r="K205" s="55" t="str">
        <f>IF(AND('Mapa final'!$AB$149="Baja",'Mapa final'!$AD$149="Leve"),CONCATENATE("R50C",'Mapa final'!$R$149),"")</f>
        <v/>
      </c>
      <c r="L205" s="117" t="str">
        <f>IF(AND('Mapa final'!$AB$150="Baja",'Mapa final'!$AD$150="Leve"),CONCATENATE("R50C",'Mapa final'!$R$150),"")</f>
        <v/>
      </c>
      <c r="M205" s="51" t="str">
        <f>IF(AND('Mapa final'!$AB$148="Baja",'Mapa final'!$AD$148="Menor"),CONCATENATE("R50C",'Mapa final'!$R$148),"")</f>
        <v/>
      </c>
      <c r="N205" s="52" t="str">
        <f>IF(AND('Mapa final'!$AB$149="Baja",'Mapa final'!$AD$149="Menor"),CONCATENATE("R50C",'Mapa final'!$R$149),"")</f>
        <v/>
      </c>
      <c r="O205" s="111" t="str">
        <f>IF(AND('Mapa final'!$AB$150="Baja",'Mapa final'!$AD$150="Menor"),CONCATENATE("R50C",'Mapa final'!$R$150),"")</f>
        <v/>
      </c>
      <c r="P205" s="51" t="str">
        <f>IF(AND('Mapa final'!$AB$148="Baja",'Mapa final'!$AD$148="Moderado"),CONCATENATE("R50C",'Mapa final'!$R$148),"")</f>
        <v/>
      </c>
      <c r="Q205" s="52" t="str">
        <f>IF(AND('Mapa final'!$AB$149="Baja",'Mapa final'!$AD$149="Moderado"),CONCATENATE("R50C",'Mapa final'!$R$149),"")</f>
        <v/>
      </c>
      <c r="R205" s="111" t="str">
        <f>IF(AND('Mapa final'!$AB$150="Baja",'Mapa final'!$AD$150="Moderado"),CONCATENATE("R50C",'Mapa final'!$R$150),"")</f>
        <v/>
      </c>
      <c r="S205" s="106" t="str">
        <f>IF(AND('Mapa final'!$AB$148="Baja",'Mapa final'!$AD$148="Mayor"),CONCATENATE("R50C",'Mapa final'!$R$148),"")</f>
        <v/>
      </c>
      <c r="T205" s="107" t="str">
        <f>IF(AND('Mapa final'!$AB$149="Baja",'Mapa final'!$AD$149="Mayor"),CONCATENATE("R50C",'Mapa final'!$R$149),"")</f>
        <v/>
      </c>
      <c r="U205" s="108" t="str">
        <f>IF(AND('Mapa final'!$AB$150="Baja",'Mapa final'!$AD$150="Mayor"),CONCATENATE("R50C",'Mapa final'!$R$150),"")</f>
        <v/>
      </c>
      <c r="V205" s="45" t="str">
        <f>IF(AND('Mapa final'!$AB$148="Baja",'Mapa final'!$AD$148="Catastrófico"),CONCATENATE("R50C",'Mapa final'!$R$148),"")</f>
        <v/>
      </c>
      <c r="W205" s="46" t="str">
        <f>IF(AND('Mapa final'!$AB$149="Baja",'Mapa final'!$AD$149="Catastrófico"),CONCATENATE("R50C",'Mapa final'!$R$149),"")</f>
        <v/>
      </c>
      <c r="X205" s="100" t="str">
        <f>IF(AND('Mapa final'!$AB$150="Baja",'Mapa final'!$AD$150="Catastrófico"),CONCATENATE("R50C",'Mapa final'!$R$150),"")</f>
        <v/>
      </c>
      <c r="Y205" s="56"/>
      <c r="Z205" s="291"/>
      <c r="AA205" s="292"/>
      <c r="AB205" s="292"/>
      <c r="AC205" s="292"/>
      <c r="AD205" s="292"/>
      <c r="AE205" s="293"/>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c r="BB205" s="56"/>
      <c r="BC205" s="56"/>
      <c r="BD205" s="56"/>
      <c r="BE205" s="56"/>
      <c r="BF205" s="56"/>
      <c r="BG205" s="56"/>
      <c r="BH205" s="56"/>
      <c r="BI205" s="56"/>
    </row>
    <row r="206" spans="1:65" ht="16.5" customHeight="1" x14ac:dyDescent="0.25">
      <c r="A206" s="56"/>
      <c r="B206" s="286"/>
      <c r="C206" s="286"/>
      <c r="D206" s="287"/>
      <c r="E206" s="272" t="s">
        <v>104</v>
      </c>
      <c r="F206" s="273"/>
      <c r="G206" s="273"/>
      <c r="H206" s="273"/>
      <c r="I206" s="273"/>
      <c r="J206" s="112" t="str">
        <f ca="1">IF(AND('Mapa final'!$AB$7="Muy Baja",'Mapa final'!$AD$7="Leve"),CONCATENATE("R1C",'Mapa final'!$R$7),"")</f>
        <v/>
      </c>
      <c r="K206" s="53" t="str">
        <f>IF(AND('Mapa final'!$AB$8="Muy Baja",'Mapa final'!$AD$8="Leve"),CONCATENATE("R1C",'Mapa final'!$R$8),"")</f>
        <v/>
      </c>
      <c r="L206" s="113" t="str">
        <f>IF(AND('Mapa final'!$AB$9="Muy Baja",'Mapa final'!$AD$9="Leve"),CONCATENATE("R1C",'Mapa final'!$R$9),"")</f>
        <v/>
      </c>
      <c r="M206" s="112" t="str">
        <f ca="1">IF(AND('Mapa final'!$AB$7="Muy Baja",'Mapa final'!$AD$7="Menor"),CONCATENATE("R1C",'Mapa final'!$R$7),"")</f>
        <v/>
      </c>
      <c r="N206" s="53" t="str">
        <f>IF(AND('Mapa final'!$AB$8="Muy Baja",'Mapa final'!$AD$8="Menor"),CONCATENATE("R1C",'Mapa final'!$R$8),"")</f>
        <v/>
      </c>
      <c r="O206" s="113" t="str">
        <f>IF(AND('Mapa final'!$AB$9="Muy Baja",'Mapa final'!$AD$9="Menor"),CONCATENATE("R1C",'Mapa final'!$R$9),"")</f>
        <v/>
      </c>
      <c r="P206" s="47" t="str">
        <f ca="1">IF(AND('Mapa final'!$AB$7="Muy Baja",'Mapa final'!$AD$7="Moderado"),CONCATENATE("R1C",'Mapa final'!$R$7),"")</f>
        <v/>
      </c>
      <c r="Q206" s="48" t="str">
        <f>IF(AND('Mapa final'!$AB$8="Muy Baja",'Mapa final'!$AD$8="Moderado"),CONCATENATE("R1C",'Mapa final'!$R$8),"")</f>
        <v/>
      </c>
      <c r="R206" s="109" t="str">
        <f>IF(AND('Mapa final'!$AB$9="Muy Baja",'Mapa final'!$AD$9="Moderado"),CONCATENATE("R1C",'Mapa final'!$R$9),"")</f>
        <v/>
      </c>
      <c r="S206" s="101" t="str">
        <f ca="1">IF(AND('Mapa final'!$AB$7="Muy Baja",'Mapa final'!$AD$7="Mayor"),CONCATENATE("R1C",'Mapa final'!$R$7),"")</f>
        <v/>
      </c>
      <c r="T206" s="102" t="str">
        <f>IF(AND('Mapa final'!$AB$8="Muy Baja",'Mapa final'!$AD$8="Mayor"),CONCATENATE("R1C",'Mapa final'!$R$8),"")</f>
        <v/>
      </c>
      <c r="U206" s="103" t="str">
        <f>IF(AND('Mapa final'!$AB$9="Muy Baja",'Mapa final'!$AD$9="Mayor"),CONCATENATE("R1C",'Mapa final'!$R$9),"")</f>
        <v/>
      </c>
      <c r="V206" s="40" t="str">
        <f ca="1">IF(AND('Mapa final'!$AB$7="Muy Baja",'Mapa final'!$AD$7="Catastrófico"),CONCATENATE("R1C",'Mapa final'!$R$7),"")</f>
        <v/>
      </c>
      <c r="W206" s="41" t="str">
        <f>IF(AND('Mapa final'!$AB$8="Muy Baja",'Mapa final'!$AD$8="Catastrófico"),CONCATENATE("R1C",'Mapa final'!$R$8),"")</f>
        <v/>
      </c>
      <c r="X206" s="98" t="str">
        <f>IF(AND('Mapa final'!$AB$9="Muy Baja",'Mapa final'!$AD$9="Catastrófico"),CONCATENATE("R1C",'Mapa final'!$R$9),"")</f>
        <v/>
      </c>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c r="BB206" s="56"/>
      <c r="BC206" s="56"/>
      <c r="BD206" s="56"/>
      <c r="BE206" s="56"/>
      <c r="BF206" s="56"/>
      <c r="BG206" s="56"/>
      <c r="BH206" s="56"/>
      <c r="BI206" s="56"/>
      <c r="BJ206" s="56"/>
      <c r="BK206" s="56"/>
      <c r="BL206" s="56"/>
      <c r="BM206" s="56"/>
    </row>
    <row r="207" spans="1:65" ht="15.75" x14ac:dyDescent="0.25">
      <c r="A207" s="56"/>
      <c r="B207" s="286"/>
      <c r="C207" s="286"/>
      <c r="D207" s="287"/>
      <c r="E207" s="274"/>
      <c r="F207" s="275"/>
      <c r="G207" s="275"/>
      <c r="H207" s="275"/>
      <c r="I207" s="275"/>
      <c r="J207" s="114" t="str">
        <f ca="1">IF(AND('Mapa final'!$AB$10="Muy Baja",'Mapa final'!$AD$10="Leve"),CONCATENATE("R2C",'Mapa final'!$R$10),"")</f>
        <v/>
      </c>
      <c r="K207" s="54" t="str">
        <f>IF(AND('Mapa final'!$AB$11="Muy Baja",'Mapa final'!$AD$11="Leve"),CONCATENATE("R2C",'Mapa final'!$R$11),"")</f>
        <v/>
      </c>
      <c r="L207" s="115" t="str">
        <f>IF(AND('Mapa final'!$AB$12="Muy Baja",'Mapa final'!$AD$12="Leve"),CONCATENATE("R2C",'Mapa final'!$R$12),"")</f>
        <v/>
      </c>
      <c r="M207" s="114" t="str">
        <f ca="1">IF(AND('Mapa final'!$AB$10="Muy Baja",'Mapa final'!$AD$10="Menor"),CONCATENATE("R2C",'Mapa final'!$R$10),"")</f>
        <v/>
      </c>
      <c r="N207" s="54" t="str">
        <f>IF(AND('Mapa final'!$AB$11="Muy Baja",'Mapa final'!$AD$11="Menor"),CONCATENATE("R2C",'Mapa final'!$R$11),"")</f>
        <v/>
      </c>
      <c r="O207" s="115" t="str">
        <f>IF(AND('Mapa final'!$AB$12="Muy Baja",'Mapa final'!$AD$12="Menor"),CONCATENATE("R2C",'Mapa final'!$R$12),"")</f>
        <v/>
      </c>
      <c r="P207" s="49" t="str">
        <f ca="1">IF(AND('Mapa final'!$AB$10="Muy Baja",'Mapa final'!$AD$10="Moderado"),CONCATENATE("R2C",'Mapa final'!$R$10),"")</f>
        <v/>
      </c>
      <c r="Q207" s="50" t="str">
        <f>IF(AND('Mapa final'!$AB$11="Muy Baja",'Mapa final'!$AD$11="Moderado"),CONCATENATE("R2C",'Mapa final'!$R$11),"")</f>
        <v/>
      </c>
      <c r="R207" s="110" t="str">
        <f>IF(AND('Mapa final'!$AB$12="Muy Baja",'Mapa final'!$AD$12="Moderado"),CONCATENATE("R2C",'Mapa final'!$R$12),"")</f>
        <v/>
      </c>
      <c r="S207" s="104" t="str">
        <f ca="1">IF(AND('Mapa final'!$AB$10="Muy Baja",'Mapa final'!$AD$10="Mayor"),CONCATENATE("R2C",'Mapa final'!$R$10),"")</f>
        <v/>
      </c>
      <c r="T207" s="42" t="str">
        <f>IF(AND('Mapa final'!$AB$11="Muy Baja",'Mapa final'!$AD$11="Mayor"),CONCATENATE("R2C",'Mapa final'!$R$11),"")</f>
        <v/>
      </c>
      <c r="U207" s="105" t="str">
        <f>IF(AND('Mapa final'!$AB$12="Muy Baja",'Mapa final'!$AD$12="Mayor"),CONCATENATE("R2C",'Mapa final'!$R$12),"")</f>
        <v/>
      </c>
      <c r="V207" s="43" t="str">
        <f ca="1">IF(AND('Mapa final'!$AB$10="Muy Baja",'Mapa final'!$AD$10="Catastrófico"),CONCATENATE("R2C",'Mapa final'!$R$10),"")</f>
        <v/>
      </c>
      <c r="W207" s="44" t="str">
        <f>IF(AND('Mapa final'!$AB$11="Muy Baja",'Mapa final'!$AD$11="Catastrófico"),CONCATENATE("R2C",'Mapa final'!$R$11),"")</f>
        <v/>
      </c>
      <c r="X207" s="99" t="str">
        <f>IF(AND('Mapa final'!$AB$12="Muy Baja",'Mapa final'!$AD$12="Catastrófico"),CONCATENATE("R2C",'Mapa final'!$R$12),"")</f>
        <v/>
      </c>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c r="BB207" s="56"/>
      <c r="BC207" s="56"/>
      <c r="BD207" s="56"/>
      <c r="BE207" s="56"/>
      <c r="BF207" s="56"/>
      <c r="BG207" s="56"/>
      <c r="BH207" s="56"/>
      <c r="BI207" s="56"/>
      <c r="BJ207" s="56"/>
      <c r="BK207" s="56"/>
      <c r="BL207" s="56"/>
      <c r="BM207" s="56"/>
    </row>
    <row r="208" spans="1:65" ht="15.75" x14ac:dyDescent="0.25">
      <c r="A208" s="56"/>
      <c r="B208" s="286"/>
      <c r="C208" s="286"/>
      <c r="D208" s="287"/>
      <c r="E208" s="274"/>
      <c r="F208" s="275"/>
      <c r="G208" s="275"/>
      <c r="H208" s="275"/>
      <c r="I208" s="275"/>
      <c r="J208" s="114" t="str">
        <f ca="1">IF(AND('Mapa final'!$AB$13="Muy Baja",'Mapa final'!$AD$13="Leve"),CONCATENATE("R3C",'Mapa final'!$R$13),"")</f>
        <v/>
      </c>
      <c r="K208" s="54" t="str">
        <f>IF(AND('Mapa final'!$AB$14="Muy Baja",'Mapa final'!$AD$14="Leve"),CONCATENATE("R3C",'Mapa final'!$R$14),"")</f>
        <v/>
      </c>
      <c r="L208" s="115" t="str">
        <f>IF(AND('Mapa final'!$AB$15="Muy Baja",'Mapa final'!$AD$15="Leve"),CONCATENATE("R3C",'Mapa final'!$R$15),"")</f>
        <v/>
      </c>
      <c r="M208" s="114" t="str">
        <f ca="1">IF(AND('Mapa final'!$AB$13="Muy Baja",'Mapa final'!$AD$13="Menor"),CONCATENATE("R3C",'Mapa final'!$R$13),"")</f>
        <v/>
      </c>
      <c r="N208" s="54" t="str">
        <f>IF(AND('Mapa final'!$AB$14="Muy Baja",'Mapa final'!$AD$14="Menor"),CONCATENATE("R3C",'Mapa final'!$R$14),"")</f>
        <v/>
      </c>
      <c r="O208" s="115" t="str">
        <f>IF(AND('Mapa final'!$AB$15="Muy Baja",'Mapa final'!$AD$15="Menor"),CONCATENATE("R3C",'Mapa final'!$R$15),"")</f>
        <v/>
      </c>
      <c r="P208" s="49" t="str">
        <f ca="1">IF(AND('Mapa final'!$AB$13="Muy Baja",'Mapa final'!$AD$13="Moderado"),CONCATENATE("R3C",'Mapa final'!$R$13),"")</f>
        <v/>
      </c>
      <c r="Q208" s="50" t="str">
        <f>IF(AND('Mapa final'!$AB$14="Muy Baja",'Mapa final'!$AD$14="Moderado"),CONCATENATE("R3C",'Mapa final'!$R$14),"")</f>
        <v/>
      </c>
      <c r="R208" s="110" t="str">
        <f>IF(AND('Mapa final'!$AB$15="Muy Baja",'Mapa final'!$AD$15="Moderado"),CONCATENATE("R3C",'Mapa final'!$R$15),"")</f>
        <v/>
      </c>
      <c r="S208" s="104" t="str">
        <f ca="1">IF(AND('Mapa final'!$AB$13="Muy Baja",'Mapa final'!$AD$13="Mayor"),CONCATENATE("R3C",'Mapa final'!$R$13),"")</f>
        <v/>
      </c>
      <c r="T208" s="42" t="str">
        <f>IF(AND('Mapa final'!$AB$14="Muy Baja",'Mapa final'!$AD$14="Mayor"),CONCATENATE("R3C",'Mapa final'!$R$14),"")</f>
        <v/>
      </c>
      <c r="U208" s="105" t="str">
        <f>IF(AND('Mapa final'!$AB$15="Muy Baja",'Mapa final'!$AD$15="Mayor"),CONCATENATE("R3C",'Mapa final'!$R$15),"")</f>
        <v/>
      </c>
      <c r="V208" s="43" t="str">
        <f ca="1">IF(AND('Mapa final'!$AB$13="Muy Baja",'Mapa final'!$AD$13="Catastrófico"),CONCATENATE("R3C",'Mapa final'!$R$13),"")</f>
        <v/>
      </c>
      <c r="W208" s="44" t="str">
        <f>IF(AND('Mapa final'!$AB$14="Muy Baja",'Mapa final'!$AD$14="Catastrófico"),CONCATENATE("R3C",'Mapa final'!$R$14),"")</f>
        <v/>
      </c>
      <c r="X208" s="99" t="str">
        <f>IF(AND('Mapa final'!$AB$15="Muy Baja",'Mapa final'!$AD$15="Catastrófico"),CONCATENATE("R3C",'Mapa final'!$R$15),"")</f>
        <v/>
      </c>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c r="BB208" s="56"/>
      <c r="BC208" s="56"/>
      <c r="BD208" s="56"/>
      <c r="BE208" s="56"/>
      <c r="BF208" s="56"/>
      <c r="BG208" s="56"/>
      <c r="BH208" s="56"/>
      <c r="BI208" s="56"/>
      <c r="BJ208" s="56"/>
      <c r="BK208" s="56"/>
      <c r="BL208" s="56"/>
      <c r="BM208" s="56"/>
    </row>
    <row r="209" spans="1:65" ht="15.75" x14ac:dyDescent="0.25">
      <c r="A209" s="56"/>
      <c r="B209" s="286"/>
      <c r="C209" s="286"/>
      <c r="D209" s="287"/>
      <c r="E209" s="274"/>
      <c r="F209" s="275"/>
      <c r="G209" s="275"/>
      <c r="H209" s="275"/>
      <c r="I209" s="275"/>
      <c r="J209" s="114" t="e">
        <f>IF(AND('Mapa final'!#REF!="Muy Baja",'Mapa final'!#REF!="Leve"),CONCATENATE("R4C",'Mapa final'!#REF!),"")</f>
        <v>#REF!</v>
      </c>
      <c r="K209" s="54" t="e">
        <f>IF(AND('Mapa final'!#REF!="Muy Baja",'Mapa final'!#REF!="Leve"),CONCATENATE("R4C",'Mapa final'!#REF!),"")</f>
        <v>#REF!</v>
      </c>
      <c r="L209" s="115" t="e">
        <f>IF(AND('Mapa final'!#REF!="Muy Baja",'Mapa final'!#REF!="Leve"),CONCATENATE("R4C",'Mapa final'!#REF!),"")</f>
        <v>#REF!</v>
      </c>
      <c r="M209" s="114" t="e">
        <f>IF(AND('Mapa final'!#REF!="Muy Baja",'Mapa final'!#REF!="Menor"),CONCATENATE("R4C",'Mapa final'!#REF!),"")</f>
        <v>#REF!</v>
      </c>
      <c r="N209" s="54" t="e">
        <f>IF(AND('Mapa final'!#REF!="Muy Baja",'Mapa final'!#REF!="Menor"),CONCATENATE("R4C",'Mapa final'!#REF!),"")</f>
        <v>#REF!</v>
      </c>
      <c r="O209" s="115" t="e">
        <f>IF(AND('Mapa final'!#REF!="Muy Baja",'Mapa final'!#REF!="Menor"),CONCATENATE("R4C",'Mapa final'!#REF!),"")</f>
        <v>#REF!</v>
      </c>
      <c r="P209" s="49" t="e">
        <f>IF(AND('Mapa final'!#REF!="Muy Baja",'Mapa final'!#REF!="Moderado"),CONCATENATE("R4C",'Mapa final'!#REF!),"")</f>
        <v>#REF!</v>
      </c>
      <c r="Q209" s="50" t="e">
        <f>IF(AND('Mapa final'!#REF!="Muy Baja",'Mapa final'!#REF!="Moderado"),CONCATENATE("R4C",'Mapa final'!#REF!),"")</f>
        <v>#REF!</v>
      </c>
      <c r="R209" s="110" t="e">
        <f>IF(AND('Mapa final'!#REF!="Muy Baja",'Mapa final'!#REF!="Moderado"),CONCATENATE("R4C",'Mapa final'!#REF!),"")</f>
        <v>#REF!</v>
      </c>
      <c r="S209" s="104" t="e">
        <f>IF(AND('Mapa final'!#REF!="Muy Baja",'Mapa final'!#REF!="Mayor"),CONCATENATE("R4C",'Mapa final'!#REF!),"")</f>
        <v>#REF!</v>
      </c>
      <c r="T209" s="42" t="e">
        <f>IF(AND('Mapa final'!#REF!="Muy Baja",'Mapa final'!#REF!="Mayor"),CONCATENATE("R4C",'Mapa final'!#REF!),"")</f>
        <v>#REF!</v>
      </c>
      <c r="U209" s="105" t="e">
        <f>IF(AND('Mapa final'!#REF!="Muy Baja",'Mapa final'!#REF!="Mayor"),CONCATENATE("R4C",'Mapa final'!#REF!),"")</f>
        <v>#REF!</v>
      </c>
      <c r="V209" s="43" t="e">
        <f>IF(AND('Mapa final'!#REF!="Muy Baja",'Mapa final'!#REF!="Catastrófico"),CONCATENATE("R4C",'Mapa final'!#REF!),"")</f>
        <v>#REF!</v>
      </c>
      <c r="W209" s="44" t="e">
        <f>IF(AND('Mapa final'!#REF!="Muy Baja",'Mapa final'!#REF!="Catastrófico"),CONCATENATE("R4C",'Mapa final'!#REF!),"")</f>
        <v>#REF!</v>
      </c>
      <c r="X209" s="99" t="e">
        <f>IF(AND('Mapa final'!#REF!="Muy Baja",'Mapa final'!#REF!="Catastrófico"),CONCATENATE("R4C",'Mapa final'!#REF!),"")</f>
        <v>#REF!</v>
      </c>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c r="BB209" s="56"/>
      <c r="BC209" s="56"/>
      <c r="BD209" s="56"/>
      <c r="BE209" s="56"/>
      <c r="BF209" s="56"/>
      <c r="BG209" s="56"/>
      <c r="BH209" s="56"/>
      <c r="BI209" s="56"/>
      <c r="BJ209" s="56"/>
      <c r="BK209" s="56"/>
      <c r="BL209" s="56"/>
      <c r="BM209" s="56"/>
    </row>
    <row r="210" spans="1:65" ht="15.75" x14ac:dyDescent="0.25">
      <c r="A210" s="56"/>
      <c r="B210" s="286"/>
      <c r="C210" s="286"/>
      <c r="D210" s="287"/>
      <c r="E210" s="274"/>
      <c r="F210" s="275"/>
      <c r="G210" s="275"/>
      <c r="H210" s="275"/>
      <c r="I210" s="275"/>
      <c r="J210" s="114" t="e">
        <f>IF(AND('Mapa final'!#REF!="Muy Baja",'Mapa final'!#REF!="Leve"),CONCATENATE("R5C",'Mapa final'!#REF!),"")</f>
        <v>#REF!</v>
      </c>
      <c r="K210" s="54" t="e">
        <f>IF(AND('Mapa final'!#REF!="Muy Baja",'Mapa final'!#REF!="Leve"),CONCATENATE("R5C",'Mapa final'!#REF!),"")</f>
        <v>#REF!</v>
      </c>
      <c r="L210" s="115" t="e">
        <f>IF(AND('Mapa final'!#REF!="Muy Baja",'Mapa final'!#REF!="Leve"),CONCATENATE("R5C",'Mapa final'!#REF!),"")</f>
        <v>#REF!</v>
      </c>
      <c r="M210" s="114" t="e">
        <f>IF(AND('Mapa final'!#REF!="Muy Baja",'Mapa final'!#REF!="Menor"),CONCATENATE("R5C",'Mapa final'!#REF!),"")</f>
        <v>#REF!</v>
      </c>
      <c r="N210" s="54" t="e">
        <f>IF(AND('Mapa final'!#REF!="Muy Baja",'Mapa final'!#REF!="Menor"),CONCATENATE("R5C",'Mapa final'!#REF!),"")</f>
        <v>#REF!</v>
      </c>
      <c r="O210" s="115" t="e">
        <f>IF(AND('Mapa final'!#REF!="Muy Baja",'Mapa final'!#REF!="Menor"),CONCATENATE("R5C",'Mapa final'!#REF!),"")</f>
        <v>#REF!</v>
      </c>
      <c r="P210" s="49" t="e">
        <f>IF(AND('Mapa final'!#REF!="Muy Baja",'Mapa final'!#REF!="Moderado"),CONCATENATE("R5C",'Mapa final'!#REF!),"")</f>
        <v>#REF!</v>
      </c>
      <c r="Q210" s="50" t="e">
        <f>IF(AND('Mapa final'!#REF!="Muy Baja",'Mapa final'!#REF!="Moderado"),CONCATENATE("R5C",'Mapa final'!#REF!),"")</f>
        <v>#REF!</v>
      </c>
      <c r="R210" s="110" t="e">
        <f>IF(AND('Mapa final'!#REF!="Muy Baja",'Mapa final'!#REF!="Moderado"),CONCATENATE("R5C",'Mapa final'!#REF!),"")</f>
        <v>#REF!</v>
      </c>
      <c r="S210" s="104" t="e">
        <f>IF(AND('Mapa final'!#REF!="Muy Baja",'Mapa final'!#REF!="Mayor"),CONCATENATE("R5C",'Mapa final'!#REF!),"")</f>
        <v>#REF!</v>
      </c>
      <c r="T210" s="42" t="e">
        <f>IF(AND('Mapa final'!#REF!="Muy Baja",'Mapa final'!#REF!="Mayor"),CONCATENATE("R5C",'Mapa final'!#REF!),"")</f>
        <v>#REF!</v>
      </c>
      <c r="U210" s="105" t="e">
        <f>IF(AND('Mapa final'!#REF!="Muy Baja",'Mapa final'!#REF!="Mayor"),CONCATENATE("R5C",'Mapa final'!#REF!),"")</f>
        <v>#REF!</v>
      </c>
      <c r="V210" s="43" t="e">
        <f>IF(AND('Mapa final'!#REF!="Muy Baja",'Mapa final'!#REF!="Catastrófico"),CONCATENATE("R5C",'Mapa final'!#REF!),"")</f>
        <v>#REF!</v>
      </c>
      <c r="W210" s="44" t="e">
        <f>IF(AND('Mapa final'!#REF!="Muy Baja",'Mapa final'!#REF!="Catastrófico"),CONCATENATE("R5C",'Mapa final'!#REF!),"")</f>
        <v>#REF!</v>
      </c>
      <c r="X210" s="99" t="e">
        <f>IF(AND('Mapa final'!#REF!="Muy Baja",'Mapa final'!#REF!="Catastrófico"),CONCATENATE("R5C",'Mapa final'!#REF!),"")</f>
        <v>#REF!</v>
      </c>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c r="BB210" s="56"/>
      <c r="BC210" s="56"/>
      <c r="BD210" s="56"/>
      <c r="BE210" s="56"/>
      <c r="BF210" s="56"/>
      <c r="BG210" s="56"/>
      <c r="BH210" s="56"/>
      <c r="BI210" s="56"/>
      <c r="BJ210" s="56"/>
      <c r="BK210" s="56"/>
      <c r="BL210" s="56"/>
      <c r="BM210" s="56"/>
    </row>
    <row r="211" spans="1:65" ht="15.75" x14ac:dyDescent="0.25">
      <c r="A211" s="56"/>
      <c r="B211" s="286"/>
      <c r="C211" s="286"/>
      <c r="D211" s="287"/>
      <c r="E211" s="274"/>
      <c r="F211" s="275"/>
      <c r="G211" s="275"/>
      <c r="H211" s="275"/>
      <c r="I211" s="275"/>
      <c r="J211" s="114" t="str">
        <f ca="1">IF(AND('Mapa final'!$AB$16="Muy Baja",'Mapa final'!$AD$16="Leve"),CONCATENATE("R6C",'Mapa final'!$R$16),"")</f>
        <v/>
      </c>
      <c r="K211" s="54" t="str">
        <f>IF(AND('Mapa final'!$AB$17="Muy Baja",'Mapa final'!$AD$17="Leve"),CONCATENATE("R6C",'Mapa final'!$R$17),"")</f>
        <v/>
      </c>
      <c r="L211" s="115" t="str">
        <f>IF(AND('Mapa final'!$AB$18="Muy Baja",'Mapa final'!$AD$18="Leve"),CONCATENATE("R6C",'Mapa final'!$R$18),"")</f>
        <v/>
      </c>
      <c r="M211" s="114" t="str">
        <f ca="1">IF(AND('Mapa final'!$AB$16="Muy Baja",'Mapa final'!$AD$16="Menor"),CONCATENATE("R6C",'Mapa final'!$R$16),"")</f>
        <v/>
      </c>
      <c r="N211" s="54" t="str">
        <f>IF(AND('Mapa final'!$AB$17="Muy Baja",'Mapa final'!$AD$17="Menor"),CONCATENATE("R6C",'Mapa final'!$R$17),"")</f>
        <v/>
      </c>
      <c r="O211" s="115" t="str">
        <f>IF(AND('Mapa final'!$AB$18="Muy Baja",'Mapa final'!$AD$18="Menor"),CONCATENATE("R6C",'Mapa final'!$R$18),"")</f>
        <v/>
      </c>
      <c r="P211" s="49" t="str">
        <f ca="1">IF(AND('Mapa final'!$AB$16="Muy Baja",'Mapa final'!$AD$16="Moderado"),CONCATENATE("R6C",'Mapa final'!$R$16),"")</f>
        <v>R6C1</v>
      </c>
      <c r="Q211" s="50" t="str">
        <f>IF(AND('Mapa final'!$AB$17="Muy Baja",'Mapa final'!$AD$17="Moderado"),CONCATENATE("R6C",'Mapa final'!$R$17),"")</f>
        <v/>
      </c>
      <c r="R211" s="110" t="str">
        <f>IF(AND('Mapa final'!$AB$18="Muy Baja",'Mapa final'!$AD$18="Moderado"),CONCATENATE("R6C",'Mapa final'!$R$18),"")</f>
        <v/>
      </c>
      <c r="S211" s="104" t="str">
        <f ca="1">IF(AND('Mapa final'!$AB$16="Muy Baja",'Mapa final'!$AD$16="Mayor"),CONCATENATE("R6C",'Mapa final'!$R$16),"")</f>
        <v/>
      </c>
      <c r="T211" s="42" t="str">
        <f>IF(AND('Mapa final'!$AB$17="Muy Baja",'Mapa final'!$AD$17="Mayor"),CONCATENATE("R6C",'Mapa final'!$R$17),"")</f>
        <v/>
      </c>
      <c r="U211" s="105" t="str">
        <f>IF(AND('Mapa final'!$AB$18="Muy Baja",'Mapa final'!$AD$18="Mayor"),CONCATENATE("R6C",'Mapa final'!$R$18),"")</f>
        <v/>
      </c>
      <c r="V211" s="43" t="str">
        <f ca="1">IF(AND('Mapa final'!$AB$16="Muy Baja",'Mapa final'!$AD$16="Catastrófico"),CONCATENATE("R6C",'Mapa final'!$R$16),"")</f>
        <v/>
      </c>
      <c r="W211" s="44" t="str">
        <f>IF(AND('Mapa final'!$AB$17="Muy Baja",'Mapa final'!$AD$17="Catastrófico"),CONCATENATE("R6C",'Mapa final'!$R$17),"")</f>
        <v/>
      </c>
      <c r="X211" s="99" t="str">
        <f>IF(AND('Mapa final'!$AB$18="Muy Baja",'Mapa final'!$AD$18="Catastrófico"),CONCATENATE("R6C",'Mapa final'!$R$18),"")</f>
        <v/>
      </c>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c r="BB211" s="56"/>
      <c r="BC211" s="56"/>
      <c r="BD211" s="56"/>
      <c r="BE211" s="56"/>
      <c r="BF211" s="56"/>
      <c r="BG211" s="56"/>
      <c r="BH211" s="56"/>
      <c r="BI211" s="56"/>
      <c r="BJ211" s="56"/>
      <c r="BK211" s="56"/>
      <c r="BL211" s="56"/>
      <c r="BM211" s="56"/>
    </row>
    <row r="212" spans="1:65" ht="15.75" x14ac:dyDescent="0.25">
      <c r="A212" s="56"/>
      <c r="B212" s="286"/>
      <c r="C212" s="286"/>
      <c r="D212" s="287"/>
      <c r="E212" s="274"/>
      <c r="F212" s="275"/>
      <c r="G212" s="275"/>
      <c r="H212" s="275"/>
      <c r="I212" s="275"/>
      <c r="J212" s="114" t="str">
        <f ca="1">IF(AND('Mapa final'!$AB$19="Muy Baja",'Mapa final'!$AD$19="Leve"),CONCATENATE("R7C",'Mapa final'!$R$19),"")</f>
        <v/>
      </c>
      <c r="K212" s="54" t="str">
        <f>IF(AND('Mapa final'!$AB$20="Muy Baja",'Mapa final'!$AD$20="Leve"),CONCATENATE("R7C",'Mapa final'!$R$20),"")</f>
        <v/>
      </c>
      <c r="L212" s="115" t="str">
        <f>IF(AND('Mapa final'!$AB$21="Muy Baja",'Mapa final'!$AD$21="Leve"),CONCATENATE("R7C",'Mapa final'!$R$21),"")</f>
        <v/>
      </c>
      <c r="M212" s="114" t="str">
        <f ca="1">IF(AND('Mapa final'!$AB$19="Muy Baja",'Mapa final'!$AD$19="Menor"),CONCATENATE("R7C",'Mapa final'!$R$19),"")</f>
        <v/>
      </c>
      <c r="N212" s="54" t="str">
        <f>IF(AND('Mapa final'!$AB$20="Muy Baja",'Mapa final'!$AD$20="Menor"),CONCATENATE("R7C",'Mapa final'!$R$20),"")</f>
        <v/>
      </c>
      <c r="O212" s="115" t="str">
        <f>IF(AND('Mapa final'!$AB$21="Muy Baja",'Mapa final'!$AD$21="Menor"),CONCATENATE("R7C",'Mapa final'!$R$21),"")</f>
        <v/>
      </c>
      <c r="P212" s="49" t="str">
        <f ca="1">IF(AND('Mapa final'!$AB$19="Muy Baja",'Mapa final'!$AD$19="Moderado"),CONCATENATE("R7C",'Mapa final'!$R$19),"")</f>
        <v>R7C1</v>
      </c>
      <c r="Q212" s="50" t="str">
        <f>IF(AND('Mapa final'!$AB$20="Muy Baja",'Mapa final'!$AD$20="Moderado"),CONCATENATE("R7C",'Mapa final'!$R$20),"")</f>
        <v/>
      </c>
      <c r="R212" s="110" t="str">
        <f>IF(AND('Mapa final'!$AB$21="Muy Baja",'Mapa final'!$AD$21="Moderado"),CONCATENATE("R7C",'Mapa final'!$R$21),"")</f>
        <v/>
      </c>
      <c r="S212" s="104" t="str">
        <f ca="1">IF(AND('Mapa final'!$AB$19="Muy Baja",'Mapa final'!$AD$19="Mayor"),CONCATENATE("R7C",'Mapa final'!$R$19),"")</f>
        <v/>
      </c>
      <c r="T212" s="42" t="str">
        <f>IF(AND('Mapa final'!$AB$20="Muy Baja",'Mapa final'!$AD$20="Mayor"),CONCATENATE("R7C",'Mapa final'!$R$20),"")</f>
        <v/>
      </c>
      <c r="U212" s="105" t="str">
        <f>IF(AND('Mapa final'!$AB$21="Muy Baja",'Mapa final'!$AD$21="Mayor"),CONCATENATE("R7C",'Mapa final'!$R$21),"")</f>
        <v/>
      </c>
      <c r="V212" s="43" t="str">
        <f ca="1">IF(AND('Mapa final'!$AB$19="Muy Baja",'Mapa final'!$AD$19="Catastrófico"),CONCATENATE("R7C",'Mapa final'!$R$19),"")</f>
        <v/>
      </c>
      <c r="W212" s="44" t="str">
        <f>IF(AND('Mapa final'!$AB$20="Muy Baja",'Mapa final'!$AD$20="Catastrófico"),CONCATENATE("R7C",'Mapa final'!$R$20),"")</f>
        <v/>
      </c>
      <c r="X212" s="99" t="str">
        <f>IF(AND('Mapa final'!$AB$21="Muy Baja",'Mapa final'!$AD$21="Catastrófico"),CONCATENATE("R7C",'Mapa final'!$R$21),"")</f>
        <v/>
      </c>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c r="BB212" s="56"/>
      <c r="BC212" s="56"/>
      <c r="BD212" s="56"/>
      <c r="BE212" s="56"/>
      <c r="BF212" s="56"/>
      <c r="BG212" s="56"/>
      <c r="BH212" s="56"/>
      <c r="BI212" s="56"/>
      <c r="BJ212" s="56"/>
      <c r="BK212" s="56"/>
      <c r="BL212" s="56"/>
      <c r="BM212" s="56"/>
    </row>
    <row r="213" spans="1:65" ht="15.75" x14ac:dyDescent="0.25">
      <c r="A213" s="56"/>
      <c r="B213" s="286"/>
      <c r="C213" s="286"/>
      <c r="D213" s="287"/>
      <c r="E213" s="274"/>
      <c r="F213" s="275"/>
      <c r="G213" s="275"/>
      <c r="H213" s="275"/>
      <c r="I213" s="275"/>
      <c r="J213" s="114" t="str">
        <f ca="1">IF(AND('Mapa final'!$AB$22="Muy Baja",'Mapa final'!$AD$22="Leve"),CONCATENATE("R8C",'Mapa final'!$R$22),"")</f>
        <v/>
      </c>
      <c r="K213" s="54" t="str">
        <f>IF(AND('Mapa final'!$AB$23="Muy Baja",'Mapa final'!$AD$23="Leve"),CONCATENATE("R8C",'Mapa final'!$R$23),"")</f>
        <v/>
      </c>
      <c r="L213" s="115" t="str">
        <f>IF(AND('Mapa final'!$AB$24="Muy Baja",'Mapa final'!$AD$24="Leve"),CONCATENATE("R8C",'Mapa final'!$R$24),"")</f>
        <v/>
      </c>
      <c r="M213" s="114" t="str">
        <f ca="1">IF(AND('Mapa final'!$AB$22="Muy Baja",'Mapa final'!$AD$22="Menor"),CONCATENATE("R8C",'Mapa final'!$R$22),"")</f>
        <v/>
      </c>
      <c r="N213" s="54" t="str">
        <f>IF(AND('Mapa final'!$AB$23="Muy Baja",'Mapa final'!$AD$23="Menor"),CONCATENATE("R8C",'Mapa final'!$R$23),"")</f>
        <v/>
      </c>
      <c r="O213" s="115" t="str">
        <f>IF(AND('Mapa final'!$AB$24="Muy Baja",'Mapa final'!$AD$24="Menor"),CONCATENATE("R8C",'Mapa final'!$R$24),"")</f>
        <v/>
      </c>
      <c r="P213" s="49" t="str">
        <f ca="1">IF(AND('Mapa final'!$AB$22="Muy Baja",'Mapa final'!$AD$22="Moderado"),CONCATENATE("R8C",'Mapa final'!$R$22),"")</f>
        <v/>
      </c>
      <c r="Q213" s="50" t="str">
        <f>IF(AND('Mapa final'!$AB$23="Muy Baja",'Mapa final'!$AD$23="Moderado"),CONCATENATE("R8C",'Mapa final'!$R$23),"")</f>
        <v/>
      </c>
      <c r="R213" s="110" t="str">
        <f>IF(AND('Mapa final'!$AB$24="Muy Baja",'Mapa final'!$AD$24="Moderado"),CONCATENATE("R8C",'Mapa final'!$R$24),"")</f>
        <v/>
      </c>
      <c r="S213" s="104" t="str">
        <f ca="1">IF(AND('Mapa final'!$AB$22="Muy Baja",'Mapa final'!$AD$22="Mayor"),CONCATENATE("R8C",'Mapa final'!$R$22),"")</f>
        <v/>
      </c>
      <c r="T213" s="42" t="str">
        <f>IF(AND('Mapa final'!$AB$23="Muy Baja",'Mapa final'!$AD$23="Mayor"),CONCATENATE("R8C",'Mapa final'!$R$23),"")</f>
        <v/>
      </c>
      <c r="U213" s="105" t="str">
        <f>IF(AND('Mapa final'!$AB$24="Muy Baja",'Mapa final'!$AD$24="Mayor"),CONCATENATE("R8C",'Mapa final'!$R$24),"")</f>
        <v/>
      </c>
      <c r="V213" s="43" t="str">
        <f ca="1">IF(AND('Mapa final'!$AB$22="Muy Baja",'Mapa final'!$AD$22="Catastrófico"),CONCATENATE("R8C",'Mapa final'!$R$22),"")</f>
        <v/>
      </c>
      <c r="W213" s="44" t="str">
        <f>IF(AND('Mapa final'!$AB$23="Muy Baja",'Mapa final'!$AD$23="Catastrófico"),CONCATENATE("R8C",'Mapa final'!$R$23),"")</f>
        <v/>
      </c>
      <c r="X213" s="99" t="str">
        <f>IF(AND('Mapa final'!$AB$24="Muy Baja",'Mapa final'!$AD$24="Catastrófico"),CONCATENATE("R8C",'Mapa final'!$R$24),"")</f>
        <v/>
      </c>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c r="BB213" s="56"/>
      <c r="BC213" s="56"/>
      <c r="BD213" s="56"/>
      <c r="BE213" s="56"/>
      <c r="BF213" s="56"/>
      <c r="BG213" s="56"/>
      <c r="BH213" s="56"/>
      <c r="BI213" s="56"/>
      <c r="BJ213" s="56"/>
      <c r="BK213" s="56"/>
      <c r="BL213" s="56"/>
      <c r="BM213" s="56"/>
    </row>
    <row r="214" spans="1:65" ht="15.75" x14ac:dyDescent="0.25">
      <c r="A214" s="56"/>
      <c r="B214" s="286"/>
      <c r="C214" s="286"/>
      <c r="D214" s="287"/>
      <c r="E214" s="274"/>
      <c r="F214" s="275"/>
      <c r="G214" s="275"/>
      <c r="H214" s="275"/>
      <c r="I214" s="275"/>
      <c r="J214" s="114" t="str">
        <f ca="1">IF(AND('Mapa final'!$AB$25="Muy Baja",'Mapa final'!$AD$25="Leve"),CONCATENATE("R9C",'Mapa final'!$R$25),"")</f>
        <v/>
      </c>
      <c r="K214" s="54" t="str">
        <f>IF(AND('Mapa final'!$AB$26="Muy Baja",'Mapa final'!$AD$26="Leve"),CONCATENATE("R9C",'Mapa final'!$R$26),"")</f>
        <v/>
      </c>
      <c r="L214" s="115" t="str">
        <f>IF(AND('Mapa final'!$AB$27="Muy Baja",'Mapa final'!$AD$27="Leve"),CONCATENATE("R9C",'Mapa final'!$R$27),"")</f>
        <v/>
      </c>
      <c r="M214" s="114" t="str">
        <f ca="1">IF(AND('Mapa final'!$AB$25="Muy Baja",'Mapa final'!$AD$25="Menor"),CONCATENATE("R9C",'Mapa final'!$R$25),"")</f>
        <v/>
      </c>
      <c r="N214" s="54" t="str">
        <f>IF(AND('Mapa final'!$AB$26="Muy Baja",'Mapa final'!$AD$26="Menor"),CONCATENATE("R9C",'Mapa final'!$R$26),"")</f>
        <v/>
      </c>
      <c r="O214" s="115" t="str">
        <f>IF(AND('Mapa final'!$AB$27="Muy Baja",'Mapa final'!$AD$27="Menor"),CONCATENATE("R9C",'Mapa final'!$R$27),"")</f>
        <v/>
      </c>
      <c r="P214" s="49" t="str">
        <f ca="1">IF(AND('Mapa final'!$AB$25="Muy Baja",'Mapa final'!$AD$25="Moderado"),CONCATENATE("R9C",'Mapa final'!$R$25),"")</f>
        <v/>
      </c>
      <c r="Q214" s="50" t="str">
        <f>IF(AND('Mapa final'!$AB$26="Muy Baja",'Mapa final'!$AD$26="Moderado"),CONCATENATE("R9C",'Mapa final'!$R$26),"")</f>
        <v/>
      </c>
      <c r="R214" s="110" t="str">
        <f>IF(AND('Mapa final'!$AB$27="Muy Baja",'Mapa final'!$AD$27="Moderado"),CONCATENATE("R9C",'Mapa final'!$R$27),"")</f>
        <v/>
      </c>
      <c r="S214" s="104" t="str">
        <f ca="1">IF(AND('Mapa final'!$AB$25="Muy Baja",'Mapa final'!$AD$25="Mayor"),CONCATENATE("R9C",'Mapa final'!$R$25),"")</f>
        <v/>
      </c>
      <c r="T214" s="42" t="str">
        <f>IF(AND('Mapa final'!$AB$26="Muy Baja",'Mapa final'!$AD$26="Mayor"),CONCATENATE("R9C",'Mapa final'!$R$26),"")</f>
        <v/>
      </c>
      <c r="U214" s="105" t="str">
        <f>IF(AND('Mapa final'!$AB$27="Muy Baja",'Mapa final'!$AD$27="Mayor"),CONCATENATE("R9C",'Mapa final'!$R$27),"")</f>
        <v/>
      </c>
      <c r="V214" s="43" t="str">
        <f ca="1">IF(AND('Mapa final'!$AB$25="Muy Baja",'Mapa final'!$AD$25="Catastrófico"),CONCATENATE("R9C",'Mapa final'!$R$25),"")</f>
        <v/>
      </c>
      <c r="W214" s="44" t="str">
        <f>IF(AND('Mapa final'!$AB$26="Muy Baja",'Mapa final'!$AD$26="Catastrófico"),CONCATENATE("R9C",'Mapa final'!$R$26),"")</f>
        <v/>
      </c>
      <c r="X214" s="99" t="str">
        <f>IF(AND('Mapa final'!$AB$27="Muy Baja",'Mapa final'!$AD$27="Catastrófico"),CONCATENATE("R9C",'Mapa final'!$R$27),"")</f>
        <v/>
      </c>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c r="BB214" s="56"/>
      <c r="BC214" s="56"/>
      <c r="BD214" s="56"/>
      <c r="BE214" s="56"/>
      <c r="BF214" s="56"/>
      <c r="BG214" s="56"/>
      <c r="BH214" s="56"/>
      <c r="BI214" s="56"/>
      <c r="BJ214" s="56"/>
      <c r="BK214" s="56"/>
      <c r="BL214" s="56"/>
      <c r="BM214" s="56"/>
    </row>
    <row r="215" spans="1:65" ht="15.75" x14ac:dyDescent="0.25">
      <c r="A215" s="56"/>
      <c r="B215" s="286"/>
      <c r="C215" s="286"/>
      <c r="D215" s="287"/>
      <c r="E215" s="274"/>
      <c r="F215" s="275"/>
      <c r="G215" s="275"/>
      <c r="H215" s="275"/>
      <c r="I215" s="275"/>
      <c r="J215" s="114" t="str">
        <f ca="1">IF(AND('Mapa final'!$AB$28="Muy Baja",'Mapa final'!$AD$28="Leve"),CONCATENATE("R10C",'Mapa final'!$R$28),"")</f>
        <v/>
      </c>
      <c r="K215" s="54" t="str">
        <f>IF(AND('Mapa final'!$AB$29="Muy Baja",'Mapa final'!$AD$29="Leve"),CONCATENATE("R10C",'Mapa final'!$R$29),"")</f>
        <v/>
      </c>
      <c r="L215" s="115" t="str">
        <f>IF(AND('Mapa final'!$AB$30="Muy Baja",'Mapa final'!$AD$30="Leve"),CONCATENATE("R10C",'Mapa final'!$R$30),"")</f>
        <v/>
      </c>
      <c r="M215" s="114" t="str">
        <f ca="1">IF(AND('Mapa final'!$AB$28="Muy Baja",'Mapa final'!$AD$28="Menor"),CONCATENATE("R10C",'Mapa final'!$R$28),"")</f>
        <v/>
      </c>
      <c r="N215" s="54" t="str">
        <f>IF(AND('Mapa final'!$AB$29="Muy Baja",'Mapa final'!$AD$29="Menor"),CONCATENATE("R10C",'Mapa final'!$R$29),"")</f>
        <v/>
      </c>
      <c r="O215" s="115" t="str">
        <f>IF(AND('Mapa final'!$AB$30="Muy Baja",'Mapa final'!$AD$30="Menor"),CONCATENATE("R10C",'Mapa final'!$R$30),"")</f>
        <v/>
      </c>
      <c r="P215" s="49" t="str">
        <f ca="1">IF(AND('Mapa final'!$AB$28="Muy Baja",'Mapa final'!$AD$28="Moderado"),CONCATENATE("R10C",'Mapa final'!$R$28),"")</f>
        <v/>
      </c>
      <c r="Q215" s="50" t="str">
        <f>IF(AND('Mapa final'!$AB$29="Muy Baja",'Mapa final'!$AD$29="Moderado"),CONCATENATE("R10C",'Mapa final'!$R$29),"")</f>
        <v/>
      </c>
      <c r="R215" s="110" t="str">
        <f>IF(AND('Mapa final'!$AB$30="Muy Baja",'Mapa final'!$AD$30="Moderado"),CONCATENATE("R10C",'Mapa final'!$R$30),"")</f>
        <v/>
      </c>
      <c r="S215" s="104" t="str">
        <f ca="1">IF(AND('Mapa final'!$AB$28="Muy Baja",'Mapa final'!$AD$28="Mayor"),CONCATENATE("R10C",'Mapa final'!$R$28),"")</f>
        <v/>
      </c>
      <c r="T215" s="42" t="str">
        <f>IF(AND('Mapa final'!$AB$29="Muy Baja",'Mapa final'!$AD$29="Mayor"),CONCATENATE("R10C",'Mapa final'!$R$29),"")</f>
        <v/>
      </c>
      <c r="U215" s="105" t="str">
        <f>IF(AND('Mapa final'!$AB$30="Muy Baja",'Mapa final'!$AD$30="Mayor"),CONCATENATE("R10C",'Mapa final'!$R$30),"")</f>
        <v/>
      </c>
      <c r="V215" s="43" t="str">
        <f ca="1">IF(AND('Mapa final'!$AB$28="Muy Baja",'Mapa final'!$AD$28="Catastrófico"),CONCATENATE("R10C",'Mapa final'!$R$28),"")</f>
        <v/>
      </c>
      <c r="W215" s="44" t="str">
        <f>IF(AND('Mapa final'!$AB$29="Muy Baja",'Mapa final'!$AD$29="Catastrófico"),CONCATENATE("R10C",'Mapa final'!$R$29),"")</f>
        <v/>
      </c>
      <c r="X215" s="99" t="str">
        <f>IF(AND('Mapa final'!$AB$30="Muy Baja",'Mapa final'!$AD$30="Catastrófico"),CONCATENATE("R10C",'Mapa final'!$R$30),"")</f>
        <v/>
      </c>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c r="BB215" s="56"/>
      <c r="BC215" s="56"/>
      <c r="BD215" s="56"/>
      <c r="BE215" s="56"/>
      <c r="BF215" s="56"/>
      <c r="BG215" s="56"/>
      <c r="BH215" s="56"/>
      <c r="BI215" s="56"/>
      <c r="BJ215" s="56"/>
      <c r="BK215" s="56"/>
      <c r="BL215" s="56"/>
      <c r="BM215" s="56"/>
    </row>
    <row r="216" spans="1:65" ht="15.75" x14ac:dyDescent="0.25">
      <c r="A216" s="56"/>
      <c r="B216" s="286"/>
      <c r="C216" s="286"/>
      <c r="D216" s="287"/>
      <c r="E216" s="274"/>
      <c r="F216" s="275"/>
      <c r="G216" s="275"/>
      <c r="H216" s="275"/>
      <c r="I216" s="275"/>
      <c r="J216" s="114" t="str">
        <f ca="1">IF(AND('Mapa final'!$AB$31="Muy Baja",'Mapa final'!$AD$31="Leve"),CONCATENATE("R11C",'Mapa final'!$R$31),"")</f>
        <v/>
      </c>
      <c r="K216" s="54" t="str">
        <f>IF(AND('Mapa final'!$AB$32="Muy Baja",'Mapa final'!$AD$32="Leve"),CONCATENATE("R11C",'Mapa final'!$R$32),"")</f>
        <v/>
      </c>
      <c r="L216" s="115" t="str">
        <f>IF(AND('Mapa final'!$AB$33="Muy Baja",'Mapa final'!$AD$33="Leve"),CONCATENATE("R11C",'Mapa final'!$R$33),"")</f>
        <v/>
      </c>
      <c r="M216" s="114" t="str">
        <f ca="1">IF(AND('Mapa final'!$AB$31="Muy Baja",'Mapa final'!$AD$31="Menor"),CONCATENATE("R11C",'Mapa final'!$R$31),"")</f>
        <v/>
      </c>
      <c r="N216" s="54" t="str">
        <f>IF(AND('Mapa final'!$AB$32="Muy Baja",'Mapa final'!$AD$32="Menor"),CONCATENATE("R11C",'Mapa final'!$R$32),"")</f>
        <v/>
      </c>
      <c r="O216" s="115" t="str">
        <f>IF(AND('Mapa final'!$AB$33="Muy Baja",'Mapa final'!$AD$33="Menor"),CONCATENATE("R11C",'Mapa final'!$R$33),"")</f>
        <v/>
      </c>
      <c r="P216" s="49" t="str">
        <f ca="1">IF(AND('Mapa final'!$AB$31="Muy Baja",'Mapa final'!$AD$31="Moderado"),CONCATENATE("R11C",'Mapa final'!$R$31),"")</f>
        <v/>
      </c>
      <c r="Q216" s="50" t="str">
        <f>IF(AND('Mapa final'!$AB$32="Muy Baja",'Mapa final'!$AD$32="Moderado"),CONCATENATE("R11C",'Mapa final'!$R$32),"")</f>
        <v/>
      </c>
      <c r="R216" s="110" t="str">
        <f>IF(AND('Mapa final'!$AB$33="Muy Baja",'Mapa final'!$AD$33="Moderado"),CONCATENATE("R11C",'Mapa final'!$R$33),"")</f>
        <v/>
      </c>
      <c r="S216" s="104" t="str">
        <f ca="1">IF(AND('Mapa final'!$AB$31="Muy Baja",'Mapa final'!$AD$31="Mayor"),CONCATENATE("R11C",'Mapa final'!$R$31),"")</f>
        <v/>
      </c>
      <c r="T216" s="42" t="str">
        <f>IF(AND('Mapa final'!$AB$32="Muy Baja",'Mapa final'!$AD$32="Mayor"),CONCATENATE("R11C",'Mapa final'!$R$32),"")</f>
        <v/>
      </c>
      <c r="U216" s="105" t="str">
        <f>IF(AND('Mapa final'!$AB$33="Muy Baja",'Mapa final'!$AD$33="Mayor"),CONCATENATE("R11C",'Mapa final'!$R$33),"")</f>
        <v/>
      </c>
      <c r="V216" s="43" t="str">
        <f ca="1">IF(AND('Mapa final'!$AB$31="Muy Baja",'Mapa final'!$AD$31="Catastrófico"),CONCATENATE("R11C",'Mapa final'!$R$31),"")</f>
        <v/>
      </c>
      <c r="W216" s="44" t="str">
        <f>IF(AND('Mapa final'!$AB$32="Muy Baja",'Mapa final'!$AD$32="Catastrófico"),CONCATENATE("R11C",'Mapa final'!$R$32),"")</f>
        <v/>
      </c>
      <c r="X216" s="99" t="str">
        <f>IF(AND('Mapa final'!$AB$33="Muy Baja",'Mapa final'!$AD$33="Catastrófico"),CONCATENATE("R11C",'Mapa final'!$R$33),"")</f>
        <v/>
      </c>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c r="BB216" s="56"/>
      <c r="BC216" s="56"/>
      <c r="BD216" s="56"/>
      <c r="BE216" s="56"/>
      <c r="BF216" s="56"/>
      <c r="BG216" s="56"/>
      <c r="BH216" s="56"/>
      <c r="BI216" s="56"/>
      <c r="BJ216" s="56"/>
      <c r="BK216" s="56"/>
      <c r="BL216" s="56"/>
      <c r="BM216" s="56"/>
    </row>
    <row r="217" spans="1:65" ht="15.75" x14ac:dyDescent="0.25">
      <c r="A217" s="56"/>
      <c r="B217" s="286"/>
      <c r="C217" s="286"/>
      <c r="D217" s="287"/>
      <c r="E217" s="274"/>
      <c r="F217" s="275"/>
      <c r="G217" s="275"/>
      <c r="H217" s="275"/>
      <c r="I217" s="275"/>
      <c r="J217" s="114" t="str">
        <f ca="1">IF(AND('Mapa final'!$AB$34="Muy Baja",'Mapa final'!$AD$34="Leve"),CONCATENATE("R12C",'Mapa final'!$R$34),"")</f>
        <v/>
      </c>
      <c r="K217" s="54" t="str">
        <f>IF(AND('Mapa final'!$AB$35="Muy Baja",'Mapa final'!$AD$35="Leve"),CONCATENATE("R12C",'Mapa final'!$R$35),"")</f>
        <v/>
      </c>
      <c r="L217" s="115" t="str">
        <f>IF(AND('Mapa final'!$AB$36="Muy Baja",'Mapa final'!$AD$36="Leve"),CONCATENATE("R12C",'Mapa final'!$R$36),"")</f>
        <v/>
      </c>
      <c r="M217" s="114" t="str">
        <f ca="1">IF(AND('Mapa final'!$AB$34="Muy Baja",'Mapa final'!$AD$34="Menor"),CONCATENATE("R12C",'Mapa final'!$R$34),"")</f>
        <v/>
      </c>
      <c r="N217" s="54" t="str">
        <f>IF(AND('Mapa final'!$AB$35="Muy Baja",'Mapa final'!$AD$35="Menor"),CONCATENATE("R12C",'Mapa final'!$R$35),"")</f>
        <v/>
      </c>
      <c r="O217" s="115" t="str">
        <f>IF(AND('Mapa final'!$AB$36="Muy Baja",'Mapa final'!$AD$36="Menor"),CONCATENATE("R12C",'Mapa final'!$R$36),"")</f>
        <v/>
      </c>
      <c r="P217" s="49" t="str">
        <f ca="1">IF(AND('Mapa final'!$AB$34="Muy Baja",'Mapa final'!$AD$34="Moderado"),CONCATENATE("R12C",'Mapa final'!$R$34),"")</f>
        <v/>
      </c>
      <c r="Q217" s="50" t="str">
        <f>IF(AND('Mapa final'!$AB$35="Muy Baja",'Mapa final'!$AD$35="Moderado"),CONCATENATE("R12C",'Mapa final'!$R$35),"")</f>
        <v/>
      </c>
      <c r="R217" s="110" t="str">
        <f>IF(AND('Mapa final'!$AB$36="Muy Baja",'Mapa final'!$AD$36="Moderado"),CONCATENATE("R12C",'Mapa final'!$R$36),"")</f>
        <v/>
      </c>
      <c r="S217" s="104" t="str">
        <f ca="1">IF(AND('Mapa final'!$AB$34="Muy Baja",'Mapa final'!$AD$34="Mayor"),CONCATENATE("R12C",'Mapa final'!$R$34),"")</f>
        <v/>
      </c>
      <c r="T217" s="42" t="str">
        <f>IF(AND('Mapa final'!$AB$35="Muy Baja",'Mapa final'!$AD$35="Mayor"),CONCATENATE("R12C",'Mapa final'!$R$35),"")</f>
        <v/>
      </c>
      <c r="U217" s="105" t="str">
        <f>IF(AND('Mapa final'!$AB$36="Muy Baja",'Mapa final'!$AD$36="Mayor"),CONCATENATE("R12C",'Mapa final'!$R$36),"")</f>
        <v/>
      </c>
      <c r="V217" s="43" t="str">
        <f ca="1">IF(AND('Mapa final'!$AB$34="Muy Baja",'Mapa final'!$AD$34="Catastrófico"),CONCATENATE("R12C",'Mapa final'!$R$34),"")</f>
        <v/>
      </c>
      <c r="W217" s="44" t="str">
        <f>IF(AND('Mapa final'!$AB$35="Muy Baja",'Mapa final'!$AD$35="Catastrófico"),CONCATENATE("R12C",'Mapa final'!$R$35),"")</f>
        <v/>
      </c>
      <c r="X217" s="99" t="str">
        <f>IF(AND('Mapa final'!$AB$36="Muy Baja",'Mapa final'!$AD$36="Catastrófico"),CONCATENATE("R12C",'Mapa final'!$R$36),"")</f>
        <v/>
      </c>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c r="BB217" s="56"/>
      <c r="BC217" s="56"/>
      <c r="BD217" s="56"/>
      <c r="BE217" s="56"/>
      <c r="BF217" s="56"/>
      <c r="BG217" s="56"/>
      <c r="BH217" s="56"/>
      <c r="BI217" s="56"/>
      <c r="BJ217" s="56"/>
      <c r="BK217" s="56"/>
      <c r="BL217" s="56"/>
      <c r="BM217" s="56"/>
    </row>
    <row r="218" spans="1:65" ht="15.75" x14ac:dyDescent="0.25">
      <c r="A218" s="56"/>
      <c r="B218" s="286"/>
      <c r="C218" s="286"/>
      <c r="D218" s="287"/>
      <c r="E218" s="274"/>
      <c r="F218" s="275"/>
      <c r="G218" s="275"/>
      <c r="H218" s="275"/>
      <c r="I218" s="275"/>
      <c r="J218" s="114" t="str">
        <f ca="1">IF(AND('Mapa final'!$AB$37="Muy Baja",'Mapa final'!$AD$37="Leve"),CONCATENATE("R13C",'Mapa final'!$R$37),"")</f>
        <v/>
      </c>
      <c r="K218" s="54" t="str">
        <f>IF(AND('Mapa final'!$AB$38="Muy Baja",'Mapa final'!$AD$38="Leve"),CONCATENATE("R13C",'Mapa final'!$R$38),"")</f>
        <v/>
      </c>
      <c r="L218" s="115" t="str">
        <f>IF(AND('Mapa final'!$AB$39="Muy Baja",'Mapa final'!$AD$39="Leve"),CONCATENATE("R13C",'Mapa final'!$R$39),"")</f>
        <v/>
      </c>
      <c r="M218" s="114" t="str">
        <f ca="1">IF(AND('Mapa final'!$AB$37="Muy Baja",'Mapa final'!$AD$37="Menor"),CONCATENATE("R13C",'Mapa final'!$R$37),"")</f>
        <v/>
      </c>
      <c r="N218" s="54" t="str">
        <f>IF(AND('Mapa final'!$AB$38="Muy Baja",'Mapa final'!$AD$38="Menor"),CONCATENATE("R13C",'Mapa final'!$R$38),"")</f>
        <v/>
      </c>
      <c r="O218" s="115" t="str">
        <f>IF(AND('Mapa final'!$AB$39="Muy Baja",'Mapa final'!$AD$39="Menor"),CONCATENATE("R13C",'Mapa final'!$R$39),"")</f>
        <v/>
      </c>
      <c r="P218" s="49" t="str">
        <f ca="1">IF(AND('Mapa final'!$AB$37="Muy Baja",'Mapa final'!$AD$37="Moderado"),CONCATENATE("R13C",'Mapa final'!$R$37),"")</f>
        <v>R13C1</v>
      </c>
      <c r="Q218" s="50" t="str">
        <f>IF(AND('Mapa final'!$AB$38="Muy Baja",'Mapa final'!$AD$38="Moderado"),CONCATENATE("R13C",'Mapa final'!$R$38),"")</f>
        <v/>
      </c>
      <c r="R218" s="110" t="str">
        <f>IF(AND('Mapa final'!$AB$39="Muy Baja",'Mapa final'!$AD$39="Moderado"),CONCATENATE("R13C",'Mapa final'!$R$39),"")</f>
        <v/>
      </c>
      <c r="S218" s="104" t="str">
        <f ca="1">IF(AND('Mapa final'!$AB$37="Muy Baja",'Mapa final'!$AD$37="Mayor"),CONCATENATE("R13C",'Mapa final'!$R$37),"")</f>
        <v/>
      </c>
      <c r="T218" s="42" t="str">
        <f>IF(AND('Mapa final'!$AB$38="Muy Baja",'Mapa final'!$AD$38="Mayor"),CONCATENATE("R13C",'Mapa final'!$R$38),"")</f>
        <v/>
      </c>
      <c r="U218" s="105" t="str">
        <f>IF(AND('Mapa final'!$AB$39="Muy Baja",'Mapa final'!$AD$39="Mayor"),CONCATENATE("R13C",'Mapa final'!$R$39),"")</f>
        <v/>
      </c>
      <c r="V218" s="43" t="str">
        <f ca="1">IF(AND('Mapa final'!$AB$37="Muy Baja",'Mapa final'!$AD$37="Catastrófico"),CONCATENATE("R13C",'Mapa final'!$R$37),"")</f>
        <v/>
      </c>
      <c r="W218" s="44" t="str">
        <f>IF(AND('Mapa final'!$AB$38="Muy Baja",'Mapa final'!$AD$38="Catastrófico"),CONCATENATE("R13C",'Mapa final'!$R$38),"")</f>
        <v/>
      </c>
      <c r="X218" s="99" t="str">
        <f>IF(AND('Mapa final'!$AB$39="Muy Baja",'Mapa final'!$AD$39="Catastrófico"),CONCATENATE("R13C",'Mapa final'!$R$39),"")</f>
        <v/>
      </c>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c r="BB218" s="56"/>
      <c r="BC218" s="56"/>
      <c r="BD218" s="56"/>
      <c r="BE218" s="56"/>
      <c r="BF218" s="56"/>
      <c r="BG218" s="56"/>
      <c r="BH218" s="56"/>
      <c r="BI218" s="56"/>
      <c r="BJ218" s="56"/>
      <c r="BK218" s="56"/>
      <c r="BL218" s="56"/>
      <c r="BM218" s="56"/>
    </row>
    <row r="219" spans="1:65" ht="15.75" x14ac:dyDescent="0.25">
      <c r="A219" s="56"/>
      <c r="B219" s="286"/>
      <c r="C219" s="286"/>
      <c r="D219" s="287"/>
      <c r="E219" s="274"/>
      <c r="F219" s="275"/>
      <c r="G219" s="275"/>
      <c r="H219" s="275"/>
      <c r="I219" s="275"/>
      <c r="J219" s="114" t="str">
        <f ca="1">IF(AND('Mapa final'!$AB$40="Muy Baja",'Mapa final'!$AD$40="Leve"),CONCATENATE("R14C",'Mapa final'!$R$40),"")</f>
        <v/>
      </c>
      <c r="K219" s="54" t="str">
        <f>IF(AND('Mapa final'!$AB$41="Muy Baja",'Mapa final'!$AD$41="Leve"),CONCATENATE("R14C",'Mapa final'!$R$41),"")</f>
        <v/>
      </c>
      <c r="L219" s="115" t="str">
        <f>IF(AND('Mapa final'!$AB$42="Muy Baja",'Mapa final'!$AD$42="Leve"),CONCATENATE("R14C",'Mapa final'!$R$42),"")</f>
        <v/>
      </c>
      <c r="M219" s="114" t="str">
        <f ca="1">IF(AND('Mapa final'!$AB$40="Muy Baja",'Mapa final'!$AD$40="Menor"),CONCATENATE("R14C",'Mapa final'!$R$40),"")</f>
        <v/>
      </c>
      <c r="N219" s="54" t="str">
        <f>IF(AND('Mapa final'!$AB$41="Muy Baja",'Mapa final'!$AD$41="Menor"),CONCATENATE("R14C",'Mapa final'!$R$41),"")</f>
        <v/>
      </c>
      <c r="O219" s="115" t="str">
        <f>IF(AND('Mapa final'!$AB$42="Muy Baja",'Mapa final'!$AD$42="Menor"),CONCATENATE("R14C",'Mapa final'!$R$42),"")</f>
        <v/>
      </c>
      <c r="P219" s="49" t="str">
        <f ca="1">IF(AND('Mapa final'!$AB$40="Muy Baja",'Mapa final'!$AD$40="Moderado"),CONCATENATE("R14C",'Mapa final'!$R$40),"")</f>
        <v/>
      </c>
      <c r="Q219" s="50" t="str">
        <f>IF(AND('Mapa final'!$AB$41="Muy Baja",'Mapa final'!$AD$41="Moderado"),CONCATENATE("R14C",'Mapa final'!$R$41),"")</f>
        <v>R14C2</v>
      </c>
      <c r="R219" s="110" t="str">
        <f>IF(AND('Mapa final'!$AB$42="Muy Baja",'Mapa final'!$AD$42="Moderado"),CONCATENATE("R14C",'Mapa final'!$R$42),"")</f>
        <v/>
      </c>
      <c r="S219" s="104" t="str">
        <f ca="1">IF(AND('Mapa final'!$AB$40="Muy Baja",'Mapa final'!$AD$40="Mayor"),CONCATENATE("R14C",'Mapa final'!$R$40),"")</f>
        <v/>
      </c>
      <c r="T219" s="42" t="str">
        <f>IF(AND('Mapa final'!$AB$41="Muy Baja",'Mapa final'!$AD$41="Mayor"),CONCATENATE("R14C",'Mapa final'!$R$41),"")</f>
        <v/>
      </c>
      <c r="U219" s="105" t="str">
        <f>IF(AND('Mapa final'!$AB$42="Muy Baja",'Mapa final'!$AD$42="Mayor"),CONCATENATE("R14C",'Mapa final'!$R$42),"")</f>
        <v/>
      </c>
      <c r="V219" s="43" t="str">
        <f ca="1">IF(AND('Mapa final'!$AB$40="Muy Baja",'Mapa final'!$AD$40="Catastrófico"),CONCATENATE("R14C",'Mapa final'!$R$40),"")</f>
        <v/>
      </c>
      <c r="W219" s="44" t="str">
        <f>IF(AND('Mapa final'!$AB$41="Muy Baja",'Mapa final'!$AD$41="Catastrófico"),CONCATENATE("R14C",'Mapa final'!$R$41),"")</f>
        <v/>
      </c>
      <c r="X219" s="99" t="str">
        <f>IF(AND('Mapa final'!$AB$42="Muy Baja",'Mapa final'!$AD$42="Catastrófico"),CONCATENATE("R14C",'Mapa final'!$R$42),"")</f>
        <v/>
      </c>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c r="BB219" s="56"/>
      <c r="BC219" s="56"/>
      <c r="BD219" s="56"/>
      <c r="BE219" s="56"/>
      <c r="BF219" s="56"/>
      <c r="BG219" s="56"/>
      <c r="BH219" s="56"/>
      <c r="BI219" s="56"/>
      <c r="BJ219" s="56"/>
      <c r="BK219" s="56"/>
      <c r="BL219" s="56"/>
      <c r="BM219" s="56"/>
    </row>
    <row r="220" spans="1:65" ht="15.75" x14ac:dyDescent="0.25">
      <c r="A220" s="56"/>
      <c r="B220" s="286"/>
      <c r="C220" s="286"/>
      <c r="D220" s="287"/>
      <c r="E220" s="274"/>
      <c r="F220" s="275"/>
      <c r="G220" s="275"/>
      <c r="H220" s="275"/>
      <c r="I220" s="275"/>
      <c r="J220" s="114" t="str">
        <f ca="1">IF(AND('Mapa final'!$AB$43="Muy Baja",'Mapa final'!$AD$43="Leve"),CONCATENATE("R15C",'Mapa final'!$R$43),"")</f>
        <v/>
      </c>
      <c r="K220" s="54" t="str">
        <f>IF(AND('Mapa final'!$AB$44="Muy Baja",'Mapa final'!$AD$44="Leve"),CONCATENATE("R15C",'Mapa final'!$R$44),"")</f>
        <v/>
      </c>
      <c r="L220" s="115" t="str">
        <f>IF(AND('Mapa final'!$AB$45="Muy Baja",'Mapa final'!$AD$45="Leve"),CONCATENATE("R15C",'Mapa final'!$R$45),"")</f>
        <v/>
      </c>
      <c r="M220" s="114" t="str">
        <f ca="1">IF(AND('Mapa final'!$AB$43="Muy Baja",'Mapa final'!$AD$43="Menor"),CONCATENATE("R15C",'Mapa final'!$R$43),"")</f>
        <v/>
      </c>
      <c r="N220" s="54" t="str">
        <f>IF(AND('Mapa final'!$AB$44="Muy Baja",'Mapa final'!$AD$44="Menor"),CONCATENATE("R15C",'Mapa final'!$R$44),"")</f>
        <v/>
      </c>
      <c r="O220" s="115" t="str">
        <f>IF(AND('Mapa final'!$AB$45="Muy Baja",'Mapa final'!$AD$45="Menor"),CONCATENATE("R15C",'Mapa final'!$R$45),"")</f>
        <v/>
      </c>
      <c r="P220" s="49" t="str">
        <f ca="1">IF(AND('Mapa final'!$AB$43="Muy Baja",'Mapa final'!$AD$43="Moderado"),CONCATENATE("R15C",'Mapa final'!$R$43),"")</f>
        <v/>
      </c>
      <c r="Q220" s="50" t="str">
        <f>IF(AND('Mapa final'!$AB$44="Muy Baja",'Mapa final'!$AD$44="Moderado"),CONCATENATE("R15C",'Mapa final'!$R$44),"")</f>
        <v/>
      </c>
      <c r="R220" s="110" t="str">
        <f>IF(AND('Mapa final'!$AB$45="Muy Baja",'Mapa final'!$AD$45="Moderado"),CONCATENATE("R15C",'Mapa final'!$R$45),"")</f>
        <v/>
      </c>
      <c r="S220" s="104" t="str">
        <f ca="1">IF(AND('Mapa final'!$AB$43="Muy Baja",'Mapa final'!$AD$43="Mayor"),CONCATENATE("R15C",'Mapa final'!$R$43),"")</f>
        <v/>
      </c>
      <c r="T220" s="42" t="str">
        <f>IF(AND('Mapa final'!$AB$44="Muy Baja",'Mapa final'!$AD$44="Mayor"),CONCATENATE("R15C",'Mapa final'!$R$44),"")</f>
        <v/>
      </c>
      <c r="U220" s="105" t="str">
        <f>IF(AND('Mapa final'!$AB$45="Muy Baja",'Mapa final'!$AD$45="Mayor"),CONCATENATE("R15C",'Mapa final'!$R$45),"")</f>
        <v/>
      </c>
      <c r="V220" s="43" t="str">
        <f ca="1">IF(AND('Mapa final'!$AB$43="Muy Baja",'Mapa final'!$AD$43="Catastrófico"),CONCATENATE("R15C",'Mapa final'!$R$43),"")</f>
        <v/>
      </c>
      <c r="W220" s="44" t="str">
        <f>IF(AND('Mapa final'!$AB$44="Muy Baja",'Mapa final'!$AD$44="Catastrófico"),CONCATENATE("R15C",'Mapa final'!$R$44),"")</f>
        <v/>
      </c>
      <c r="X220" s="99" t="str">
        <f>IF(AND('Mapa final'!$AB$45="Muy Baja",'Mapa final'!$AD$45="Catastrófico"),CONCATENATE("R15C",'Mapa final'!$R$45),"")</f>
        <v/>
      </c>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c r="BB220" s="56"/>
      <c r="BC220" s="56"/>
      <c r="BD220" s="56"/>
      <c r="BE220" s="56"/>
      <c r="BF220" s="56"/>
      <c r="BG220" s="56"/>
      <c r="BH220" s="56"/>
      <c r="BI220" s="56"/>
      <c r="BJ220" s="56"/>
      <c r="BK220" s="56"/>
      <c r="BL220" s="56"/>
      <c r="BM220" s="56"/>
    </row>
    <row r="221" spans="1:65" ht="15.75" x14ac:dyDescent="0.25">
      <c r="A221" s="56"/>
      <c r="B221" s="286"/>
      <c r="C221" s="286"/>
      <c r="D221" s="287"/>
      <c r="E221" s="274"/>
      <c r="F221" s="275"/>
      <c r="G221" s="275"/>
      <c r="H221" s="275"/>
      <c r="I221" s="275"/>
      <c r="J221" s="114" t="str">
        <f ca="1">IF(AND('Mapa final'!$AB$46="Muy Baja",'Mapa final'!$AD$46="Leve"),CONCATENATE("R16C",'Mapa final'!$R$46),"")</f>
        <v/>
      </c>
      <c r="K221" s="54" t="str">
        <f>IF(AND('Mapa final'!$AB$47="Muy Baja",'Mapa final'!$AD$47="Leve"),CONCATENATE("R16C",'Mapa final'!$R$47),"")</f>
        <v/>
      </c>
      <c r="L221" s="115" t="str">
        <f>IF(AND('Mapa final'!$AB$48="Muy Baja",'Mapa final'!$AD$48="Leve"),CONCATENATE("R16C",'Mapa final'!$R$48),"")</f>
        <v/>
      </c>
      <c r="M221" s="114" t="str">
        <f ca="1">IF(AND('Mapa final'!$AB$46="Muy Baja",'Mapa final'!$AD$46="Menor"),CONCATENATE("R16C",'Mapa final'!$R$46),"")</f>
        <v/>
      </c>
      <c r="N221" s="54" t="str">
        <f>IF(AND('Mapa final'!$AB$47="Muy Baja",'Mapa final'!$AD$47="Menor"),CONCATENATE("R16C",'Mapa final'!$R$47),"")</f>
        <v/>
      </c>
      <c r="O221" s="115" t="str">
        <f>IF(AND('Mapa final'!$AB$48="Muy Baja",'Mapa final'!$AD$48="Menor"),CONCATENATE("R16C",'Mapa final'!$R$48),"")</f>
        <v/>
      </c>
      <c r="P221" s="49" t="str">
        <f ca="1">IF(AND('Mapa final'!$AB$46="Muy Baja",'Mapa final'!$AD$46="Moderado"),CONCATENATE("R16C",'Mapa final'!$R$46),"")</f>
        <v/>
      </c>
      <c r="Q221" s="50" t="str">
        <f>IF(AND('Mapa final'!$AB$47="Muy Baja",'Mapa final'!$AD$47="Moderado"),CONCATENATE("R16C",'Mapa final'!$R$47),"")</f>
        <v/>
      </c>
      <c r="R221" s="110" t="str">
        <f>IF(AND('Mapa final'!$AB$48="Muy Baja",'Mapa final'!$AD$48="Moderado"),CONCATENATE("R16C",'Mapa final'!$R$48),"")</f>
        <v/>
      </c>
      <c r="S221" s="104" t="str">
        <f ca="1">IF(AND('Mapa final'!$AB$46="Muy Baja",'Mapa final'!$AD$46="Mayor"),CONCATENATE("R16C",'Mapa final'!$R$46),"")</f>
        <v/>
      </c>
      <c r="T221" s="42" t="str">
        <f>IF(AND('Mapa final'!$AB$47="Muy Baja",'Mapa final'!$AD$47="Mayor"),CONCATENATE("R16C",'Mapa final'!$R$47),"")</f>
        <v/>
      </c>
      <c r="U221" s="105" t="str">
        <f>IF(AND('Mapa final'!$AB$48="Muy Baja",'Mapa final'!$AD$48="Mayor"),CONCATENATE("R16C",'Mapa final'!$R$48),"")</f>
        <v/>
      </c>
      <c r="V221" s="43" t="str">
        <f ca="1">IF(AND('Mapa final'!$AB$46="Muy Baja",'Mapa final'!$AD$46="Catastrófico"),CONCATENATE("R16C",'Mapa final'!$R$46),"")</f>
        <v/>
      </c>
      <c r="W221" s="44" t="str">
        <f>IF(AND('Mapa final'!$AB$47="Muy Baja",'Mapa final'!$AD$47="Catastrófico"),CONCATENATE("R16C",'Mapa final'!$R$47),"")</f>
        <v/>
      </c>
      <c r="X221" s="99" t="str">
        <f>IF(AND('Mapa final'!$AB$48="Muy Baja",'Mapa final'!$AD$48="Catastrófico"),CONCATENATE("R16C",'Mapa final'!$R$48),"")</f>
        <v/>
      </c>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c r="BB221" s="56"/>
      <c r="BC221" s="56"/>
      <c r="BD221" s="56"/>
      <c r="BE221" s="56"/>
      <c r="BF221" s="56"/>
      <c r="BG221" s="56"/>
      <c r="BH221" s="56"/>
      <c r="BI221" s="56"/>
      <c r="BJ221" s="56"/>
      <c r="BK221" s="56"/>
      <c r="BL221" s="56"/>
      <c r="BM221" s="56"/>
    </row>
    <row r="222" spans="1:65" ht="15.75" x14ac:dyDescent="0.25">
      <c r="A222" s="56"/>
      <c r="B222" s="286"/>
      <c r="C222" s="286"/>
      <c r="D222" s="287"/>
      <c r="E222" s="274"/>
      <c r="F222" s="275"/>
      <c r="G222" s="275"/>
      <c r="H222" s="275"/>
      <c r="I222" s="275"/>
      <c r="J222" s="114" t="str">
        <f ca="1">IF(AND('Mapa final'!$AB$49="Muy Baja",'Mapa final'!$AD$49="Leve"),CONCATENATE("R17C",'Mapa final'!$R$49),"")</f>
        <v/>
      </c>
      <c r="K222" s="54" t="str">
        <f>IF(AND('Mapa final'!$AB$50="Muy Baja",'Mapa final'!$AD$50="Leve"),CONCATENATE("R17C",'Mapa final'!$R$50),"")</f>
        <v/>
      </c>
      <c r="L222" s="115" t="str">
        <f>IF(AND('Mapa final'!$AB$51="Muy Baja",'Mapa final'!$AD$51="Leve"),CONCATENATE("R17C",'Mapa final'!$R$51),"")</f>
        <v/>
      </c>
      <c r="M222" s="114" t="str">
        <f ca="1">IF(AND('Mapa final'!$AB$49="Muy Baja",'Mapa final'!$AD$49="Menor"),CONCATENATE("R17C",'Mapa final'!$R$49),"")</f>
        <v/>
      </c>
      <c r="N222" s="54" t="str">
        <f>IF(AND('Mapa final'!$AB$50="Muy Baja",'Mapa final'!$AD$50="Menor"),CONCATENATE("R17C",'Mapa final'!$R$50),"")</f>
        <v/>
      </c>
      <c r="O222" s="115" t="str">
        <f>IF(AND('Mapa final'!$AB$51="Muy Baja",'Mapa final'!$AD$51="Menor"),CONCATENATE("R17C",'Mapa final'!$R$51),"")</f>
        <v/>
      </c>
      <c r="P222" s="49" t="str">
        <f ca="1">IF(AND('Mapa final'!$AB$49="Muy Baja",'Mapa final'!$AD$49="Moderado"),CONCATENATE("R17C",'Mapa final'!$R$49),"")</f>
        <v/>
      </c>
      <c r="Q222" s="50" t="str">
        <f>IF(AND('Mapa final'!$AB$50="Muy Baja",'Mapa final'!$AD$50="Moderado"),CONCATENATE("R17C",'Mapa final'!$R$50),"")</f>
        <v/>
      </c>
      <c r="R222" s="110" t="str">
        <f>IF(AND('Mapa final'!$AB$51="Muy Baja",'Mapa final'!$AD$51="Moderado"),CONCATENATE("R17C",'Mapa final'!$R$51),"")</f>
        <v/>
      </c>
      <c r="S222" s="104" t="str">
        <f ca="1">IF(AND('Mapa final'!$AB$49="Muy Baja",'Mapa final'!$AD$49="Mayor"),CONCATENATE("R17C",'Mapa final'!$R$49),"")</f>
        <v/>
      </c>
      <c r="T222" s="42" t="str">
        <f>IF(AND('Mapa final'!$AB$50="Muy Baja",'Mapa final'!$AD$50="Mayor"),CONCATENATE("R17C",'Mapa final'!$R$50),"")</f>
        <v/>
      </c>
      <c r="U222" s="105" t="str">
        <f>IF(AND('Mapa final'!$AB$51="Muy Baja",'Mapa final'!$AD$51="Mayor"),CONCATENATE("R17C",'Mapa final'!$R$51),"")</f>
        <v/>
      </c>
      <c r="V222" s="43" t="str">
        <f ca="1">IF(AND('Mapa final'!$AB$49="Muy Baja",'Mapa final'!$AD$49="Catastrófico"),CONCATENATE("R17C",'Mapa final'!$R$49),"")</f>
        <v/>
      </c>
      <c r="W222" s="44" t="str">
        <f>IF(AND('Mapa final'!$AB$50="Muy Baja",'Mapa final'!$AD$50="Catastrófico"),CONCATENATE("R17C",'Mapa final'!$R$50),"")</f>
        <v/>
      </c>
      <c r="X222" s="99" t="str">
        <f>IF(AND('Mapa final'!$AB$51="Muy Baja",'Mapa final'!$AD$51="Catastrófico"),CONCATENATE("R17C",'Mapa final'!$R$51),"")</f>
        <v/>
      </c>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c r="BB222" s="56"/>
      <c r="BC222" s="56"/>
      <c r="BD222" s="56"/>
      <c r="BE222" s="56"/>
      <c r="BF222" s="56"/>
      <c r="BG222" s="56"/>
      <c r="BH222" s="56"/>
      <c r="BI222" s="56"/>
      <c r="BJ222" s="56"/>
      <c r="BK222" s="56"/>
      <c r="BL222" s="56"/>
      <c r="BM222" s="56"/>
    </row>
    <row r="223" spans="1:65" ht="15.75" x14ac:dyDescent="0.25">
      <c r="A223" s="56"/>
      <c r="B223" s="286"/>
      <c r="C223" s="286"/>
      <c r="D223" s="287"/>
      <c r="E223" s="274"/>
      <c r="F223" s="275"/>
      <c r="G223" s="275"/>
      <c r="H223" s="275"/>
      <c r="I223" s="275"/>
      <c r="J223" s="114" t="str">
        <f ca="1">IF(AND('Mapa final'!$AB$52="Muy Baja",'Mapa final'!$AD$52="Leve"),CONCATENATE("R18C",'Mapa final'!$R$52),"")</f>
        <v/>
      </c>
      <c r="K223" s="54" t="str">
        <f>IF(AND('Mapa final'!$AB$53="Muy Baja",'Mapa final'!$AD$53="Leve"),CONCATENATE("R18C",'Mapa final'!$R$53),"")</f>
        <v/>
      </c>
      <c r="L223" s="115" t="str">
        <f>IF(AND('Mapa final'!$AB$54="Muy Baja",'Mapa final'!$AD$54="Leve"),CONCATENATE("R18C",'Mapa final'!$R$54),"")</f>
        <v/>
      </c>
      <c r="M223" s="114" t="str">
        <f ca="1">IF(AND('Mapa final'!$AB$52="Muy Baja",'Mapa final'!$AD$52="Menor"),CONCATENATE("R18C",'Mapa final'!$R$52),"")</f>
        <v/>
      </c>
      <c r="N223" s="54" t="str">
        <f>IF(AND('Mapa final'!$AB$53="Muy Baja",'Mapa final'!$AD$53="Menor"),CONCATENATE("R18C",'Mapa final'!$R$53),"")</f>
        <v/>
      </c>
      <c r="O223" s="115" t="str">
        <f>IF(AND('Mapa final'!$AB$54="Muy Baja",'Mapa final'!$AD$54="Menor"),CONCATENATE("R18C",'Mapa final'!$R$54),"")</f>
        <v/>
      </c>
      <c r="P223" s="49" t="str">
        <f ca="1">IF(AND('Mapa final'!$AB$52="Muy Baja",'Mapa final'!$AD$52="Moderado"),CONCATENATE("R18C",'Mapa final'!$R$52),"")</f>
        <v/>
      </c>
      <c r="Q223" s="50" t="str">
        <f>IF(AND('Mapa final'!$AB$53="Muy Baja",'Mapa final'!$AD$53="Moderado"),CONCATENATE("R18C",'Mapa final'!$R$53),"")</f>
        <v/>
      </c>
      <c r="R223" s="110" t="str">
        <f>IF(AND('Mapa final'!$AB$54="Muy Baja",'Mapa final'!$AD$54="Moderado"),CONCATENATE("R18C",'Mapa final'!$R$54),"")</f>
        <v/>
      </c>
      <c r="S223" s="104" t="str">
        <f ca="1">IF(AND('Mapa final'!$AB$52="Muy Baja",'Mapa final'!$AD$52="Mayor"),CONCATENATE("R18C",'Mapa final'!$R$52),"")</f>
        <v/>
      </c>
      <c r="T223" s="42" t="str">
        <f>IF(AND('Mapa final'!$AB$53="Muy Baja",'Mapa final'!$AD$53="Mayor"),CONCATENATE("R18C",'Mapa final'!$R$53),"")</f>
        <v/>
      </c>
      <c r="U223" s="105" t="str">
        <f>IF(AND('Mapa final'!$AB$54="Muy Baja",'Mapa final'!$AD$54="Mayor"),CONCATENATE("R18C",'Mapa final'!$R$54),"")</f>
        <v/>
      </c>
      <c r="V223" s="43" t="str">
        <f ca="1">IF(AND('Mapa final'!$AB$52="Muy Baja",'Mapa final'!$AD$52="Catastrófico"),CONCATENATE("R18C",'Mapa final'!$R$52),"")</f>
        <v/>
      </c>
      <c r="W223" s="44" t="str">
        <f>IF(AND('Mapa final'!$AB$53="Muy Baja",'Mapa final'!$AD$53="Catastrófico"),CONCATENATE("R18C",'Mapa final'!$R$53),"")</f>
        <v/>
      </c>
      <c r="X223" s="99" t="str">
        <f>IF(AND('Mapa final'!$AB$54="Muy Baja",'Mapa final'!$AD$54="Catastrófico"),CONCATENATE("R18C",'Mapa final'!$R$54),"")</f>
        <v/>
      </c>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c r="BB223" s="56"/>
      <c r="BC223" s="56"/>
      <c r="BD223" s="56"/>
      <c r="BE223" s="56"/>
      <c r="BF223" s="56"/>
      <c r="BG223" s="56"/>
      <c r="BH223" s="56"/>
      <c r="BI223" s="56"/>
      <c r="BJ223" s="56"/>
      <c r="BK223" s="56"/>
      <c r="BL223" s="56"/>
      <c r="BM223" s="56"/>
    </row>
    <row r="224" spans="1:65" ht="15.75" x14ac:dyDescent="0.25">
      <c r="A224" s="56"/>
      <c r="B224" s="286"/>
      <c r="C224" s="286"/>
      <c r="D224" s="287"/>
      <c r="E224" s="274"/>
      <c r="F224" s="275"/>
      <c r="G224" s="275"/>
      <c r="H224" s="275"/>
      <c r="I224" s="275"/>
      <c r="J224" s="114" t="str">
        <f ca="1">IF(AND('Mapa final'!$AB$55="Muy Baja",'Mapa final'!$AD$55="Leve"),CONCATENATE("R19C",'Mapa final'!$R$55),"")</f>
        <v/>
      </c>
      <c r="K224" s="54" t="str">
        <f>IF(AND('Mapa final'!$AB$56="Muy Baja",'Mapa final'!$AD$56="Leve"),CONCATENATE("R19C",'Mapa final'!$R$56),"")</f>
        <v/>
      </c>
      <c r="L224" s="115" t="str">
        <f>IF(AND('Mapa final'!$AB$57="Muy Baja",'Mapa final'!$AD$57="Leve"),CONCATENATE("R19C",'Mapa final'!$R$57),"")</f>
        <v/>
      </c>
      <c r="M224" s="114" t="str">
        <f ca="1">IF(AND('Mapa final'!$AB$55="Muy Baja",'Mapa final'!$AD$55="Menor"),CONCATENATE("R19C",'Mapa final'!$R$55),"")</f>
        <v/>
      </c>
      <c r="N224" s="54" t="str">
        <f>IF(AND('Mapa final'!$AB$56="Muy Baja",'Mapa final'!$AD$56="Menor"),CONCATENATE("R19C",'Mapa final'!$R$56),"")</f>
        <v/>
      </c>
      <c r="O224" s="115" t="str">
        <f>IF(AND('Mapa final'!$AB$57="Muy Baja",'Mapa final'!$AD$57="Menor"),CONCATENATE("R19C",'Mapa final'!$R$57),"")</f>
        <v/>
      </c>
      <c r="P224" s="49" t="str">
        <f ca="1">IF(AND('Mapa final'!$AB$55="Muy Baja",'Mapa final'!$AD$55="Moderado"),CONCATENATE("R19C",'Mapa final'!$R$55),"")</f>
        <v/>
      </c>
      <c r="Q224" s="50" t="str">
        <f>IF(AND('Mapa final'!$AB$56="Muy Baja",'Mapa final'!$AD$56="Moderado"),CONCATENATE("R19C",'Mapa final'!$R$56),"")</f>
        <v/>
      </c>
      <c r="R224" s="110" t="str">
        <f>IF(AND('Mapa final'!$AB$57="Muy Baja",'Mapa final'!$AD$57="Moderado"),CONCATENATE("R19C",'Mapa final'!$R$57),"")</f>
        <v/>
      </c>
      <c r="S224" s="104" t="str">
        <f ca="1">IF(AND('Mapa final'!$AB$55="Muy Baja",'Mapa final'!$AD$55="Mayor"),CONCATENATE("R19C",'Mapa final'!$R$55),"")</f>
        <v/>
      </c>
      <c r="T224" s="42" t="str">
        <f>IF(AND('Mapa final'!$AB$56="Muy Baja",'Mapa final'!$AD$56="Mayor"),CONCATENATE("R19C",'Mapa final'!$R$56),"")</f>
        <v/>
      </c>
      <c r="U224" s="105" t="str">
        <f>IF(AND('Mapa final'!$AB$57="Muy Baja",'Mapa final'!$AD$57="Mayor"),CONCATENATE("R19C",'Mapa final'!$R$57),"")</f>
        <v/>
      </c>
      <c r="V224" s="43" t="str">
        <f ca="1">IF(AND('Mapa final'!$AB$55="Muy Baja",'Mapa final'!$AD$55="Catastrófico"),CONCATENATE("R19C",'Mapa final'!$R$55),"")</f>
        <v/>
      </c>
      <c r="W224" s="44" t="str">
        <f>IF(AND('Mapa final'!$AB$56="Muy Baja",'Mapa final'!$AD$56="Catastrófico"),CONCATENATE("R19C",'Mapa final'!$R$56),"")</f>
        <v/>
      </c>
      <c r="X224" s="99" t="str">
        <f>IF(AND('Mapa final'!$AB$57="Muy Baja",'Mapa final'!$AD$57="Catastrófico"),CONCATENATE("R19C",'Mapa final'!$R$57),"")</f>
        <v/>
      </c>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c r="BB224" s="56"/>
      <c r="BC224" s="56"/>
      <c r="BD224" s="56"/>
      <c r="BE224" s="56"/>
      <c r="BF224" s="56"/>
      <c r="BG224" s="56"/>
      <c r="BH224" s="56"/>
      <c r="BI224" s="56"/>
      <c r="BJ224" s="56"/>
      <c r="BK224" s="56"/>
      <c r="BL224" s="56"/>
      <c r="BM224" s="56"/>
    </row>
    <row r="225" spans="1:65" ht="15.75" x14ac:dyDescent="0.25">
      <c r="A225" s="56"/>
      <c r="B225" s="286"/>
      <c r="C225" s="286"/>
      <c r="D225" s="287"/>
      <c r="E225" s="274"/>
      <c r="F225" s="275"/>
      <c r="G225" s="275"/>
      <c r="H225" s="275"/>
      <c r="I225" s="275"/>
      <c r="J225" s="114" t="str">
        <f ca="1">IF(AND('Mapa final'!$AB$58="Muy Baja",'Mapa final'!$AD$58="Leve"),CONCATENATE("R20C",'Mapa final'!$R$58),"")</f>
        <v/>
      </c>
      <c r="K225" s="54" t="str">
        <f>IF(AND('Mapa final'!$AB$59="Muy Baja",'Mapa final'!$AD$59="Leve"),CONCATENATE("R20C",'Mapa final'!$R$59),"")</f>
        <v/>
      </c>
      <c r="L225" s="115" t="str">
        <f>IF(AND('Mapa final'!$AB$60="Muy Baja",'Mapa final'!$AD$60="Leve"),CONCATENATE("R20C",'Mapa final'!$R$60),"")</f>
        <v/>
      </c>
      <c r="M225" s="114" t="str">
        <f ca="1">IF(AND('Mapa final'!$AB$58="Muy Baja",'Mapa final'!$AD$58="Menor"),CONCATENATE("R20C",'Mapa final'!$R$58),"")</f>
        <v/>
      </c>
      <c r="N225" s="54" t="str">
        <f>IF(AND('Mapa final'!$AB$59="Muy Baja",'Mapa final'!$AD$59="Menor"),CONCATENATE("R20C",'Mapa final'!$R$59),"")</f>
        <v/>
      </c>
      <c r="O225" s="115" t="str">
        <f>IF(AND('Mapa final'!$AB$60="Muy Baja",'Mapa final'!$AD$60="Menor"),CONCATENATE("R20C",'Mapa final'!$R$60),"")</f>
        <v/>
      </c>
      <c r="P225" s="49" t="str">
        <f ca="1">IF(AND('Mapa final'!$AB$58="Muy Baja",'Mapa final'!$AD$58="Moderado"),CONCATENATE("R20C",'Mapa final'!$R$58),"")</f>
        <v/>
      </c>
      <c r="Q225" s="50" t="str">
        <f>IF(AND('Mapa final'!$AB$59="Muy Baja",'Mapa final'!$AD$59="Moderado"),CONCATENATE("R20C",'Mapa final'!$R$59),"")</f>
        <v/>
      </c>
      <c r="R225" s="110" t="str">
        <f>IF(AND('Mapa final'!$AB$60="Muy Baja",'Mapa final'!$AD$60="Moderado"),CONCATENATE("R20C",'Mapa final'!$R$60),"")</f>
        <v/>
      </c>
      <c r="S225" s="104" t="str">
        <f ca="1">IF(AND('Mapa final'!$AB$58="Muy Baja",'Mapa final'!$AD$58="Mayor"),CONCATENATE("R20C",'Mapa final'!$R$58),"")</f>
        <v/>
      </c>
      <c r="T225" s="42" t="str">
        <f>IF(AND('Mapa final'!$AB$59="Muy Baja",'Mapa final'!$AD$59="Mayor"),CONCATENATE("R20C",'Mapa final'!$R$59),"")</f>
        <v/>
      </c>
      <c r="U225" s="105" t="str">
        <f>IF(AND('Mapa final'!$AB$60="Muy Baja",'Mapa final'!$AD$60="Mayor"),CONCATENATE("R20C",'Mapa final'!$R$60),"")</f>
        <v/>
      </c>
      <c r="V225" s="43" t="str">
        <f ca="1">IF(AND('Mapa final'!$AB$58="Muy Baja",'Mapa final'!$AD$58="Catastrófico"),CONCATENATE("R20C",'Mapa final'!$R$58),"")</f>
        <v/>
      </c>
      <c r="W225" s="44" t="str">
        <f>IF(AND('Mapa final'!$AB$59="Muy Baja",'Mapa final'!$AD$59="Catastrófico"),CONCATENATE("R20C",'Mapa final'!$R$59),"")</f>
        <v/>
      </c>
      <c r="X225" s="99" t="str">
        <f>IF(AND('Mapa final'!$AB$60="Muy Baja",'Mapa final'!$AD$60="Catastrófico"),CONCATENATE("R20C",'Mapa final'!$R$60),"")</f>
        <v/>
      </c>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c r="BB225" s="56"/>
      <c r="BC225" s="56"/>
      <c r="BD225" s="56"/>
      <c r="BE225" s="56"/>
      <c r="BF225" s="56"/>
      <c r="BG225" s="56"/>
      <c r="BH225" s="56"/>
      <c r="BI225" s="56"/>
      <c r="BJ225" s="56"/>
      <c r="BK225" s="56"/>
      <c r="BL225" s="56"/>
      <c r="BM225" s="56"/>
    </row>
    <row r="226" spans="1:65" ht="15.75" x14ac:dyDescent="0.25">
      <c r="A226" s="56"/>
      <c r="B226" s="286"/>
      <c r="C226" s="286"/>
      <c r="D226" s="287"/>
      <c r="E226" s="274"/>
      <c r="F226" s="275"/>
      <c r="G226" s="275"/>
      <c r="H226" s="275"/>
      <c r="I226" s="275"/>
      <c r="J226" s="114" t="str">
        <f ca="1">IF(AND('Mapa final'!$AB$61="Muy Baja",'Mapa final'!$AD$61="Leve"),CONCATENATE("R21C",'Mapa final'!$R$61),"")</f>
        <v/>
      </c>
      <c r="K226" s="54" t="str">
        <f>IF(AND('Mapa final'!$AB$62="Muy Baja",'Mapa final'!$AD$62="Leve"),CONCATENATE("R21C",'Mapa final'!$R$62),"")</f>
        <v/>
      </c>
      <c r="L226" s="115" t="str">
        <f>IF(AND('Mapa final'!$AB$63="Muy Baja",'Mapa final'!$AD$63="Leve"),CONCATENATE("R21C",'Mapa final'!$R$63),"")</f>
        <v/>
      </c>
      <c r="M226" s="114" t="str">
        <f ca="1">IF(AND('Mapa final'!$AB$61="Muy Baja",'Mapa final'!$AD$61="Menor"),CONCATENATE("R21C",'Mapa final'!$R$61),"")</f>
        <v/>
      </c>
      <c r="N226" s="54" t="str">
        <f>IF(AND('Mapa final'!$AB$62="Muy Baja",'Mapa final'!$AD$62="Menor"),CONCATENATE("R21C",'Mapa final'!$R$62),"")</f>
        <v/>
      </c>
      <c r="O226" s="115" t="str">
        <f>IF(AND('Mapa final'!$AB$63="Muy Baja",'Mapa final'!$AD$63="Menor"),CONCATENATE("R21C",'Mapa final'!$R$63),"")</f>
        <v/>
      </c>
      <c r="P226" s="49" t="str">
        <f ca="1">IF(AND('Mapa final'!$AB$61="Muy Baja",'Mapa final'!$AD$61="Moderado"),CONCATENATE("R21C",'Mapa final'!$R$61),"")</f>
        <v/>
      </c>
      <c r="Q226" s="50" t="str">
        <f>IF(AND('Mapa final'!$AB$62="Muy Baja",'Mapa final'!$AD$62="Moderado"),CONCATENATE("R21C",'Mapa final'!$R$62),"")</f>
        <v/>
      </c>
      <c r="R226" s="110" t="str">
        <f>IF(AND('Mapa final'!$AB$63="Muy Baja",'Mapa final'!$AD$63="Moderado"),CONCATENATE("R21C",'Mapa final'!$R$63),"")</f>
        <v/>
      </c>
      <c r="S226" s="104" t="str">
        <f ca="1">IF(AND('Mapa final'!$AB$61="Muy Baja",'Mapa final'!$AD$61="Mayor"),CONCATENATE("R21C",'Mapa final'!$R$61),"")</f>
        <v/>
      </c>
      <c r="T226" s="42" t="str">
        <f>IF(AND('Mapa final'!$AB$62="Muy Baja",'Mapa final'!$AD$62="Mayor"),CONCATENATE("R21C",'Mapa final'!$R$62),"")</f>
        <v/>
      </c>
      <c r="U226" s="105" t="str">
        <f>IF(AND('Mapa final'!$AB$63="Muy Baja",'Mapa final'!$AD$63="Mayor"),CONCATENATE("R21C",'Mapa final'!$R$63),"")</f>
        <v/>
      </c>
      <c r="V226" s="43" t="str">
        <f ca="1">IF(AND('Mapa final'!$AB$61="Muy Baja",'Mapa final'!$AD$61="Catastrófico"),CONCATENATE("R21C",'Mapa final'!$R$61),"")</f>
        <v/>
      </c>
      <c r="W226" s="44" t="str">
        <f>IF(AND('Mapa final'!$AB$62="Muy Baja",'Mapa final'!$AD$62="Catastrófico"),CONCATENATE("R21C",'Mapa final'!$R$62),"")</f>
        <v/>
      </c>
      <c r="X226" s="99" t="str">
        <f>IF(AND('Mapa final'!$AB$63="Muy Baja",'Mapa final'!$AD$63="Catastrófico"),CONCATENATE("R21C",'Mapa final'!$R$63),"")</f>
        <v/>
      </c>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c r="BB226" s="56"/>
      <c r="BC226" s="56"/>
      <c r="BD226" s="56"/>
      <c r="BE226" s="56"/>
      <c r="BF226" s="56"/>
      <c r="BG226" s="56"/>
      <c r="BH226" s="56"/>
      <c r="BI226" s="56"/>
      <c r="BJ226" s="56"/>
      <c r="BK226" s="56"/>
      <c r="BL226" s="56"/>
      <c r="BM226" s="56"/>
    </row>
    <row r="227" spans="1:65" ht="15.75" x14ac:dyDescent="0.25">
      <c r="A227" s="56"/>
      <c r="B227" s="286"/>
      <c r="C227" s="286"/>
      <c r="D227" s="287"/>
      <c r="E227" s="274"/>
      <c r="F227" s="275"/>
      <c r="G227" s="275"/>
      <c r="H227" s="275"/>
      <c r="I227" s="275"/>
      <c r="J227" s="114" t="str">
        <f ca="1">IF(AND('Mapa final'!$AB$64="Muy Baja",'Mapa final'!$AD$64="Leve"),CONCATENATE("R22C",'Mapa final'!$R$64),"")</f>
        <v/>
      </c>
      <c r="K227" s="54" t="str">
        <f>IF(AND('Mapa final'!$AB$65="Muy Baja",'Mapa final'!$AD$65="Leve"),CONCATENATE("R22C",'Mapa final'!$R$65),"")</f>
        <v/>
      </c>
      <c r="L227" s="115" t="str">
        <f>IF(AND('Mapa final'!$AB$66="Muy Baja",'Mapa final'!$AD$66="Leve"),CONCATENATE("R22C",'Mapa final'!$R$66),"")</f>
        <v/>
      </c>
      <c r="M227" s="114" t="str">
        <f ca="1">IF(AND('Mapa final'!$AB$64="Muy Baja",'Mapa final'!$AD$64="Menor"),CONCATENATE("R22C",'Mapa final'!$R$64),"")</f>
        <v/>
      </c>
      <c r="N227" s="54" t="str">
        <f>IF(AND('Mapa final'!$AB$65="Muy Baja",'Mapa final'!$AD$65="Menor"),CONCATENATE("R22C",'Mapa final'!$R$65),"")</f>
        <v/>
      </c>
      <c r="O227" s="115" t="str">
        <f>IF(AND('Mapa final'!$AB$66="Muy Baja",'Mapa final'!$AD$66="Menor"),CONCATENATE("R22C",'Mapa final'!$R$66),"")</f>
        <v/>
      </c>
      <c r="P227" s="49" t="str">
        <f ca="1">IF(AND('Mapa final'!$AB$64="Muy Baja",'Mapa final'!$AD$64="Moderado"),CONCATENATE("R22C",'Mapa final'!$R$64),"")</f>
        <v/>
      </c>
      <c r="Q227" s="50" t="str">
        <f>IF(AND('Mapa final'!$AB$65="Muy Baja",'Mapa final'!$AD$65="Moderado"),CONCATENATE("R22C",'Mapa final'!$R$65),"")</f>
        <v/>
      </c>
      <c r="R227" s="110" t="str">
        <f>IF(AND('Mapa final'!$AB$66="Muy Baja",'Mapa final'!$AD$66="Moderado"),CONCATENATE("R22C",'Mapa final'!$R$66),"")</f>
        <v/>
      </c>
      <c r="S227" s="104" t="str">
        <f ca="1">IF(AND('Mapa final'!$AB$64="Muy Baja",'Mapa final'!$AD$64="Mayor"),CONCATENATE("R22C",'Mapa final'!$R$64),"")</f>
        <v/>
      </c>
      <c r="T227" s="42" t="str">
        <f>IF(AND('Mapa final'!$AB$65="Muy Baja",'Mapa final'!$AD$65="Mayor"),CONCATENATE("R22C",'Mapa final'!$R$65),"")</f>
        <v/>
      </c>
      <c r="U227" s="105" t="str">
        <f>IF(AND('Mapa final'!$AB$66="Muy Baja",'Mapa final'!$AD$66="Mayor"),CONCATENATE("R22C",'Mapa final'!$R$66),"")</f>
        <v/>
      </c>
      <c r="V227" s="43" t="str">
        <f ca="1">IF(AND('Mapa final'!$AB$64="Muy Baja",'Mapa final'!$AD$64="Catastrófico"),CONCATENATE("R22C",'Mapa final'!$R$64),"")</f>
        <v/>
      </c>
      <c r="W227" s="44" t="str">
        <f>IF(AND('Mapa final'!$AB$65="Muy Baja",'Mapa final'!$AD$65="Catastrófico"),CONCATENATE("R22C",'Mapa final'!$R$65),"")</f>
        <v/>
      </c>
      <c r="X227" s="99" t="str">
        <f>IF(AND('Mapa final'!$AB$66="Muy Baja",'Mapa final'!$AD$66="Catastrófico"),CONCATENATE("R22C",'Mapa final'!$R$66),"")</f>
        <v/>
      </c>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c r="BB227" s="56"/>
      <c r="BC227" s="56"/>
      <c r="BD227" s="56"/>
      <c r="BE227" s="56"/>
      <c r="BF227" s="56"/>
      <c r="BG227" s="56"/>
      <c r="BH227" s="56"/>
      <c r="BI227" s="56"/>
      <c r="BJ227" s="56"/>
      <c r="BK227" s="56"/>
      <c r="BL227" s="56"/>
      <c r="BM227" s="56"/>
    </row>
    <row r="228" spans="1:65" ht="15.75" x14ac:dyDescent="0.25">
      <c r="A228" s="56"/>
      <c r="B228" s="286"/>
      <c r="C228" s="286"/>
      <c r="D228" s="287"/>
      <c r="E228" s="274"/>
      <c r="F228" s="275"/>
      <c r="G228" s="275"/>
      <c r="H228" s="275"/>
      <c r="I228" s="275"/>
      <c r="J228" s="114" t="str">
        <f ca="1">IF(AND('Mapa final'!$AB$70="Muy Baja",'Mapa final'!$AD$70="Leve"),CONCATENATE("R23C",'Mapa final'!$R$70),"")</f>
        <v/>
      </c>
      <c r="K228" s="54" t="str">
        <f>IF(AND('Mapa final'!$AB$71="Muy Baja",'Mapa final'!$AD$71="Leve"),CONCATENATE("R23C",'Mapa final'!$R$71),"")</f>
        <v/>
      </c>
      <c r="L228" s="115" t="str">
        <f>IF(AND('Mapa final'!$AB$72="Muy Baja",'Mapa final'!$AD$72="Leve"),CONCATENATE("R23C",'Mapa final'!$R$72),"")</f>
        <v/>
      </c>
      <c r="M228" s="114" t="str">
        <f ca="1">IF(AND('Mapa final'!$AB$70="Muy Baja",'Mapa final'!$AD$70="Menor"),CONCATENATE("R23C",'Mapa final'!$R$70),"")</f>
        <v/>
      </c>
      <c r="N228" s="54" t="str">
        <f>IF(AND('Mapa final'!$AB$71="Muy Baja",'Mapa final'!$AD$71="Menor"),CONCATENATE("R23C",'Mapa final'!$R$71),"")</f>
        <v/>
      </c>
      <c r="O228" s="115" t="str">
        <f>IF(AND('Mapa final'!$AB$72="Muy Baja",'Mapa final'!$AD$72="Menor"),CONCATENATE("R23C",'Mapa final'!$R$72),"")</f>
        <v/>
      </c>
      <c r="P228" s="49" t="str">
        <f ca="1">IF(AND('Mapa final'!$AB$70="Muy Baja",'Mapa final'!$AD$70="Moderado"),CONCATENATE("R23C",'Mapa final'!$R$70),"")</f>
        <v/>
      </c>
      <c r="Q228" s="50" t="str">
        <f>IF(AND('Mapa final'!$AB$71="Muy Baja",'Mapa final'!$AD$71="Moderado"),CONCATENATE("R23C",'Mapa final'!$R$71),"")</f>
        <v/>
      </c>
      <c r="R228" s="110" t="str">
        <f>IF(AND('Mapa final'!$AB$72="Muy Baja",'Mapa final'!$AD$72="Moderado"),CONCATENATE("R23C",'Mapa final'!$R$72),"")</f>
        <v/>
      </c>
      <c r="S228" s="104" t="str">
        <f ca="1">IF(AND('Mapa final'!$AB$70="Muy Baja",'Mapa final'!$AD$70="Mayor"),CONCATENATE("R23C",'Mapa final'!$R$70),"")</f>
        <v/>
      </c>
      <c r="T228" s="42" t="str">
        <f>IF(AND('Mapa final'!$AB$71="Muy Baja",'Mapa final'!$AD$71="Mayor"),CONCATENATE("R23C",'Mapa final'!$R$71),"")</f>
        <v/>
      </c>
      <c r="U228" s="105" t="str">
        <f>IF(AND('Mapa final'!$AB$72="Muy Baja",'Mapa final'!$AD$72="Mayor"),CONCATENATE("R23C",'Mapa final'!$R$72),"")</f>
        <v/>
      </c>
      <c r="V228" s="43" t="str">
        <f ca="1">IF(AND('Mapa final'!$AB$70="Muy Baja",'Mapa final'!$AD$70="Catastrófico"),CONCATENATE("R23C",'Mapa final'!$R$70),"")</f>
        <v/>
      </c>
      <c r="W228" s="44" t="str">
        <f>IF(AND('Mapa final'!$AB$71="Muy Baja",'Mapa final'!$AD$71="Catastrófico"),CONCATENATE("R23C",'Mapa final'!$R$71),"")</f>
        <v/>
      </c>
      <c r="X228" s="99" t="str">
        <f>IF(AND('Mapa final'!$AB$72="Muy Baja",'Mapa final'!$AD$72="Catastrófico"),CONCATENATE("R23C",'Mapa final'!$R$72),"")</f>
        <v/>
      </c>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c r="BB228" s="56"/>
      <c r="BC228" s="56"/>
      <c r="BD228" s="56"/>
      <c r="BE228" s="56"/>
      <c r="BF228" s="56"/>
      <c r="BG228" s="56"/>
      <c r="BH228" s="56"/>
      <c r="BI228" s="56"/>
      <c r="BJ228" s="56"/>
      <c r="BK228" s="56"/>
      <c r="BL228" s="56"/>
      <c r="BM228" s="56"/>
    </row>
    <row r="229" spans="1:65" ht="15.75" x14ac:dyDescent="0.25">
      <c r="A229" s="56"/>
      <c r="B229" s="286"/>
      <c r="C229" s="286"/>
      <c r="D229" s="287"/>
      <c r="E229" s="274"/>
      <c r="F229" s="275"/>
      <c r="G229" s="275"/>
      <c r="H229" s="275"/>
      <c r="I229" s="275"/>
      <c r="J229" s="114" t="str">
        <f ca="1">IF(AND('Mapa final'!$AB$73="Muy Baja",'Mapa final'!$AD$73="Leve"),CONCATENATE("R24C",'Mapa final'!$R$73),"")</f>
        <v/>
      </c>
      <c r="K229" s="54" t="str">
        <f>IF(AND('Mapa final'!$AB$74="Muy Baja",'Mapa final'!$AD$74="Leve"),CONCATENATE("R24C",'Mapa final'!$R$74),"")</f>
        <v/>
      </c>
      <c r="L229" s="115" t="str">
        <f>IF(AND('Mapa final'!$AB$75="Muy Baja",'Mapa final'!$AD$75="Leve"),CONCATENATE("R24C",'Mapa final'!$R$75),"")</f>
        <v/>
      </c>
      <c r="M229" s="114" t="str">
        <f ca="1">IF(AND('Mapa final'!$AB$73="Muy Baja",'Mapa final'!$AD$73="Menor"),CONCATENATE("R24C",'Mapa final'!$R$73),"")</f>
        <v/>
      </c>
      <c r="N229" s="54" t="str">
        <f>IF(AND('Mapa final'!$AB$74="Muy Baja",'Mapa final'!$AD$74="Menor"),CONCATENATE("R24C",'Mapa final'!$R$74),"")</f>
        <v/>
      </c>
      <c r="O229" s="115" t="str">
        <f>IF(AND('Mapa final'!$AB$75="Muy Baja",'Mapa final'!$AD$75="Menor"),CONCATENATE("R24C",'Mapa final'!$R$75),"")</f>
        <v/>
      </c>
      <c r="P229" s="49" t="str">
        <f ca="1">IF(AND('Mapa final'!$AB$73="Muy Baja",'Mapa final'!$AD$73="Moderado"),CONCATENATE("R24C",'Mapa final'!$R$73),"")</f>
        <v/>
      </c>
      <c r="Q229" s="50" t="str">
        <f>IF(AND('Mapa final'!$AB$74="Muy Baja",'Mapa final'!$AD$74="Moderado"),CONCATENATE("R24C",'Mapa final'!$R$74),"")</f>
        <v/>
      </c>
      <c r="R229" s="110" t="str">
        <f>IF(AND('Mapa final'!$AB$75="Muy Baja",'Mapa final'!$AD$75="Moderado"),CONCATENATE("R24C",'Mapa final'!$R$75),"")</f>
        <v/>
      </c>
      <c r="S229" s="104" t="str">
        <f ca="1">IF(AND('Mapa final'!$AB$73="Muy Baja",'Mapa final'!$AD$73="Mayor"),CONCATENATE("R24C",'Mapa final'!$R$73),"")</f>
        <v/>
      </c>
      <c r="T229" s="42" t="str">
        <f>IF(AND('Mapa final'!$AB$74="Muy Baja",'Mapa final'!$AD$74="Mayor"),CONCATENATE("R24C",'Mapa final'!$R$74),"")</f>
        <v/>
      </c>
      <c r="U229" s="105" t="str">
        <f>IF(AND('Mapa final'!$AB$75="Muy Baja",'Mapa final'!$AD$75="Mayor"),CONCATENATE("R24C",'Mapa final'!$R$75),"")</f>
        <v/>
      </c>
      <c r="V229" s="43" t="str">
        <f ca="1">IF(AND('Mapa final'!$AB$73="Muy Baja",'Mapa final'!$AD$73="Catastrófico"),CONCATENATE("R24C",'Mapa final'!$R$73),"")</f>
        <v/>
      </c>
      <c r="W229" s="44" t="str">
        <f>IF(AND('Mapa final'!$AB$74="Muy Baja",'Mapa final'!$AD$74="Catastrófico"),CONCATENATE("R24C",'Mapa final'!$R$74),"")</f>
        <v/>
      </c>
      <c r="X229" s="99" t="str">
        <f>IF(AND('Mapa final'!$AB$75="Muy Baja",'Mapa final'!$AD$75="Catastrófico"),CONCATENATE("R24C",'Mapa final'!$R$75),"")</f>
        <v/>
      </c>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c r="BB229" s="56"/>
      <c r="BC229" s="56"/>
      <c r="BD229" s="56"/>
      <c r="BE229" s="56"/>
      <c r="BF229" s="56"/>
      <c r="BG229" s="56"/>
      <c r="BH229" s="56"/>
      <c r="BI229" s="56"/>
      <c r="BJ229" s="56"/>
      <c r="BK229" s="56"/>
      <c r="BL229" s="56"/>
      <c r="BM229" s="56"/>
    </row>
    <row r="230" spans="1:65" ht="15.75" x14ac:dyDescent="0.25">
      <c r="A230" s="56"/>
      <c r="B230" s="286"/>
      <c r="C230" s="286"/>
      <c r="D230" s="287"/>
      <c r="E230" s="274"/>
      <c r="F230" s="275"/>
      <c r="G230" s="275"/>
      <c r="H230" s="275"/>
      <c r="I230" s="275"/>
      <c r="J230" s="114" t="str">
        <f ca="1">IF(AND('Mapa final'!$AB$76="Muy Baja",'Mapa final'!$AD$76="Leve"),CONCATENATE("R25C",'Mapa final'!$R$76),"")</f>
        <v/>
      </c>
      <c r="K230" s="54" t="str">
        <f>IF(AND('Mapa final'!$AB$77="Muy Baja",'Mapa final'!$AD$77="Leve"),CONCATENATE("R25C",'Mapa final'!$R$77),"")</f>
        <v/>
      </c>
      <c r="L230" s="115" t="str">
        <f>IF(AND('Mapa final'!$AB$78="Muy Baja",'Mapa final'!$AD$78="Leve"),CONCATENATE("R25C",'Mapa final'!$R$78),"")</f>
        <v/>
      </c>
      <c r="M230" s="114" t="str">
        <f ca="1">IF(AND('Mapa final'!$AB$76="Muy Baja",'Mapa final'!$AD$76="Menor"),CONCATENATE("R25C",'Mapa final'!$R$76),"")</f>
        <v/>
      </c>
      <c r="N230" s="54" t="str">
        <f>IF(AND('Mapa final'!$AB$77="Muy Baja",'Mapa final'!$AD$77="Menor"),CONCATENATE("R25C",'Mapa final'!$R$77),"")</f>
        <v/>
      </c>
      <c r="O230" s="115" t="str">
        <f>IF(AND('Mapa final'!$AB$78="Muy Baja",'Mapa final'!$AD$78="Menor"),CONCATENATE("R25C",'Mapa final'!$R$78),"")</f>
        <v/>
      </c>
      <c r="P230" s="49" t="str">
        <f ca="1">IF(AND('Mapa final'!$AB$76="Muy Baja",'Mapa final'!$AD$76="Moderado"),CONCATENATE("R25C",'Mapa final'!$R$76),"")</f>
        <v/>
      </c>
      <c r="Q230" s="50" t="str">
        <f>IF(AND('Mapa final'!$AB$77="Muy Baja",'Mapa final'!$AD$77="Moderado"),CONCATENATE("R25C",'Mapa final'!$R$77),"")</f>
        <v>R25C2</v>
      </c>
      <c r="R230" s="110" t="str">
        <f>IF(AND('Mapa final'!$AB$78="Muy Baja",'Mapa final'!$AD$78="Moderado"),CONCATENATE("R25C",'Mapa final'!$R$78),"")</f>
        <v>R25C3</v>
      </c>
      <c r="S230" s="104" t="str">
        <f ca="1">IF(AND('Mapa final'!$AB$76="Muy Baja",'Mapa final'!$AD$76="Mayor"),CONCATENATE("R25C",'Mapa final'!$R$76),"")</f>
        <v/>
      </c>
      <c r="T230" s="42" t="str">
        <f>IF(AND('Mapa final'!$AB$77="Muy Baja",'Mapa final'!$AD$77="Mayor"),CONCATENATE("R25C",'Mapa final'!$R$77),"")</f>
        <v/>
      </c>
      <c r="U230" s="105" t="str">
        <f>IF(AND('Mapa final'!$AB$78="Muy Baja",'Mapa final'!$AD$78="Mayor"),CONCATENATE("R25C",'Mapa final'!$R$78),"")</f>
        <v/>
      </c>
      <c r="V230" s="43" t="str">
        <f ca="1">IF(AND('Mapa final'!$AB$76="Muy Baja",'Mapa final'!$AD$76="Catastrófico"),CONCATENATE("R25C",'Mapa final'!$R$76),"")</f>
        <v/>
      </c>
      <c r="W230" s="44" t="str">
        <f>IF(AND('Mapa final'!$AB$77="Muy Baja",'Mapa final'!$AD$77="Catastrófico"),CONCATENATE("R25C",'Mapa final'!$R$77),"")</f>
        <v/>
      </c>
      <c r="X230" s="99" t="str">
        <f>IF(AND('Mapa final'!$AB$78="Muy Baja",'Mapa final'!$AD$78="Catastrófico"),CONCATENATE("R25C",'Mapa final'!$R$78),"")</f>
        <v/>
      </c>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c r="BB230" s="56"/>
      <c r="BC230" s="56"/>
      <c r="BD230" s="56"/>
      <c r="BE230" s="56"/>
      <c r="BF230" s="56"/>
      <c r="BG230" s="56"/>
      <c r="BH230" s="56"/>
      <c r="BI230" s="56"/>
      <c r="BJ230" s="56"/>
      <c r="BK230" s="56"/>
      <c r="BL230" s="56"/>
      <c r="BM230" s="56"/>
    </row>
    <row r="231" spans="1:65" ht="15.75" x14ac:dyDescent="0.25">
      <c r="A231" s="56"/>
      <c r="B231" s="286"/>
      <c r="C231" s="286"/>
      <c r="D231" s="287"/>
      <c r="E231" s="274"/>
      <c r="F231" s="275"/>
      <c r="G231" s="275"/>
      <c r="H231" s="275"/>
      <c r="I231" s="275"/>
      <c r="J231" s="114" t="str">
        <f ca="1">IF(AND('Mapa final'!$AB$79="Muy Baja",'Mapa final'!$AD$79="Leve"),CONCATENATE("R26C",'Mapa final'!$R$79),"")</f>
        <v/>
      </c>
      <c r="K231" s="54" t="str">
        <f ca="1">IF(AND('Mapa final'!$AB$80="Muy Baja",'Mapa final'!$AD$80="Leve"),CONCATENATE("R26C",'Mapa final'!$R$80),"")</f>
        <v/>
      </c>
      <c r="L231" s="115" t="str">
        <f ca="1">IF(AND('Mapa final'!$AB$81="Muy Baja",'Mapa final'!$AD$81="Leve"),CONCATENATE("R26C",'Mapa final'!$R$81),"")</f>
        <v/>
      </c>
      <c r="M231" s="114" t="str">
        <f ca="1">IF(AND('Mapa final'!$AB$79="Muy Baja",'Mapa final'!$AD$79="Menor"),CONCATENATE("R26C",'Mapa final'!$R$79),"")</f>
        <v/>
      </c>
      <c r="N231" s="54" t="str">
        <f ca="1">IF(AND('Mapa final'!$AB$80="Muy Baja",'Mapa final'!$AD$80="Menor"),CONCATENATE("R26C",'Mapa final'!$R$80),"")</f>
        <v/>
      </c>
      <c r="O231" s="115" t="str">
        <f ca="1">IF(AND('Mapa final'!$AB$81="Muy Baja",'Mapa final'!$AD$81="Menor"),CONCATENATE("R26C",'Mapa final'!$R$81),"")</f>
        <v/>
      </c>
      <c r="P231" s="49" t="str">
        <f ca="1">IF(AND('Mapa final'!$AB$79="Muy Baja",'Mapa final'!$AD$79="Moderado"),CONCATENATE("R26C",'Mapa final'!$R$79),"")</f>
        <v>R26C1</v>
      </c>
      <c r="Q231" s="50" t="str">
        <f ca="1">IF(AND('Mapa final'!$AB$80="Muy Baja",'Mapa final'!$AD$80="Moderado"),CONCATENATE("R26C",'Mapa final'!$R$80),"")</f>
        <v>R26C2</v>
      </c>
      <c r="R231" s="110" t="str">
        <f ca="1">IF(AND('Mapa final'!$AB$81="Muy Baja",'Mapa final'!$AD$81="Moderado"),CONCATENATE("R26C",'Mapa final'!$R$81),"")</f>
        <v>R26C3</v>
      </c>
      <c r="S231" s="104" t="str">
        <f ca="1">IF(AND('Mapa final'!$AB$79="Muy Baja",'Mapa final'!$AD$79="Mayor"),CONCATENATE("R26C",'Mapa final'!$R$79),"")</f>
        <v/>
      </c>
      <c r="T231" s="42" t="str">
        <f ca="1">IF(AND('Mapa final'!$AB$80="Muy Baja",'Mapa final'!$AD$80="Mayor"),CONCATENATE("R26C",'Mapa final'!$R$80),"")</f>
        <v/>
      </c>
      <c r="U231" s="105" t="str">
        <f ca="1">IF(AND('Mapa final'!$AB$81="Muy Baja",'Mapa final'!$AD$81="Mayor"),CONCATENATE("R26C",'Mapa final'!$R$81),"")</f>
        <v/>
      </c>
      <c r="V231" s="43" t="str">
        <f ca="1">IF(AND('Mapa final'!$AB$79="Muy Baja",'Mapa final'!$AD$79="Catastrófico"),CONCATENATE("R26C",'Mapa final'!$R$79),"")</f>
        <v/>
      </c>
      <c r="W231" s="44" t="str">
        <f ca="1">IF(AND('Mapa final'!$AB$80="Muy Baja",'Mapa final'!$AD$80="Catastrófico"),CONCATENATE("R26C",'Mapa final'!$R$80),"")</f>
        <v/>
      </c>
      <c r="X231" s="99" t="str">
        <f ca="1">IF(AND('Mapa final'!$AB$81="Muy Baja",'Mapa final'!$AD$81="Catastrófico"),CONCATENATE("R26C",'Mapa final'!$R$81),"")</f>
        <v/>
      </c>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c r="BB231" s="56"/>
      <c r="BC231" s="56"/>
      <c r="BD231" s="56"/>
      <c r="BE231" s="56"/>
      <c r="BF231" s="56"/>
      <c r="BG231" s="56"/>
      <c r="BH231" s="56"/>
      <c r="BI231" s="56"/>
      <c r="BJ231" s="56"/>
      <c r="BK231" s="56"/>
      <c r="BL231" s="56"/>
      <c r="BM231" s="56"/>
    </row>
    <row r="232" spans="1:65" ht="15.75" x14ac:dyDescent="0.25">
      <c r="A232" s="56"/>
      <c r="B232" s="286"/>
      <c r="C232" s="286"/>
      <c r="D232" s="287"/>
      <c r="E232" s="274"/>
      <c r="F232" s="275"/>
      <c r="G232" s="275"/>
      <c r="H232" s="275"/>
      <c r="I232" s="275"/>
      <c r="J232" s="114" t="str">
        <f ca="1">IF(AND('Mapa final'!$AB$82="Muy Baja",'Mapa final'!$AD$82="Leve"),CONCATENATE("R27C",'Mapa final'!$R$82),"")</f>
        <v/>
      </c>
      <c r="K232" s="54" t="str">
        <f>IF(AND('Mapa final'!$AB$83="Muy Baja",'Mapa final'!$AD$83="Leve"),CONCATENATE("R27C",'Mapa final'!$R$83),"")</f>
        <v/>
      </c>
      <c r="L232" s="115" t="str">
        <f>IF(AND('Mapa final'!$AB$84="Muy Baja",'Mapa final'!$AD$84="Leve"),CONCATENATE("R27C",'Mapa final'!$R$84),"")</f>
        <v/>
      </c>
      <c r="M232" s="114" t="str">
        <f ca="1">IF(AND('Mapa final'!$AB$82="Muy Baja",'Mapa final'!$AD$82="Menor"),CONCATENATE("R27C",'Mapa final'!$R$82),"")</f>
        <v/>
      </c>
      <c r="N232" s="54" t="str">
        <f>IF(AND('Mapa final'!$AB$83="Muy Baja",'Mapa final'!$AD$83="Menor"),CONCATENATE("R27C",'Mapa final'!$R$83),"")</f>
        <v/>
      </c>
      <c r="O232" s="115" t="str">
        <f>IF(AND('Mapa final'!$AB$84="Muy Baja",'Mapa final'!$AD$84="Menor"),CONCATENATE("R27C",'Mapa final'!$R$84),"")</f>
        <v/>
      </c>
      <c r="P232" s="49" t="str">
        <f ca="1">IF(AND('Mapa final'!$AB$82="Muy Baja",'Mapa final'!$AD$82="Moderado"),CONCATENATE("R27C",'Mapa final'!$R$82),"")</f>
        <v/>
      </c>
      <c r="Q232" s="50" t="str">
        <f>IF(AND('Mapa final'!$AB$83="Muy Baja",'Mapa final'!$AD$83="Moderado"),CONCATENATE("R27C",'Mapa final'!$R$83),"")</f>
        <v/>
      </c>
      <c r="R232" s="110" t="str">
        <f>IF(AND('Mapa final'!$AB$84="Muy Baja",'Mapa final'!$AD$84="Moderado"),CONCATENATE("R27C",'Mapa final'!$R$84),"")</f>
        <v/>
      </c>
      <c r="S232" s="104" t="str">
        <f ca="1">IF(AND('Mapa final'!$AB$82="Muy Baja",'Mapa final'!$AD$82="Mayor"),CONCATENATE("R27C",'Mapa final'!$R$82),"")</f>
        <v/>
      </c>
      <c r="T232" s="42" t="str">
        <f>IF(AND('Mapa final'!$AB$83="Muy Baja",'Mapa final'!$AD$83="Mayor"),CONCATENATE("R27C",'Mapa final'!$R$83),"")</f>
        <v/>
      </c>
      <c r="U232" s="105" t="str">
        <f>IF(AND('Mapa final'!$AB$84="Muy Baja",'Mapa final'!$AD$84="Mayor"),CONCATENATE("R27C",'Mapa final'!$R$84),"")</f>
        <v/>
      </c>
      <c r="V232" s="43" t="str">
        <f ca="1">IF(AND('Mapa final'!$AB$82="Muy Baja",'Mapa final'!$AD$82="Catastrófico"),CONCATENATE("R27C",'Mapa final'!$R$82),"")</f>
        <v/>
      </c>
      <c r="W232" s="44" t="str">
        <f>IF(AND('Mapa final'!$AB$83="Muy Baja",'Mapa final'!$AD$83="Catastrófico"),CONCATENATE("R27C",'Mapa final'!$R$83),"")</f>
        <v/>
      </c>
      <c r="X232" s="99" t="str">
        <f>IF(AND('Mapa final'!$AB$84="Muy Baja",'Mapa final'!$AD$84="Catastrófico"),CONCATENATE("R27C",'Mapa final'!$R$84),"")</f>
        <v/>
      </c>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c r="BB232" s="56"/>
      <c r="BC232" s="56"/>
      <c r="BD232" s="56"/>
      <c r="BE232" s="56"/>
      <c r="BF232" s="56"/>
      <c r="BG232" s="56"/>
      <c r="BH232" s="56"/>
      <c r="BI232" s="56"/>
      <c r="BJ232" s="56"/>
      <c r="BK232" s="56"/>
      <c r="BL232" s="56"/>
      <c r="BM232" s="56"/>
    </row>
    <row r="233" spans="1:65" ht="15.75" x14ac:dyDescent="0.25">
      <c r="A233" s="56"/>
      <c r="B233" s="286"/>
      <c r="C233" s="286"/>
      <c r="D233" s="287"/>
      <c r="E233" s="274"/>
      <c r="F233" s="275"/>
      <c r="G233" s="275"/>
      <c r="H233" s="275"/>
      <c r="I233" s="275"/>
      <c r="J233" s="114" t="str">
        <f ca="1">IF(AND('Mapa final'!$AB$85="Muy Baja",'Mapa final'!$AD$85="Leve"),CONCATENATE("R28C",'Mapa final'!$R$85),"")</f>
        <v/>
      </c>
      <c r="K233" s="54" t="str">
        <f>IF(AND('Mapa final'!$AB$86="Muy Baja",'Mapa final'!$AD$86="Leve"),CONCATENATE("R28C",'Mapa final'!$R$86),"")</f>
        <v/>
      </c>
      <c r="L233" s="115" t="str">
        <f>IF(AND('Mapa final'!$AB$87="Muy Baja",'Mapa final'!$AD$87="Leve"),CONCATENATE("R28C",'Mapa final'!$R$87),"")</f>
        <v/>
      </c>
      <c r="M233" s="114" t="str">
        <f ca="1">IF(AND('Mapa final'!$AB$85="Muy Baja",'Mapa final'!$AD$85="Menor"),CONCATENATE("R28C",'Mapa final'!$R$85),"")</f>
        <v/>
      </c>
      <c r="N233" s="54" t="str">
        <f>IF(AND('Mapa final'!$AB$86="Muy Baja",'Mapa final'!$AD$86="Menor"),CONCATENATE("R28C",'Mapa final'!$R$86),"")</f>
        <v/>
      </c>
      <c r="O233" s="115" t="str">
        <f>IF(AND('Mapa final'!$AB$87="Muy Baja",'Mapa final'!$AD$87="Menor"),CONCATENATE("R28C",'Mapa final'!$R$87),"")</f>
        <v/>
      </c>
      <c r="P233" s="49" t="str">
        <f ca="1">IF(AND('Mapa final'!$AB$85="Muy Baja",'Mapa final'!$AD$85="Moderado"),CONCATENATE("R28C",'Mapa final'!$R$85),"")</f>
        <v/>
      </c>
      <c r="Q233" s="50" t="str">
        <f>IF(AND('Mapa final'!$AB$86="Muy Baja",'Mapa final'!$AD$86="Moderado"),CONCATENATE("R28C",'Mapa final'!$R$86),"")</f>
        <v/>
      </c>
      <c r="R233" s="110" t="str">
        <f>IF(AND('Mapa final'!$AB$87="Muy Baja",'Mapa final'!$AD$87="Moderado"),CONCATENATE("R28C",'Mapa final'!$R$87),"")</f>
        <v/>
      </c>
      <c r="S233" s="104" t="str">
        <f ca="1">IF(AND('Mapa final'!$AB$85="Muy Baja",'Mapa final'!$AD$85="Mayor"),CONCATENATE("R28C",'Mapa final'!$R$85),"")</f>
        <v/>
      </c>
      <c r="T233" s="42" t="str">
        <f>IF(AND('Mapa final'!$AB$86="Muy Baja",'Mapa final'!$AD$86="Mayor"),CONCATENATE("R28C",'Mapa final'!$R$86),"")</f>
        <v/>
      </c>
      <c r="U233" s="105" t="str">
        <f>IF(AND('Mapa final'!$AB$87="Muy Baja",'Mapa final'!$AD$87="Mayor"),CONCATENATE("R28C",'Mapa final'!$R$87),"")</f>
        <v/>
      </c>
      <c r="V233" s="43" t="str">
        <f ca="1">IF(AND('Mapa final'!$AB$85="Muy Baja",'Mapa final'!$AD$85="Catastrófico"),CONCATENATE("R28C",'Mapa final'!$R$85),"")</f>
        <v/>
      </c>
      <c r="W233" s="44" t="str">
        <f>IF(AND('Mapa final'!$AB$86="Muy Baja",'Mapa final'!$AD$86="Catastrófico"),CONCATENATE("R28C",'Mapa final'!$R$86),"")</f>
        <v/>
      </c>
      <c r="X233" s="99" t="str">
        <f>IF(AND('Mapa final'!$AB$87="Muy Baja",'Mapa final'!$AD$87="Catastrófico"),CONCATENATE("R28C",'Mapa final'!$R$87),"")</f>
        <v/>
      </c>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c r="BB233" s="56"/>
      <c r="BC233" s="56"/>
      <c r="BD233" s="56"/>
      <c r="BE233" s="56"/>
      <c r="BF233" s="56"/>
      <c r="BG233" s="56"/>
      <c r="BH233" s="56"/>
      <c r="BI233" s="56"/>
      <c r="BJ233" s="56"/>
      <c r="BK233" s="56"/>
      <c r="BL233" s="56"/>
      <c r="BM233" s="56"/>
    </row>
    <row r="234" spans="1:65" ht="15" customHeight="1" x14ac:dyDescent="0.25">
      <c r="A234" s="56"/>
      <c r="B234" s="286"/>
      <c r="C234" s="286"/>
      <c r="D234" s="287"/>
      <c r="E234" s="274"/>
      <c r="F234" s="275"/>
      <c r="G234" s="275"/>
      <c r="H234" s="275"/>
      <c r="I234" s="275"/>
      <c r="J234" s="114" t="str">
        <f ca="1">IF(AND('Mapa final'!$AB$88="Muy Baja",'Mapa final'!$AD$88="Leve"),CONCATENATE("R29C",'Mapa final'!$R$88),"")</f>
        <v/>
      </c>
      <c r="K234" s="54" t="str">
        <f>IF(AND('Mapa final'!$AB$89="Muy Baja",'Mapa final'!$AD$89="Leve"),CONCATENATE("R29C",'Mapa final'!$R$89),"")</f>
        <v/>
      </c>
      <c r="L234" s="115" t="str">
        <f>IF(AND('Mapa final'!$AB$90="Muy Baja",'Mapa final'!$AD$90="Leve"),CONCATENATE("R29C",'Mapa final'!$R$90),"")</f>
        <v/>
      </c>
      <c r="M234" s="114" t="str">
        <f ca="1">IF(AND('Mapa final'!$AB$88="Muy Baja",'Mapa final'!$AD$88="Menor"),CONCATENATE("R29C",'Mapa final'!$R$88),"")</f>
        <v/>
      </c>
      <c r="N234" s="54" t="str">
        <f>IF(AND('Mapa final'!$AB$89="Muy Baja",'Mapa final'!$AD$89="Menor"),CONCATENATE("R29C",'Mapa final'!$R$89),"")</f>
        <v/>
      </c>
      <c r="O234" s="115" t="str">
        <f>IF(AND('Mapa final'!$AB$90="Muy Baja",'Mapa final'!$AD$90="Menor"),CONCATENATE("R29C",'Mapa final'!$R$90),"")</f>
        <v/>
      </c>
      <c r="P234" s="49" t="str">
        <f ca="1">IF(AND('Mapa final'!$AB$88="Muy Baja",'Mapa final'!$AD$88="Moderado"),CONCATENATE("R29C",'Mapa final'!$R$88),"")</f>
        <v/>
      </c>
      <c r="Q234" s="50" t="str">
        <f>IF(AND('Mapa final'!$AB$89="Muy Baja",'Mapa final'!$AD$89="Moderado"),CONCATENATE("R29C",'Mapa final'!$R$89),"")</f>
        <v/>
      </c>
      <c r="R234" s="110" t="str">
        <f>IF(AND('Mapa final'!$AB$90="Muy Baja",'Mapa final'!$AD$90="Moderado"),CONCATENATE("R29C",'Mapa final'!$R$90),"")</f>
        <v/>
      </c>
      <c r="S234" s="104" t="str">
        <f ca="1">IF(AND('Mapa final'!$AB$88="Muy Baja",'Mapa final'!$AD$88="Mayor"),CONCATENATE("R29C",'Mapa final'!$R$88),"")</f>
        <v/>
      </c>
      <c r="T234" s="42" t="str">
        <f>IF(AND('Mapa final'!$AB$89="Muy Baja",'Mapa final'!$AD$89="Mayor"),CONCATENATE("R29C",'Mapa final'!$R$89),"")</f>
        <v/>
      </c>
      <c r="U234" s="105" t="str">
        <f>IF(AND('Mapa final'!$AB$90="Muy Baja",'Mapa final'!$AD$90="Mayor"),CONCATENATE("R29C",'Mapa final'!$R$90),"")</f>
        <v/>
      </c>
      <c r="V234" s="43" t="str">
        <f ca="1">IF(AND('Mapa final'!$AB$88="Muy Baja",'Mapa final'!$AD$88="Catastrófico"),CONCATENATE("R29C",'Mapa final'!$R$88),"")</f>
        <v/>
      </c>
      <c r="W234" s="44" t="str">
        <f>IF(AND('Mapa final'!$AB$89="Muy Baja",'Mapa final'!$AD$89="Catastrófico"),CONCATENATE("R29C",'Mapa final'!$R$89),"")</f>
        <v/>
      </c>
      <c r="X234" s="99" t="str">
        <f>IF(AND('Mapa final'!$AB$90="Muy Baja",'Mapa final'!$AD$90="Catastrófico"),CONCATENATE("R29C",'Mapa final'!$R$90),"")</f>
        <v/>
      </c>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c r="BB234" s="56"/>
      <c r="BC234" s="56"/>
      <c r="BD234" s="56"/>
      <c r="BE234" s="56"/>
      <c r="BF234" s="56"/>
      <c r="BG234" s="56"/>
      <c r="BH234" s="56"/>
      <c r="BI234" s="56"/>
      <c r="BJ234" s="56"/>
      <c r="BK234" s="56"/>
      <c r="BL234" s="56"/>
      <c r="BM234" s="56"/>
    </row>
    <row r="235" spans="1:65" ht="15" customHeight="1" x14ac:dyDescent="0.25">
      <c r="A235" s="56"/>
      <c r="B235" s="286"/>
      <c r="C235" s="286"/>
      <c r="D235" s="287"/>
      <c r="E235" s="276"/>
      <c r="F235" s="275"/>
      <c r="G235" s="275"/>
      <c r="H235" s="275"/>
      <c r="I235" s="275"/>
      <c r="J235" s="114" t="str">
        <f ca="1">IF(AND('Mapa final'!$AB$91="Muy Baja",'Mapa final'!$AD$91="Leve"),CONCATENATE("R30C",'Mapa final'!$R$91),"")</f>
        <v/>
      </c>
      <c r="K235" s="54" t="str">
        <f>IF(AND('Mapa final'!$AB$92="Muy Baja",'Mapa final'!$AD$92="Leve"),CONCATENATE("R30C",'Mapa final'!$R$92),"")</f>
        <v/>
      </c>
      <c r="L235" s="115" t="str">
        <f>IF(AND('Mapa final'!$AB$93="Muy Baja",'Mapa final'!$AD$93="Leve"),CONCATENATE("R30C",'Mapa final'!$R$93),"")</f>
        <v/>
      </c>
      <c r="M235" s="114" t="str">
        <f ca="1">IF(AND('Mapa final'!$AB$91="Muy Baja",'Mapa final'!$AD$91="Menor"),CONCATENATE("R30C",'Mapa final'!$R$91),"")</f>
        <v/>
      </c>
      <c r="N235" s="54" t="str">
        <f>IF(AND('Mapa final'!$AB$92="Muy Baja",'Mapa final'!$AD$92="Menor"),CONCATENATE("R30C",'Mapa final'!$R$92),"")</f>
        <v/>
      </c>
      <c r="O235" s="115" t="str">
        <f>IF(AND('Mapa final'!$AB$93="Muy Baja",'Mapa final'!$AD$93="Menor"),CONCATENATE("R30C",'Mapa final'!$R$93),"")</f>
        <v/>
      </c>
      <c r="P235" s="49" t="str">
        <f ca="1">IF(AND('Mapa final'!$AB$91="Muy Baja",'Mapa final'!$AD$91="Moderado"),CONCATENATE("R30C",'Mapa final'!$R$91),"")</f>
        <v/>
      </c>
      <c r="Q235" s="50" t="str">
        <f>IF(AND('Mapa final'!$AB$92="Muy Baja",'Mapa final'!$AD$92="Moderado"),CONCATENATE("R30C",'Mapa final'!$R$92),"")</f>
        <v/>
      </c>
      <c r="R235" s="110" t="str">
        <f>IF(AND('Mapa final'!$AB$93="Muy Baja",'Mapa final'!$AD$93="Moderado"),CONCATENATE("R30C",'Mapa final'!$R$93),"")</f>
        <v/>
      </c>
      <c r="S235" s="104" t="str">
        <f ca="1">IF(AND('Mapa final'!$AB$91="Muy Baja",'Mapa final'!$AD$91="Mayor"),CONCATENATE("R30C",'Mapa final'!$R$91),"")</f>
        <v/>
      </c>
      <c r="T235" s="42" t="str">
        <f>IF(AND('Mapa final'!$AB$92="Muy Baja",'Mapa final'!$AD$92="Mayor"),CONCATENATE("R30C",'Mapa final'!$R$92),"")</f>
        <v/>
      </c>
      <c r="U235" s="105" t="str">
        <f>IF(AND('Mapa final'!$AB$93="Muy Baja",'Mapa final'!$AD$93="Mayor"),CONCATENATE("R30C",'Mapa final'!$R$93),"")</f>
        <v/>
      </c>
      <c r="V235" s="43" t="str">
        <f ca="1">IF(AND('Mapa final'!$AB$91="Muy Baja",'Mapa final'!$AD$91="Catastrófico"),CONCATENATE("R30C",'Mapa final'!$R$91),"")</f>
        <v/>
      </c>
      <c r="W235" s="44" t="str">
        <f>IF(AND('Mapa final'!$AB$92="Muy Baja",'Mapa final'!$AD$92="Catastrófico"),CONCATENATE("R30C",'Mapa final'!$R$92),"")</f>
        <v/>
      </c>
      <c r="X235" s="99" t="str">
        <f>IF(AND('Mapa final'!$AB$93="Muy Baja",'Mapa final'!$AD$93="Catastrófico"),CONCATENATE("R30C",'Mapa final'!$R$93),"")</f>
        <v/>
      </c>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c r="BD235" s="56"/>
      <c r="BE235" s="56"/>
      <c r="BF235" s="56"/>
      <c r="BG235" s="56"/>
      <c r="BH235" s="56"/>
      <c r="BI235" s="56"/>
      <c r="BJ235" s="56"/>
      <c r="BK235" s="56"/>
      <c r="BL235" s="56"/>
      <c r="BM235" s="56"/>
    </row>
    <row r="236" spans="1:65" ht="15" customHeight="1" x14ac:dyDescent="0.25">
      <c r="A236" s="56"/>
      <c r="B236" s="286"/>
      <c r="C236" s="286"/>
      <c r="D236" s="287"/>
      <c r="E236" s="276"/>
      <c r="F236" s="275"/>
      <c r="G236" s="275"/>
      <c r="H236" s="275"/>
      <c r="I236" s="275"/>
      <c r="J236" s="114" t="str">
        <f ca="1">IF(AND('Mapa final'!$AB$94="Muy Baja",'Mapa final'!$AD$94="Leve"),CONCATENATE("R31C",'Mapa final'!$R$94),"")</f>
        <v/>
      </c>
      <c r="K236" s="54" t="str">
        <f>IF(AND('Mapa final'!$AB$95="Muy Baja",'Mapa final'!$AD$95="Leve"),CONCATENATE("R31C",'Mapa final'!$R$95),"")</f>
        <v/>
      </c>
      <c r="L236" s="115" t="str">
        <f>IF(AND('Mapa final'!$AB$96="Muy Baja",'Mapa final'!$AD$96="Leve"),CONCATENATE("R31C",'Mapa final'!$R$96),"")</f>
        <v/>
      </c>
      <c r="M236" s="114" t="str">
        <f ca="1">IF(AND('Mapa final'!$AB$94="Muy Baja",'Mapa final'!$AD$94="Menor"),CONCATENATE("R31C",'Mapa final'!$R$94),"")</f>
        <v/>
      </c>
      <c r="N236" s="54" t="str">
        <f>IF(AND('Mapa final'!$AB$95="Muy Baja",'Mapa final'!$AD$95="Menor"),CONCATENATE("R31C",'Mapa final'!$R$95),"")</f>
        <v/>
      </c>
      <c r="O236" s="115" t="str">
        <f>IF(AND('Mapa final'!$AB$96="Muy Baja",'Mapa final'!$AD$96="Menor"),CONCATENATE("R31C",'Mapa final'!$R$96),"")</f>
        <v/>
      </c>
      <c r="P236" s="49" t="str">
        <f ca="1">IF(AND('Mapa final'!$AB$94="Muy Baja",'Mapa final'!$AD$94="Moderado"),CONCATENATE("R31C",'Mapa final'!$R$94),"")</f>
        <v/>
      </c>
      <c r="Q236" s="50" t="str">
        <f>IF(AND('Mapa final'!$AB$95="Muy Baja",'Mapa final'!$AD$95="Moderado"),CONCATENATE("R31C",'Mapa final'!$R$95),"")</f>
        <v/>
      </c>
      <c r="R236" s="110" t="str">
        <f>IF(AND('Mapa final'!$AB$96="Muy Baja",'Mapa final'!$AD$96="Moderado"),CONCATENATE("R31C",'Mapa final'!$R$96),"")</f>
        <v/>
      </c>
      <c r="S236" s="104" t="str">
        <f ca="1">IF(AND('Mapa final'!$AB$94="Muy Baja",'Mapa final'!$AD$94="Mayor"),CONCATENATE("R31C",'Mapa final'!$R$94),"")</f>
        <v/>
      </c>
      <c r="T236" s="42" t="str">
        <f>IF(AND('Mapa final'!$AB$95="Muy Baja",'Mapa final'!$AD$95="Mayor"),CONCATENATE("R31C",'Mapa final'!$R$95),"")</f>
        <v/>
      </c>
      <c r="U236" s="105" t="str">
        <f>IF(AND('Mapa final'!$AB$96="Muy Baja",'Mapa final'!$AD$96="Mayor"),CONCATENATE("R31C",'Mapa final'!$R$96),"")</f>
        <v/>
      </c>
      <c r="V236" s="43" t="str">
        <f ca="1">IF(AND('Mapa final'!$AB$94="Muy Baja",'Mapa final'!$AD$94="Catastrófico"),CONCATENATE("R31C",'Mapa final'!$R$94),"")</f>
        <v/>
      </c>
      <c r="W236" s="44" t="str">
        <f>IF(AND('Mapa final'!$AB$95="Muy Baja",'Mapa final'!$AD$95="Catastrófico"),CONCATENATE("R31C",'Mapa final'!$R$95),"")</f>
        <v/>
      </c>
      <c r="X236" s="99" t="str">
        <f>IF(AND('Mapa final'!$AB$96="Muy Baja",'Mapa final'!$AD$96="Catastrófico"),CONCATENATE("R31C",'Mapa final'!$R$96),"")</f>
        <v/>
      </c>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c r="BB236" s="56"/>
      <c r="BC236" s="56"/>
      <c r="BD236" s="56"/>
      <c r="BE236" s="56"/>
      <c r="BF236" s="56"/>
      <c r="BG236" s="56"/>
      <c r="BH236" s="56"/>
      <c r="BI236" s="56"/>
      <c r="BJ236" s="56"/>
      <c r="BK236" s="56"/>
      <c r="BL236" s="56"/>
      <c r="BM236" s="56"/>
    </row>
    <row r="237" spans="1:65" ht="15" customHeight="1" x14ac:dyDescent="0.25">
      <c r="A237" s="56"/>
      <c r="B237" s="286"/>
      <c r="C237" s="286"/>
      <c r="D237" s="287"/>
      <c r="E237" s="276"/>
      <c r="F237" s="275"/>
      <c r="G237" s="275"/>
      <c r="H237" s="275"/>
      <c r="I237" s="275"/>
      <c r="J237" s="114" t="e">
        <f>IF(AND('Mapa final'!#REF!="Muy Baja",'Mapa final'!#REF!="Leve"),CONCATENATE("R32C",'Mapa final'!#REF!),"")</f>
        <v>#REF!</v>
      </c>
      <c r="K237" s="54" t="e">
        <f>IF(AND('Mapa final'!#REF!="Muy Baja",'Mapa final'!#REF!="Leve"),CONCATENATE("R32C",'Mapa final'!#REF!),"")</f>
        <v>#REF!</v>
      </c>
      <c r="L237" s="115" t="e">
        <f>IF(AND('Mapa final'!#REF!="Muy Baja",'Mapa final'!#REF!="Leve"),CONCATENATE("R32C",'Mapa final'!#REF!),"")</f>
        <v>#REF!</v>
      </c>
      <c r="M237" s="114" t="e">
        <f>IF(AND('Mapa final'!#REF!="Muy Baja",'Mapa final'!#REF!="Menor"),CONCATENATE("R32C",'Mapa final'!#REF!),"")</f>
        <v>#REF!</v>
      </c>
      <c r="N237" s="54" t="e">
        <f>IF(AND('Mapa final'!#REF!="Muy Baja",'Mapa final'!#REF!="Menor"),CONCATENATE("R32C",'Mapa final'!#REF!),"")</f>
        <v>#REF!</v>
      </c>
      <c r="O237" s="115" t="e">
        <f>IF(AND('Mapa final'!#REF!="Muy Baja",'Mapa final'!#REF!="Menor"),CONCATENATE("R32C",'Mapa final'!#REF!),"")</f>
        <v>#REF!</v>
      </c>
      <c r="P237" s="49" t="e">
        <f>IF(AND('Mapa final'!#REF!="Muy Baja",'Mapa final'!#REF!="Moderado"),CONCATENATE("R32C",'Mapa final'!#REF!),"")</f>
        <v>#REF!</v>
      </c>
      <c r="Q237" s="50" t="e">
        <f>IF(AND('Mapa final'!#REF!="Muy Baja",'Mapa final'!#REF!="Moderado"),CONCATENATE("R32C",'Mapa final'!#REF!),"")</f>
        <v>#REF!</v>
      </c>
      <c r="R237" s="110" t="e">
        <f>IF(AND('Mapa final'!#REF!="Muy Baja",'Mapa final'!#REF!="Moderado"),CONCATENATE("R32C",'Mapa final'!#REF!),"")</f>
        <v>#REF!</v>
      </c>
      <c r="S237" s="104" t="e">
        <f>IF(AND('Mapa final'!#REF!="Muy Baja",'Mapa final'!#REF!="Mayor"),CONCATENATE("R32C",'Mapa final'!#REF!),"")</f>
        <v>#REF!</v>
      </c>
      <c r="T237" s="42" t="e">
        <f>IF(AND('Mapa final'!#REF!="Muy Baja",'Mapa final'!#REF!="Mayor"),CONCATENATE("R32C",'Mapa final'!#REF!),"")</f>
        <v>#REF!</v>
      </c>
      <c r="U237" s="105" t="e">
        <f>IF(AND('Mapa final'!#REF!="Muy Baja",'Mapa final'!#REF!="Mayor"),CONCATENATE("R32C",'Mapa final'!#REF!),"")</f>
        <v>#REF!</v>
      </c>
      <c r="V237" s="43" t="e">
        <f>IF(AND('Mapa final'!#REF!="Muy Baja",'Mapa final'!#REF!="Catastrófico"),CONCATENATE("R32C",'Mapa final'!#REF!),"")</f>
        <v>#REF!</v>
      </c>
      <c r="W237" s="44" t="e">
        <f>IF(AND('Mapa final'!#REF!="Muy Baja",'Mapa final'!#REF!="Catastrófico"),CONCATENATE("R32C",'Mapa final'!#REF!),"")</f>
        <v>#REF!</v>
      </c>
      <c r="X237" s="99" t="e">
        <f>IF(AND('Mapa final'!#REF!="Muy Baja",'Mapa final'!#REF!="Catastrófico"),CONCATENATE("R32C",'Mapa final'!#REF!),"")</f>
        <v>#REF!</v>
      </c>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c r="BB237" s="56"/>
      <c r="BC237" s="56"/>
      <c r="BD237" s="56"/>
      <c r="BE237" s="56"/>
      <c r="BF237" s="56"/>
      <c r="BG237" s="56"/>
      <c r="BH237" s="56"/>
      <c r="BI237" s="56"/>
      <c r="BJ237" s="56"/>
      <c r="BK237" s="56"/>
      <c r="BL237" s="56"/>
      <c r="BM237" s="56"/>
    </row>
    <row r="238" spans="1:65" ht="15" customHeight="1" x14ac:dyDescent="0.25">
      <c r="A238" s="56"/>
      <c r="B238" s="286"/>
      <c r="C238" s="286"/>
      <c r="D238" s="287"/>
      <c r="E238" s="276"/>
      <c r="F238" s="275"/>
      <c r="G238" s="275"/>
      <c r="H238" s="275"/>
      <c r="I238" s="275"/>
      <c r="J238" s="114" t="str">
        <f>IF(AND('Mapa final'!$AB$97="Muy Baja",'Mapa final'!$AD$97="Leve"),CONCATENATE("R33C",'Mapa final'!$R$97),"")</f>
        <v/>
      </c>
      <c r="K238" s="54" t="str">
        <f>IF(AND('Mapa final'!$AB$98="Muy Baja",'Mapa final'!$AD$98="Leve"),CONCATENATE("R33C",'Mapa final'!$R$98),"")</f>
        <v/>
      </c>
      <c r="L238" s="115" t="str">
        <f>IF(AND('Mapa final'!$AB$99="Muy Baja",'Mapa final'!$AD$99="Leve"),CONCATENATE("R33C",'Mapa final'!$R$99),"")</f>
        <v/>
      </c>
      <c r="M238" s="114" t="str">
        <f>IF(AND('Mapa final'!$AB$97="Muy Baja",'Mapa final'!$AD$97="Menor"),CONCATENATE("R33C",'Mapa final'!$R$97),"")</f>
        <v/>
      </c>
      <c r="N238" s="54" t="str">
        <f>IF(AND('Mapa final'!$AB$98="Muy Baja",'Mapa final'!$AD$98="Menor"),CONCATENATE("R33C",'Mapa final'!$R$98),"")</f>
        <v/>
      </c>
      <c r="O238" s="115" t="str">
        <f>IF(AND('Mapa final'!$AB$99="Muy Baja",'Mapa final'!$AD$99="Menor"),CONCATENATE("R33C",'Mapa final'!$R$99),"")</f>
        <v/>
      </c>
      <c r="P238" s="49" t="str">
        <f>IF(AND('Mapa final'!$AB$97="Muy Baja",'Mapa final'!$AD$97="Moderado"),CONCATENATE("R33C",'Mapa final'!$R$97),"")</f>
        <v/>
      </c>
      <c r="Q238" s="50" t="str">
        <f>IF(AND('Mapa final'!$AB$98="Muy Baja",'Mapa final'!$AD$98="Moderado"),CONCATENATE("R33C",'Mapa final'!$R$98),"")</f>
        <v/>
      </c>
      <c r="R238" s="110" t="str">
        <f>IF(AND('Mapa final'!$AB$99="Muy Baja",'Mapa final'!$AD$99="Moderado"),CONCATENATE("R33C",'Mapa final'!$R$99),"")</f>
        <v/>
      </c>
      <c r="S238" s="104" t="str">
        <f>IF(AND('Mapa final'!$AB$97="Muy Baja",'Mapa final'!$AD$97="Mayor"),CONCATENATE("R33C",'Mapa final'!$R$97),"")</f>
        <v/>
      </c>
      <c r="T238" s="42" t="str">
        <f>IF(AND('Mapa final'!$AB$98="Muy Baja",'Mapa final'!$AD$98="Mayor"),CONCATENATE("R33C",'Mapa final'!$R$98),"")</f>
        <v/>
      </c>
      <c r="U238" s="105" t="str">
        <f>IF(AND('Mapa final'!$AB$99="Muy Baja",'Mapa final'!$AD$99="Mayor"),CONCATENATE("R33C",'Mapa final'!$R$99),"")</f>
        <v/>
      </c>
      <c r="V238" s="43" t="str">
        <f>IF(AND('Mapa final'!$AB$97="Muy Baja",'Mapa final'!$AD$97="Catastrófico"),CONCATENATE("R33C",'Mapa final'!$R$97),"")</f>
        <v/>
      </c>
      <c r="W238" s="44" t="str">
        <f>IF(AND('Mapa final'!$AB$98="Muy Baja",'Mapa final'!$AD$98="Catastrófico"),CONCATENATE("R33C",'Mapa final'!$R$98),"")</f>
        <v/>
      </c>
      <c r="X238" s="99" t="str">
        <f>IF(AND('Mapa final'!$AB$99="Muy Baja",'Mapa final'!$AD$99="Catastrófico"),CONCATENATE("R33C",'Mapa final'!$R$99),"")</f>
        <v/>
      </c>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c r="BB238" s="56"/>
      <c r="BC238" s="56"/>
      <c r="BD238" s="56"/>
      <c r="BE238" s="56"/>
      <c r="BF238" s="56"/>
      <c r="BG238" s="56"/>
      <c r="BH238" s="56"/>
      <c r="BI238" s="56"/>
      <c r="BJ238" s="56"/>
      <c r="BK238" s="56"/>
      <c r="BL238" s="56"/>
      <c r="BM238" s="56"/>
    </row>
    <row r="239" spans="1:65" ht="15" customHeight="1" x14ac:dyDescent="0.25">
      <c r="A239" s="56"/>
      <c r="B239" s="286"/>
      <c r="C239" s="286"/>
      <c r="D239" s="287"/>
      <c r="E239" s="276"/>
      <c r="F239" s="275"/>
      <c r="G239" s="275"/>
      <c r="H239" s="275"/>
      <c r="I239" s="275"/>
      <c r="J239" s="114" t="str">
        <f ca="1">IF(AND('Mapa final'!$AB$100="Muy Baja",'Mapa final'!$AD$100="Leve"),CONCATENATE("R34C",'Mapa final'!$R$100),"")</f>
        <v/>
      </c>
      <c r="K239" s="54" t="str">
        <f>IF(AND('Mapa final'!$AB$101="Muy Baja",'Mapa final'!$AD$101="Leve"),CONCATENATE("R34C",'Mapa final'!$R$101),"")</f>
        <v/>
      </c>
      <c r="L239" s="115" t="str">
        <f>IF(AND('Mapa final'!$AB$102="Muy Baja",'Mapa final'!$AD$102="Leve"),CONCATENATE("R34C",'Mapa final'!$R$102),"")</f>
        <v/>
      </c>
      <c r="M239" s="114" t="str">
        <f ca="1">IF(AND('Mapa final'!$AB$100="Muy Baja",'Mapa final'!$AD$100="Menor"),CONCATENATE("R34C",'Mapa final'!$R$100),"")</f>
        <v/>
      </c>
      <c r="N239" s="54" t="str">
        <f>IF(AND('Mapa final'!$AB$101="Muy Baja",'Mapa final'!$AD$101="Menor"),CONCATENATE("R34C",'Mapa final'!$R$101),"")</f>
        <v/>
      </c>
      <c r="O239" s="115" t="str">
        <f>IF(AND('Mapa final'!$AB$102="Muy Baja",'Mapa final'!$AD$102="Menor"),CONCATENATE("R34C",'Mapa final'!$R$102),"")</f>
        <v/>
      </c>
      <c r="P239" s="49" t="str">
        <f ca="1">IF(AND('Mapa final'!$AB$100="Muy Baja",'Mapa final'!$AD$100="Moderado"),CONCATENATE("R34C",'Mapa final'!$R$100),"")</f>
        <v/>
      </c>
      <c r="Q239" s="50" t="str">
        <f>IF(AND('Mapa final'!$AB$101="Muy Baja",'Mapa final'!$AD$101="Moderado"),CONCATENATE("R34C",'Mapa final'!$R$101),"")</f>
        <v/>
      </c>
      <c r="R239" s="110" t="str">
        <f>IF(AND('Mapa final'!$AB$102="Muy Baja",'Mapa final'!$AD$102="Moderado"),CONCATENATE("R34C",'Mapa final'!$R$102),"")</f>
        <v/>
      </c>
      <c r="S239" s="104" t="str">
        <f ca="1">IF(AND('Mapa final'!$AB$100="Muy Baja",'Mapa final'!$AD$100="Mayor"),CONCATENATE("R34C",'Mapa final'!$R$100),"")</f>
        <v/>
      </c>
      <c r="T239" s="42" t="str">
        <f>IF(AND('Mapa final'!$AB$101="Muy Baja",'Mapa final'!$AD$101="Mayor"),CONCATENATE("R34C",'Mapa final'!$R$101),"")</f>
        <v/>
      </c>
      <c r="U239" s="105" t="str">
        <f>IF(AND('Mapa final'!$AB$102="Muy Baja",'Mapa final'!$AD$102="Mayor"),CONCATENATE("R34C",'Mapa final'!$R$102),"")</f>
        <v/>
      </c>
      <c r="V239" s="43" t="str">
        <f ca="1">IF(AND('Mapa final'!$AB$100="Muy Baja",'Mapa final'!$AD$100="Catastrófico"),CONCATENATE("R34C",'Mapa final'!$R$100),"")</f>
        <v/>
      </c>
      <c r="W239" s="44" t="str">
        <f>IF(AND('Mapa final'!$AB$101="Muy Baja",'Mapa final'!$AD$101="Catastrófico"),CONCATENATE("R34C",'Mapa final'!$R$101),"")</f>
        <v/>
      </c>
      <c r="X239" s="99" t="str">
        <f>IF(AND('Mapa final'!$AB$102="Muy Baja",'Mapa final'!$AD$102="Catastrófico"),CONCATENATE("R34C",'Mapa final'!$R$102),"")</f>
        <v/>
      </c>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c r="BB239" s="56"/>
      <c r="BC239" s="56"/>
      <c r="BD239" s="56"/>
      <c r="BE239" s="56"/>
      <c r="BF239" s="56"/>
      <c r="BG239" s="56"/>
      <c r="BH239" s="56"/>
      <c r="BI239" s="56"/>
      <c r="BJ239" s="56"/>
      <c r="BK239" s="56"/>
      <c r="BL239" s="56"/>
      <c r="BM239" s="56"/>
    </row>
    <row r="240" spans="1:65" ht="15" customHeight="1" x14ac:dyDescent="0.25">
      <c r="A240" s="56"/>
      <c r="B240" s="286"/>
      <c r="C240" s="286"/>
      <c r="D240" s="287"/>
      <c r="E240" s="276"/>
      <c r="F240" s="275"/>
      <c r="G240" s="275"/>
      <c r="H240" s="275"/>
      <c r="I240" s="275"/>
      <c r="J240" s="114" t="str">
        <f ca="1">IF(AND('Mapa final'!$AB$103="Muy Baja",'Mapa final'!$AD$103="Leve"),CONCATENATE("R35C",'Mapa final'!$R$103),"")</f>
        <v/>
      </c>
      <c r="K240" s="54" t="str">
        <f>IF(AND('Mapa final'!$AB$104="Muy Baja",'Mapa final'!$AD$104="Leve"),CONCATENATE("R35C",'Mapa final'!$R$104),"")</f>
        <v/>
      </c>
      <c r="L240" s="115" t="str">
        <f>IF(AND('Mapa final'!$AB$105="Muy Baja",'Mapa final'!$AD$105="Leve"),CONCATENATE("R35C",'Mapa final'!$R$105),"")</f>
        <v/>
      </c>
      <c r="M240" s="114" t="str">
        <f ca="1">IF(AND('Mapa final'!$AB$103="Muy Baja",'Mapa final'!$AD$103="Menor"),CONCATENATE("R35C",'Mapa final'!$R$103),"")</f>
        <v/>
      </c>
      <c r="N240" s="54" t="str">
        <f>IF(AND('Mapa final'!$AB$104="Muy Baja",'Mapa final'!$AD$104="Menor"),CONCATENATE("R35C",'Mapa final'!$R$104),"")</f>
        <v/>
      </c>
      <c r="O240" s="115" t="str">
        <f>IF(AND('Mapa final'!$AB$105="Muy Baja",'Mapa final'!$AD$105="Menor"),CONCATENATE("R35C",'Mapa final'!$R$105),"")</f>
        <v/>
      </c>
      <c r="P240" s="49" t="str">
        <f ca="1">IF(AND('Mapa final'!$AB$103="Muy Baja",'Mapa final'!$AD$103="Moderado"),CONCATENATE("R35C",'Mapa final'!$R$103),"")</f>
        <v/>
      </c>
      <c r="Q240" s="50" t="str">
        <f>IF(AND('Mapa final'!$AB$104="Muy Baja",'Mapa final'!$AD$104="Moderado"),CONCATENATE("R35C",'Mapa final'!$R$104),"")</f>
        <v/>
      </c>
      <c r="R240" s="110" t="str">
        <f>IF(AND('Mapa final'!$AB$105="Muy Baja",'Mapa final'!$AD$105="Moderado"),CONCATENATE("R35C",'Mapa final'!$R$105),"")</f>
        <v/>
      </c>
      <c r="S240" s="104" t="str">
        <f ca="1">IF(AND('Mapa final'!$AB$103="Muy Baja",'Mapa final'!$AD$103="Mayor"),CONCATENATE("R35C",'Mapa final'!$R$103),"")</f>
        <v/>
      </c>
      <c r="T240" s="42" t="str">
        <f>IF(AND('Mapa final'!$AB$104="Muy Baja",'Mapa final'!$AD$104="Mayor"),CONCATENATE("R35C",'Mapa final'!$R$104),"")</f>
        <v/>
      </c>
      <c r="U240" s="105" t="str">
        <f>IF(AND('Mapa final'!$AB$105="Muy Baja",'Mapa final'!$AD$105="Mayor"),CONCATENATE("R35C",'Mapa final'!$R$105),"")</f>
        <v/>
      </c>
      <c r="V240" s="43" t="str">
        <f ca="1">IF(AND('Mapa final'!$AB$103="Muy Baja",'Mapa final'!$AD$103="Catastrófico"),CONCATENATE("R35C",'Mapa final'!$R$103),"")</f>
        <v/>
      </c>
      <c r="W240" s="44" t="str">
        <f>IF(AND('Mapa final'!$AB$104="Muy Baja",'Mapa final'!$AD$104="Catastrófico"),CONCATENATE("R35C",'Mapa final'!$R$104),"")</f>
        <v/>
      </c>
      <c r="X240" s="99" t="str">
        <f>IF(AND('Mapa final'!$AB$105="Muy Baja",'Mapa final'!$AD$105="Catastrófico"),CONCATENATE("R35C",'Mapa final'!$R$105),"")</f>
        <v/>
      </c>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c r="BB240" s="56"/>
      <c r="BC240" s="56"/>
      <c r="BD240" s="56"/>
      <c r="BE240" s="56"/>
      <c r="BF240" s="56"/>
      <c r="BG240" s="56"/>
      <c r="BH240" s="56"/>
      <c r="BI240" s="56"/>
      <c r="BJ240" s="56"/>
      <c r="BK240" s="56"/>
      <c r="BL240" s="56"/>
      <c r="BM240" s="56"/>
    </row>
    <row r="241" spans="1:65" ht="15" customHeight="1" x14ac:dyDescent="0.25">
      <c r="A241" s="56"/>
      <c r="B241" s="286"/>
      <c r="C241" s="286"/>
      <c r="D241" s="287"/>
      <c r="E241" s="276"/>
      <c r="F241" s="275"/>
      <c r="G241" s="275"/>
      <c r="H241" s="275"/>
      <c r="I241" s="275"/>
      <c r="J241" s="114" t="str">
        <f ca="1">IF(AND('Mapa final'!$AB$106="Muy Baja",'Mapa final'!$AD$106="Leve"),CONCATENATE("R36C",'Mapa final'!$R$106),"")</f>
        <v/>
      </c>
      <c r="K241" s="54" t="str">
        <f>IF(AND('Mapa final'!$AB$107="Muy Baja",'Mapa final'!$AD$107="Leve"),CONCATENATE("R36C",'Mapa final'!$R$107),"")</f>
        <v/>
      </c>
      <c r="L241" s="115" t="str">
        <f>IF(AND('Mapa final'!$AB$108="Muy Baja",'Mapa final'!$AD$108="Leve"),CONCATENATE("R36C",'Mapa final'!$R$108),"")</f>
        <v/>
      </c>
      <c r="M241" s="114" t="str">
        <f ca="1">IF(AND('Mapa final'!$AB$106="Muy Baja",'Mapa final'!$AD$106="Menor"),CONCATENATE("R36C",'Mapa final'!$R$106),"")</f>
        <v/>
      </c>
      <c r="N241" s="54" t="str">
        <f>IF(AND('Mapa final'!$AB$107="Muy Baja",'Mapa final'!$AD$107="Menor"),CONCATENATE("R36C",'Mapa final'!$R$107),"")</f>
        <v/>
      </c>
      <c r="O241" s="115" t="str">
        <f>IF(AND('Mapa final'!$AB$108="Muy Baja",'Mapa final'!$AD$108="Menor"),CONCATENATE("R36C",'Mapa final'!$R$108),"")</f>
        <v/>
      </c>
      <c r="P241" s="49" t="str">
        <f ca="1">IF(AND('Mapa final'!$AB$106="Muy Baja",'Mapa final'!$AD$106="Moderado"),CONCATENATE("R36C",'Mapa final'!$R$106),"")</f>
        <v/>
      </c>
      <c r="Q241" s="50" t="str">
        <f>IF(AND('Mapa final'!$AB$107="Muy Baja",'Mapa final'!$AD$107="Moderado"),CONCATENATE("R36C",'Mapa final'!$R$107),"")</f>
        <v/>
      </c>
      <c r="R241" s="110" t="str">
        <f>IF(AND('Mapa final'!$AB$108="Muy Baja",'Mapa final'!$AD$108="Moderado"),CONCATENATE("R36C",'Mapa final'!$R$108),"")</f>
        <v/>
      </c>
      <c r="S241" s="104" t="str">
        <f ca="1">IF(AND('Mapa final'!$AB$106="Muy Baja",'Mapa final'!$AD$106="Mayor"),CONCATENATE("R36C",'Mapa final'!$R$106),"")</f>
        <v/>
      </c>
      <c r="T241" s="42" t="str">
        <f>IF(AND('Mapa final'!$AB$107="Muy Baja",'Mapa final'!$AD$107="Mayor"),CONCATENATE("R36C",'Mapa final'!$R$107),"")</f>
        <v/>
      </c>
      <c r="U241" s="105" t="str">
        <f>IF(AND('Mapa final'!$AB$108="Muy Baja",'Mapa final'!$AD$108="Mayor"),CONCATENATE("R36C",'Mapa final'!$R$108),"")</f>
        <v/>
      </c>
      <c r="V241" s="43" t="str">
        <f ca="1">IF(AND('Mapa final'!$AB$106="Muy Baja",'Mapa final'!$AD$106="Catastrófico"),CONCATENATE("R36C",'Mapa final'!$R$106),"")</f>
        <v/>
      </c>
      <c r="W241" s="44" t="str">
        <f>IF(AND('Mapa final'!$AB$107="Muy Baja",'Mapa final'!$AD$107="Catastrófico"),CONCATENATE("R36C",'Mapa final'!$R$107),"")</f>
        <v/>
      </c>
      <c r="X241" s="99" t="str">
        <f>IF(AND('Mapa final'!$AB$108="Muy Baja",'Mapa final'!$AD$108="Catastrófico"),CONCATENATE("R36C",'Mapa final'!$R$108),"")</f>
        <v/>
      </c>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c r="BB241" s="56"/>
      <c r="BC241" s="56"/>
      <c r="BD241" s="56"/>
      <c r="BE241" s="56"/>
      <c r="BF241" s="56"/>
      <c r="BG241" s="56"/>
      <c r="BH241" s="56"/>
      <c r="BI241" s="56"/>
      <c r="BJ241" s="56"/>
      <c r="BK241" s="56"/>
      <c r="BL241" s="56"/>
      <c r="BM241" s="56"/>
    </row>
    <row r="242" spans="1:65" ht="15" customHeight="1" x14ac:dyDescent="0.25">
      <c r="A242" s="56"/>
      <c r="B242" s="286"/>
      <c r="C242" s="286"/>
      <c r="D242" s="287"/>
      <c r="E242" s="276"/>
      <c r="F242" s="275"/>
      <c r="G242" s="275"/>
      <c r="H242" s="275"/>
      <c r="I242" s="275"/>
      <c r="J242" s="114" t="str">
        <f ca="1">IF(AND('Mapa final'!$AB$109="Muy Baja",'Mapa final'!$AD$109="Leve"),CONCATENATE("R37C",'Mapa final'!$R$109),"")</f>
        <v/>
      </c>
      <c r="K242" s="54" t="str">
        <f>IF(AND('Mapa final'!$AB$110="Muy Baja",'Mapa final'!$AD$110="Leve"),CONCATENATE("R37C",'Mapa final'!$R$110),"")</f>
        <v/>
      </c>
      <c r="L242" s="115" t="str">
        <f>IF(AND('Mapa final'!$AB$111="Muy Baja",'Mapa final'!$AD$111="Leve"),CONCATENATE("R37C",'Mapa final'!$R$111),"")</f>
        <v/>
      </c>
      <c r="M242" s="114" t="str">
        <f ca="1">IF(AND('Mapa final'!$AB$109="Muy Baja",'Mapa final'!$AD$109="Menor"),CONCATENATE("R37C",'Mapa final'!$R$109),"")</f>
        <v/>
      </c>
      <c r="N242" s="54" t="str">
        <f>IF(AND('Mapa final'!$AB$110="Muy Baja",'Mapa final'!$AD$110="Menor"),CONCATENATE("R37C",'Mapa final'!$R$110),"")</f>
        <v/>
      </c>
      <c r="O242" s="115" t="str">
        <f>IF(AND('Mapa final'!$AB$111="Muy Baja",'Mapa final'!$AD$111="Menor"),CONCATENATE("R37C",'Mapa final'!$R$111),"")</f>
        <v/>
      </c>
      <c r="P242" s="49" t="str">
        <f ca="1">IF(AND('Mapa final'!$AB$109="Muy Baja",'Mapa final'!$AD$109="Moderado"),CONCATENATE("R37C",'Mapa final'!$R$109),"")</f>
        <v/>
      </c>
      <c r="Q242" s="50" t="str">
        <f>IF(AND('Mapa final'!$AB$110="Muy Baja",'Mapa final'!$AD$110="Moderado"),CONCATENATE("R37C",'Mapa final'!$R$110),"")</f>
        <v/>
      </c>
      <c r="R242" s="110" t="str">
        <f>IF(AND('Mapa final'!$AB$111="Muy Baja",'Mapa final'!$AD$111="Moderado"),CONCATENATE("R37C",'Mapa final'!$R$111),"")</f>
        <v/>
      </c>
      <c r="S242" s="104" t="str">
        <f ca="1">IF(AND('Mapa final'!$AB$109="Muy Baja",'Mapa final'!$AD$109="Mayor"),CONCATENATE("R37C",'Mapa final'!$R$109),"")</f>
        <v/>
      </c>
      <c r="T242" s="42" t="str">
        <f>IF(AND('Mapa final'!$AB$110="Muy Baja",'Mapa final'!$AD$110="Mayor"),CONCATENATE("R37C",'Mapa final'!$R$110),"")</f>
        <v/>
      </c>
      <c r="U242" s="105" t="str">
        <f>IF(AND('Mapa final'!$AB$111="Muy Baja",'Mapa final'!$AD$111="Mayor"),CONCATENATE("R37C",'Mapa final'!$R$111),"")</f>
        <v/>
      </c>
      <c r="V242" s="43" t="str">
        <f ca="1">IF(AND('Mapa final'!$AB$109="Muy Baja",'Mapa final'!$AD$109="Catastrófico"),CONCATENATE("R37C",'Mapa final'!$R$109),"")</f>
        <v/>
      </c>
      <c r="W242" s="44" t="str">
        <f>IF(AND('Mapa final'!$AB$110="Muy Baja",'Mapa final'!$AD$110="Catastrófico"),CONCATENATE("R37C",'Mapa final'!$R$110),"")</f>
        <v/>
      </c>
      <c r="X242" s="99" t="str">
        <f>IF(AND('Mapa final'!$AB$111="Muy Baja",'Mapa final'!$AD$111="Catastrófico"),CONCATENATE("R37C",'Mapa final'!$R$111),"")</f>
        <v/>
      </c>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c r="BB242" s="56"/>
      <c r="BC242" s="56"/>
      <c r="BD242" s="56"/>
      <c r="BE242" s="56"/>
      <c r="BF242" s="56"/>
      <c r="BG242" s="56"/>
      <c r="BH242" s="56"/>
      <c r="BI242" s="56"/>
      <c r="BJ242" s="56"/>
      <c r="BK242" s="56"/>
      <c r="BL242" s="56"/>
      <c r="BM242" s="56"/>
    </row>
    <row r="243" spans="1:65" ht="15" customHeight="1" x14ac:dyDescent="0.25">
      <c r="A243" s="56"/>
      <c r="B243" s="286"/>
      <c r="C243" s="286"/>
      <c r="D243" s="287"/>
      <c r="E243" s="276"/>
      <c r="F243" s="275"/>
      <c r="G243" s="275"/>
      <c r="H243" s="275"/>
      <c r="I243" s="275"/>
      <c r="J243" s="114" t="str">
        <f ca="1">IF(AND('Mapa final'!$AB$112="Muy Baja",'Mapa final'!$AD$112="Leve"),CONCATENATE("R38C",'Mapa final'!$R$112),"")</f>
        <v/>
      </c>
      <c r="K243" s="54" t="str">
        <f>IF(AND('Mapa final'!$AB$113="Muy Baja",'Mapa final'!$AD$113="Leve"),CONCATENATE("R38C",'Mapa final'!$R$113),"")</f>
        <v/>
      </c>
      <c r="L243" s="115" t="str">
        <f>IF(AND('Mapa final'!$AB$114="Muy Baja",'Mapa final'!$AD$114="Leve"),CONCATENATE("R38C",'Mapa final'!$R$114),"")</f>
        <v/>
      </c>
      <c r="M243" s="114" t="str">
        <f ca="1">IF(AND('Mapa final'!$AB$112="Muy Baja",'Mapa final'!$AD$112="Menor"),CONCATENATE("R38C",'Mapa final'!$R$112),"")</f>
        <v/>
      </c>
      <c r="N243" s="54" t="str">
        <f>IF(AND('Mapa final'!$AB$113="Muy Baja",'Mapa final'!$AD$113="Menor"),CONCATENATE("R38C",'Mapa final'!$R$113),"")</f>
        <v>R38C2</v>
      </c>
      <c r="O243" s="115" t="str">
        <f>IF(AND('Mapa final'!$AB$114="Muy Baja",'Mapa final'!$AD$114="Menor"),CONCATENATE("R38C",'Mapa final'!$R$114),"")</f>
        <v/>
      </c>
      <c r="P243" s="49" t="str">
        <f ca="1">IF(AND('Mapa final'!$AB$112="Muy Baja",'Mapa final'!$AD$112="Moderado"),CONCATENATE("R38C",'Mapa final'!$R$112),"")</f>
        <v/>
      </c>
      <c r="Q243" s="50" t="str">
        <f>IF(AND('Mapa final'!$AB$113="Muy Baja",'Mapa final'!$AD$113="Moderado"),CONCATENATE("R38C",'Mapa final'!$R$113),"")</f>
        <v/>
      </c>
      <c r="R243" s="110" t="str">
        <f>IF(AND('Mapa final'!$AB$114="Muy Baja",'Mapa final'!$AD$114="Moderado"),CONCATENATE("R38C",'Mapa final'!$R$114),"")</f>
        <v/>
      </c>
      <c r="S243" s="104" t="str">
        <f ca="1">IF(AND('Mapa final'!$AB$112="Muy Baja",'Mapa final'!$AD$112="Mayor"),CONCATENATE("R38C",'Mapa final'!$R$112),"")</f>
        <v/>
      </c>
      <c r="T243" s="42" t="str">
        <f>IF(AND('Mapa final'!$AB$113="Muy Baja",'Mapa final'!$AD$113="Mayor"),CONCATENATE("R38C",'Mapa final'!$R$113),"")</f>
        <v/>
      </c>
      <c r="U243" s="105" t="str">
        <f>IF(AND('Mapa final'!$AB$114="Muy Baja",'Mapa final'!$AD$114="Mayor"),CONCATENATE("R38C",'Mapa final'!$R$114),"")</f>
        <v/>
      </c>
      <c r="V243" s="43" t="str">
        <f ca="1">IF(AND('Mapa final'!$AB$112="Muy Baja",'Mapa final'!$AD$112="Catastrófico"),CONCATENATE("R38C",'Mapa final'!$R$112),"")</f>
        <v/>
      </c>
      <c r="W243" s="44" t="str">
        <f>IF(AND('Mapa final'!$AB$113="Muy Baja",'Mapa final'!$AD$113="Catastrófico"),CONCATENATE("R38C",'Mapa final'!$R$113),"")</f>
        <v/>
      </c>
      <c r="X243" s="99" t="str">
        <f>IF(AND('Mapa final'!$AB$114="Muy Baja",'Mapa final'!$AD$114="Catastrófico"),CONCATENATE("R38C",'Mapa final'!$R$114),"")</f>
        <v/>
      </c>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c r="BB243" s="56"/>
      <c r="BC243" s="56"/>
      <c r="BD243" s="56"/>
      <c r="BE243" s="56"/>
      <c r="BF243" s="56"/>
      <c r="BG243" s="56"/>
      <c r="BH243" s="56"/>
      <c r="BI243" s="56"/>
      <c r="BJ243" s="56"/>
      <c r="BK243" s="56"/>
      <c r="BL243" s="56"/>
      <c r="BM243" s="56"/>
    </row>
    <row r="244" spans="1:65" ht="15" customHeight="1" x14ac:dyDescent="0.25">
      <c r="A244" s="56"/>
      <c r="B244" s="286"/>
      <c r="C244" s="286"/>
      <c r="D244" s="287"/>
      <c r="E244" s="276"/>
      <c r="F244" s="275"/>
      <c r="G244" s="275"/>
      <c r="H244" s="275"/>
      <c r="I244" s="275"/>
      <c r="J244" s="114" t="str">
        <f ca="1">IF(AND('Mapa final'!$AB$115="Muy Baja",'Mapa final'!$AD$115="Leve"),CONCATENATE("R39C",'Mapa final'!$R$115),"")</f>
        <v/>
      </c>
      <c r="K244" s="54" t="str">
        <f>IF(AND('Mapa final'!$AB$116="Muy Baja",'Mapa final'!$AD$116="Leve"),CONCATENATE("R39C",'Mapa final'!$R$116),"")</f>
        <v/>
      </c>
      <c r="L244" s="115" t="str">
        <f>IF(AND('Mapa final'!$AB$117="Muy Baja",'Mapa final'!$AD$117="Leve"),CONCATENATE("R39C",'Mapa final'!$R$117),"")</f>
        <v/>
      </c>
      <c r="M244" s="114" t="str">
        <f ca="1">IF(AND('Mapa final'!$AB$115="Muy Baja",'Mapa final'!$AD$115="Menor"),CONCATENATE("R39C",'Mapa final'!$R$115),"")</f>
        <v/>
      </c>
      <c r="N244" s="54" t="str">
        <f>IF(AND('Mapa final'!$AB$116="Muy Baja",'Mapa final'!$AD$116="Menor"),CONCATENATE("R39C",'Mapa final'!$R$116),"")</f>
        <v/>
      </c>
      <c r="O244" s="115" t="str">
        <f>IF(AND('Mapa final'!$AB$117="Muy Baja",'Mapa final'!$AD$117="Menor"),CONCATENATE("R39C",'Mapa final'!$R$117),"")</f>
        <v/>
      </c>
      <c r="P244" s="49" t="str">
        <f ca="1">IF(AND('Mapa final'!$AB$115="Muy Baja",'Mapa final'!$AD$115="Moderado"),CONCATENATE("R39C",'Mapa final'!$R$115),"")</f>
        <v/>
      </c>
      <c r="Q244" s="50" t="str">
        <f>IF(AND('Mapa final'!$AB$116="Muy Baja",'Mapa final'!$AD$116="Moderado"),CONCATENATE("R39C",'Mapa final'!$R$116),"")</f>
        <v/>
      </c>
      <c r="R244" s="110" t="str">
        <f>IF(AND('Mapa final'!$AB$117="Muy Baja",'Mapa final'!$AD$117="Moderado"),CONCATENATE("R39C",'Mapa final'!$R$117),"")</f>
        <v/>
      </c>
      <c r="S244" s="104" t="str">
        <f ca="1">IF(AND('Mapa final'!$AB$115="Muy Baja",'Mapa final'!$AD$115="Mayor"),CONCATENATE("R39C",'Mapa final'!$R$115),"")</f>
        <v/>
      </c>
      <c r="T244" s="42" t="str">
        <f>IF(AND('Mapa final'!$AB$116="Muy Baja",'Mapa final'!$AD$116="Mayor"),CONCATENATE("R39C",'Mapa final'!$R$116),"")</f>
        <v/>
      </c>
      <c r="U244" s="105" t="str">
        <f>IF(AND('Mapa final'!$AB$117="Muy Baja",'Mapa final'!$AD$117="Mayor"),CONCATENATE("R39C",'Mapa final'!$R$117),"")</f>
        <v/>
      </c>
      <c r="V244" s="43" t="str">
        <f ca="1">IF(AND('Mapa final'!$AB$115="Muy Baja",'Mapa final'!$AD$115="Catastrófico"),CONCATENATE("R39C",'Mapa final'!$R$115),"")</f>
        <v/>
      </c>
      <c r="W244" s="44" t="str">
        <f>IF(AND('Mapa final'!$AB$116="Muy Baja",'Mapa final'!$AD$116="Catastrófico"),CONCATENATE("R39C",'Mapa final'!$R$116),"")</f>
        <v/>
      </c>
      <c r="X244" s="99" t="str">
        <f>IF(AND('Mapa final'!$AB$117="Muy Baja",'Mapa final'!$AD$117="Catastrófico"),CONCATENATE("R39C",'Mapa final'!$R$117),"")</f>
        <v/>
      </c>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c r="BB244" s="56"/>
      <c r="BC244" s="56"/>
      <c r="BD244" s="56"/>
      <c r="BE244" s="56"/>
      <c r="BF244" s="56"/>
      <c r="BG244" s="56"/>
      <c r="BH244" s="56"/>
      <c r="BI244" s="56"/>
      <c r="BJ244" s="56"/>
      <c r="BK244" s="56"/>
      <c r="BL244" s="56"/>
      <c r="BM244" s="56"/>
    </row>
    <row r="245" spans="1:65" ht="15" customHeight="1" x14ac:dyDescent="0.25">
      <c r="A245" s="56"/>
      <c r="B245" s="286"/>
      <c r="C245" s="286"/>
      <c r="D245" s="287"/>
      <c r="E245" s="276"/>
      <c r="F245" s="275"/>
      <c r="G245" s="275"/>
      <c r="H245" s="275"/>
      <c r="I245" s="275"/>
      <c r="J245" s="114" t="str">
        <f ca="1">IF(AND('Mapa final'!$AB$118="Muy Baja",'Mapa final'!$AD$118="Leve"),CONCATENATE("R40C",'Mapa final'!$R$118),"")</f>
        <v/>
      </c>
      <c r="K245" s="54" t="str">
        <f>IF(AND('Mapa final'!$AB$119="Muy Baja",'Mapa final'!$AD$119="Leve"),CONCATENATE("R40C",'Mapa final'!$R$119),"")</f>
        <v/>
      </c>
      <c r="L245" s="115" t="str">
        <f>IF(AND('Mapa final'!$AB$120="Muy Baja",'Mapa final'!$AD$120="Leve"),CONCATENATE("R40C",'Mapa final'!$R$120),"")</f>
        <v/>
      </c>
      <c r="M245" s="114" t="str">
        <f ca="1">IF(AND('Mapa final'!$AB$118="Muy Baja",'Mapa final'!$AD$118="Menor"),CONCATENATE("R40C",'Mapa final'!$R$118),"")</f>
        <v/>
      </c>
      <c r="N245" s="54" t="str">
        <f>IF(AND('Mapa final'!$AB$119="Muy Baja",'Mapa final'!$AD$119="Menor"),CONCATENATE("R40C",'Mapa final'!$R$119),"")</f>
        <v/>
      </c>
      <c r="O245" s="115" t="str">
        <f>IF(AND('Mapa final'!$AB$120="Muy Baja",'Mapa final'!$AD$120="Menor"),CONCATENATE("R40C",'Mapa final'!$R$120),"")</f>
        <v/>
      </c>
      <c r="P245" s="49" t="str">
        <f ca="1">IF(AND('Mapa final'!$AB$118="Muy Baja",'Mapa final'!$AD$118="Moderado"),CONCATENATE("R40C",'Mapa final'!$R$118),"")</f>
        <v/>
      </c>
      <c r="Q245" s="50" t="str">
        <f>IF(AND('Mapa final'!$AB$119="Muy Baja",'Mapa final'!$AD$119="Moderado"),CONCATENATE("R40C",'Mapa final'!$R$119),"")</f>
        <v/>
      </c>
      <c r="R245" s="110" t="str">
        <f>IF(AND('Mapa final'!$AB$120="Muy Baja",'Mapa final'!$AD$120="Moderado"),CONCATENATE("R40C",'Mapa final'!$R$120),"")</f>
        <v/>
      </c>
      <c r="S245" s="104" t="str">
        <f ca="1">IF(AND('Mapa final'!$AB$118="Muy Baja",'Mapa final'!$AD$118="Mayor"),CONCATENATE("R40C",'Mapa final'!$R$118),"")</f>
        <v/>
      </c>
      <c r="T245" s="42" t="str">
        <f>IF(AND('Mapa final'!$AB$119="Muy Baja",'Mapa final'!$AD$119="Mayor"),CONCATENATE("R40C",'Mapa final'!$R$119),"")</f>
        <v/>
      </c>
      <c r="U245" s="105" t="str">
        <f>IF(AND('Mapa final'!$AB$120="Muy Baja",'Mapa final'!$AD$120="Mayor"),CONCATENATE("R40C",'Mapa final'!$R$120),"")</f>
        <v/>
      </c>
      <c r="V245" s="43" t="str">
        <f ca="1">IF(AND('Mapa final'!$AB$118="Muy Baja",'Mapa final'!$AD$118="Catastrófico"),CONCATENATE("R40C",'Mapa final'!$R$118),"")</f>
        <v/>
      </c>
      <c r="W245" s="44" t="str">
        <f>IF(AND('Mapa final'!$AB$119="Muy Baja",'Mapa final'!$AD$119="Catastrófico"),CONCATENATE("R40C",'Mapa final'!$R$119),"")</f>
        <v/>
      </c>
      <c r="X245" s="99" t="str">
        <f>IF(AND('Mapa final'!$AB$120="Muy Baja",'Mapa final'!$AD$120="Catastrófico"),CONCATENATE("R40C",'Mapa final'!$R$120),"")</f>
        <v/>
      </c>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c r="BD245" s="56"/>
      <c r="BE245" s="56"/>
      <c r="BF245" s="56"/>
      <c r="BG245" s="56"/>
      <c r="BH245" s="56"/>
      <c r="BI245" s="56"/>
      <c r="BJ245" s="56"/>
      <c r="BK245" s="56"/>
      <c r="BL245" s="56"/>
      <c r="BM245" s="56"/>
    </row>
    <row r="246" spans="1:65" ht="15" customHeight="1" x14ac:dyDescent="0.25">
      <c r="A246" s="56"/>
      <c r="B246" s="286"/>
      <c r="C246" s="286"/>
      <c r="D246" s="287"/>
      <c r="E246" s="276"/>
      <c r="F246" s="275"/>
      <c r="G246" s="275"/>
      <c r="H246" s="275"/>
      <c r="I246" s="275"/>
      <c r="J246" s="114" t="str">
        <f ca="1">IF(AND('Mapa final'!$AB$121="Muy Baja",'Mapa final'!$AD$121="Leve"),CONCATENATE("R41C",'Mapa final'!$R$121),"")</f>
        <v/>
      </c>
      <c r="K246" s="54" t="str">
        <f>IF(AND('Mapa final'!$AB$122="Muy Baja",'Mapa final'!$AD$122="Leve"),CONCATENATE("R41C",'Mapa final'!$R$122),"")</f>
        <v/>
      </c>
      <c r="L246" s="115" t="str">
        <f>IF(AND('Mapa final'!$AB$123="Muy Baja",'Mapa final'!$AD$123="Leve"),CONCATENATE("R41C",'Mapa final'!$R$123),"")</f>
        <v/>
      </c>
      <c r="M246" s="114" t="str">
        <f ca="1">IF(AND('Mapa final'!$AB$121="Muy Baja",'Mapa final'!$AD$121="Menor"),CONCATENATE("R41C",'Mapa final'!$R$121),"")</f>
        <v/>
      </c>
      <c r="N246" s="54" t="str">
        <f>IF(AND('Mapa final'!$AB$122="Muy Baja",'Mapa final'!$AD$122="Menor"),CONCATENATE("R41C",'Mapa final'!$R$122),"")</f>
        <v/>
      </c>
      <c r="O246" s="115" t="str">
        <f>IF(AND('Mapa final'!$AB$123="Muy Baja",'Mapa final'!$AD$123="Menor"),CONCATENATE("R41C",'Mapa final'!$R$123),"")</f>
        <v/>
      </c>
      <c r="P246" s="49" t="str">
        <f ca="1">IF(AND('Mapa final'!$AB$121="Muy Baja",'Mapa final'!$AD$121="Moderado"),CONCATENATE("R41C",'Mapa final'!$R$121),"")</f>
        <v/>
      </c>
      <c r="Q246" s="50" t="str">
        <f>IF(AND('Mapa final'!$AB$122="Muy Baja",'Mapa final'!$AD$122="Moderado"),CONCATENATE("R41C",'Mapa final'!$R$122),"")</f>
        <v/>
      </c>
      <c r="R246" s="110" t="str">
        <f>IF(AND('Mapa final'!$AB$123="Muy Baja",'Mapa final'!$AD$123="Moderado"),CONCATENATE("R41C",'Mapa final'!$R$123),"")</f>
        <v/>
      </c>
      <c r="S246" s="104" t="str">
        <f ca="1">IF(AND('Mapa final'!$AB$121="Muy Baja",'Mapa final'!$AD$121="Mayor"),CONCATENATE("R41C",'Mapa final'!$R$121),"")</f>
        <v/>
      </c>
      <c r="T246" s="42" t="str">
        <f>IF(AND('Mapa final'!$AB$122="Muy Baja",'Mapa final'!$AD$122="Mayor"),CONCATENATE("R41C",'Mapa final'!$R$122),"")</f>
        <v/>
      </c>
      <c r="U246" s="105" t="str">
        <f>IF(AND('Mapa final'!$AB$123="Muy Baja",'Mapa final'!$AD$123="Mayor"),CONCATENATE("R41C",'Mapa final'!$R$123),"")</f>
        <v/>
      </c>
      <c r="V246" s="43" t="str">
        <f ca="1">IF(AND('Mapa final'!$AB$121="Muy Baja",'Mapa final'!$AD$121="Catastrófico"),CONCATENATE("R41C",'Mapa final'!$R$121),"")</f>
        <v/>
      </c>
      <c r="W246" s="44" t="str">
        <f>IF(AND('Mapa final'!$AB$122="Muy Baja",'Mapa final'!$AD$122="Catastrófico"),CONCATENATE("R41C",'Mapa final'!$R$122),"")</f>
        <v/>
      </c>
      <c r="X246" s="99" t="str">
        <f>IF(AND('Mapa final'!$AB$123="Muy Baja",'Mapa final'!$AD$123="Catastrófico"),CONCATENATE("R41C",'Mapa final'!$R$123),"")</f>
        <v/>
      </c>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c r="BB246" s="56"/>
      <c r="BC246" s="56"/>
      <c r="BD246" s="56"/>
      <c r="BE246" s="56"/>
      <c r="BF246" s="56"/>
      <c r="BG246" s="56"/>
      <c r="BH246" s="56"/>
      <c r="BI246" s="56"/>
      <c r="BJ246" s="56"/>
      <c r="BK246" s="56"/>
      <c r="BL246" s="56"/>
      <c r="BM246" s="56"/>
    </row>
    <row r="247" spans="1:65" ht="15" customHeight="1" x14ac:dyDescent="0.25">
      <c r="A247" s="56"/>
      <c r="B247" s="286"/>
      <c r="C247" s="286"/>
      <c r="D247" s="287"/>
      <c r="E247" s="276"/>
      <c r="F247" s="275"/>
      <c r="G247" s="275"/>
      <c r="H247" s="275"/>
      <c r="I247" s="275"/>
      <c r="J247" s="114" t="str">
        <f ca="1">IF(AND('Mapa final'!$AB$124="Muy Baja",'Mapa final'!$AD$124="Leve"),CONCATENATE("R42C",'Mapa final'!$R$124),"")</f>
        <v/>
      </c>
      <c r="K247" s="54" t="str">
        <f>IF(AND('Mapa final'!$AB$125="Muy Baja",'Mapa final'!$AD$125="Leve"),CONCATENATE("R42C",'Mapa final'!$R$125),"")</f>
        <v/>
      </c>
      <c r="L247" s="115" t="str">
        <f>IF(AND('Mapa final'!$AB$126="Muy Baja",'Mapa final'!$AD$126="Leve"),CONCATENATE("R42C",'Mapa final'!$R$126),"")</f>
        <v/>
      </c>
      <c r="M247" s="114" t="str">
        <f ca="1">IF(AND('Mapa final'!$AB$124="Muy Baja",'Mapa final'!$AD$124="Menor"),CONCATENATE("R42C",'Mapa final'!$R$124),"")</f>
        <v/>
      </c>
      <c r="N247" s="54" t="str">
        <f>IF(AND('Mapa final'!$AB$125="Muy Baja",'Mapa final'!$AD$125="Menor"),CONCATENATE("R42C",'Mapa final'!$R$125),"")</f>
        <v/>
      </c>
      <c r="O247" s="115" t="str">
        <f>IF(AND('Mapa final'!$AB$126="Muy Baja",'Mapa final'!$AD$126="Menor"),CONCATENATE("R42C",'Mapa final'!$R$126),"")</f>
        <v/>
      </c>
      <c r="P247" s="49" t="str">
        <f ca="1">IF(AND('Mapa final'!$AB$124="Muy Baja",'Mapa final'!$AD$124="Moderado"),CONCATENATE("R42C",'Mapa final'!$R$124),"")</f>
        <v/>
      </c>
      <c r="Q247" s="50" t="str">
        <f>IF(AND('Mapa final'!$AB$125="Muy Baja",'Mapa final'!$AD$125="Moderado"),CONCATENATE("R42C",'Mapa final'!$R$125),"")</f>
        <v/>
      </c>
      <c r="R247" s="110" t="str">
        <f>IF(AND('Mapa final'!$AB$126="Muy Baja",'Mapa final'!$AD$126="Moderado"),CONCATENATE("R42C",'Mapa final'!$R$126),"")</f>
        <v/>
      </c>
      <c r="S247" s="104" t="str">
        <f ca="1">IF(AND('Mapa final'!$AB$124="Muy Baja",'Mapa final'!$AD$124="Mayor"),CONCATENATE("R42C",'Mapa final'!$R$124),"")</f>
        <v/>
      </c>
      <c r="T247" s="42" t="str">
        <f>IF(AND('Mapa final'!$AB$125="Muy Baja",'Mapa final'!$AD$125="Mayor"),CONCATENATE("R42C",'Mapa final'!$R$125),"")</f>
        <v/>
      </c>
      <c r="U247" s="105" t="str">
        <f>IF(AND('Mapa final'!$AB$126="Muy Baja",'Mapa final'!$AD$126="Mayor"),CONCATENATE("R42C",'Mapa final'!$R$126),"")</f>
        <v/>
      </c>
      <c r="V247" s="43" t="str">
        <f ca="1">IF(AND('Mapa final'!$AB$124="Muy Baja",'Mapa final'!$AD$124="Catastrófico"),CONCATENATE("R42C",'Mapa final'!$R$124),"")</f>
        <v/>
      </c>
      <c r="W247" s="44" t="str">
        <f>IF(AND('Mapa final'!$AB$125="Muy Baja",'Mapa final'!$AD$125="Catastrófico"),CONCATENATE("R42C",'Mapa final'!$R$125),"")</f>
        <v/>
      </c>
      <c r="X247" s="99" t="str">
        <f>IF(AND('Mapa final'!$AB$126="Muy Baja",'Mapa final'!$AD$126="Catastrófico"),CONCATENATE("R42C",'Mapa final'!$R$126),"")</f>
        <v/>
      </c>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c r="BB247" s="56"/>
      <c r="BC247" s="56"/>
      <c r="BD247" s="56"/>
      <c r="BE247" s="56"/>
      <c r="BF247" s="56"/>
      <c r="BG247" s="56"/>
      <c r="BH247" s="56"/>
      <c r="BI247" s="56"/>
      <c r="BJ247" s="56"/>
      <c r="BK247" s="56"/>
      <c r="BL247" s="56"/>
      <c r="BM247" s="56"/>
    </row>
    <row r="248" spans="1:65" ht="15" customHeight="1" x14ac:dyDescent="0.25">
      <c r="A248" s="56"/>
      <c r="B248" s="286"/>
      <c r="C248" s="286"/>
      <c r="D248" s="287"/>
      <c r="E248" s="276"/>
      <c r="F248" s="275"/>
      <c r="G248" s="275"/>
      <c r="H248" s="275"/>
      <c r="I248" s="275"/>
      <c r="J248" s="114" t="str">
        <f ca="1">IF(AND('Mapa final'!$AB$127="Muy Baja",'Mapa final'!$AD$127="Leve"),CONCATENATE("R43C",'Mapa final'!$R$127),"")</f>
        <v/>
      </c>
      <c r="K248" s="54" t="str">
        <f>IF(AND('Mapa final'!$AB$128="Muy Baja",'Mapa final'!$AD$128="Leve"),CONCATENATE("R43C",'Mapa final'!$R$128),"")</f>
        <v/>
      </c>
      <c r="L248" s="115" t="str">
        <f>IF(AND('Mapa final'!$AB$129="Muy Baja",'Mapa final'!$AD$129="Leve"),CONCATENATE("R43C",'Mapa final'!$R$129),"")</f>
        <v/>
      </c>
      <c r="M248" s="114" t="str">
        <f ca="1">IF(AND('Mapa final'!$AB$127="Muy Baja",'Mapa final'!$AD$127="Menor"),CONCATENATE("R43C",'Mapa final'!$R$127),"")</f>
        <v/>
      </c>
      <c r="N248" s="54" t="str">
        <f>IF(AND('Mapa final'!$AB$128="Muy Baja",'Mapa final'!$AD$128="Menor"),CONCATENATE("R43C",'Mapa final'!$R$128),"")</f>
        <v/>
      </c>
      <c r="O248" s="115" t="str">
        <f>IF(AND('Mapa final'!$AB$129="Muy Baja",'Mapa final'!$AD$129="Menor"),CONCATENATE("R43C",'Mapa final'!$R$129),"")</f>
        <v/>
      </c>
      <c r="P248" s="49" t="str">
        <f ca="1">IF(AND('Mapa final'!$AB$127="Muy Baja",'Mapa final'!$AD$127="Moderado"),CONCATENATE("R43C",'Mapa final'!$R$127),"")</f>
        <v/>
      </c>
      <c r="Q248" s="50" t="str">
        <f>IF(AND('Mapa final'!$AB$128="Muy Baja",'Mapa final'!$AD$128="Moderado"),CONCATENATE("R43C",'Mapa final'!$R$128),"")</f>
        <v/>
      </c>
      <c r="R248" s="110" t="str">
        <f>IF(AND('Mapa final'!$AB$129="Muy Baja",'Mapa final'!$AD$129="Moderado"),CONCATENATE("R43C",'Mapa final'!$R$129),"")</f>
        <v/>
      </c>
      <c r="S248" s="104" t="str">
        <f ca="1">IF(AND('Mapa final'!$AB$127="Muy Baja",'Mapa final'!$AD$127="Mayor"),CONCATENATE("R43C",'Mapa final'!$R$127),"")</f>
        <v/>
      </c>
      <c r="T248" s="42" t="str">
        <f>IF(AND('Mapa final'!$AB$128="Muy Baja",'Mapa final'!$AD$128="Mayor"),CONCATENATE("R43C",'Mapa final'!$R$128),"")</f>
        <v/>
      </c>
      <c r="U248" s="105" t="str">
        <f>IF(AND('Mapa final'!$AB$129="Muy Baja",'Mapa final'!$AD$129="Mayor"),CONCATENATE("R43C",'Mapa final'!$R$129),"")</f>
        <v>R43C3</v>
      </c>
      <c r="V248" s="43" t="str">
        <f ca="1">IF(AND('Mapa final'!$AB$127="Muy Baja",'Mapa final'!$AD$127="Catastrófico"),CONCATENATE("R43C",'Mapa final'!$R$127),"")</f>
        <v/>
      </c>
      <c r="W248" s="44" t="str">
        <f>IF(AND('Mapa final'!$AB$128="Muy Baja",'Mapa final'!$AD$128="Catastrófico"),CONCATENATE("R43C",'Mapa final'!$R$128),"")</f>
        <v/>
      </c>
      <c r="X248" s="99" t="str">
        <f>IF(AND('Mapa final'!$AB$129="Muy Baja",'Mapa final'!$AD$129="Catastrófico"),CONCATENATE("R43C",'Mapa final'!$R$129),"")</f>
        <v/>
      </c>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c r="BB248" s="56"/>
      <c r="BC248" s="56"/>
      <c r="BD248" s="56"/>
      <c r="BE248" s="56"/>
      <c r="BF248" s="56"/>
      <c r="BG248" s="56"/>
      <c r="BH248" s="56"/>
      <c r="BI248" s="56"/>
      <c r="BJ248" s="56"/>
      <c r="BK248" s="56"/>
      <c r="BL248" s="56"/>
      <c r="BM248" s="56"/>
    </row>
    <row r="249" spans="1:65" ht="15" customHeight="1" x14ac:dyDescent="0.25">
      <c r="A249" s="56"/>
      <c r="B249" s="286"/>
      <c r="C249" s="286"/>
      <c r="D249" s="287"/>
      <c r="E249" s="276"/>
      <c r="F249" s="275"/>
      <c r="G249" s="275"/>
      <c r="H249" s="275"/>
      <c r="I249" s="275"/>
      <c r="J249" s="114" t="str">
        <f ca="1">IF(AND('Mapa final'!$AB$130="Muy Baja",'Mapa final'!$AD$130="Leve"),CONCATENATE("R44C",'Mapa final'!$R$130),"")</f>
        <v/>
      </c>
      <c r="K249" s="54" t="str">
        <f>IF(AND('Mapa final'!$AB$131="Muy Baja",'Mapa final'!$AD$131="Leve"),CONCATENATE("R44C",'Mapa final'!$R$131),"")</f>
        <v/>
      </c>
      <c r="L249" s="115" t="str">
        <f>IF(AND('Mapa final'!$AB$132="Muy Baja",'Mapa final'!$AD$132="Leve"),CONCATENATE("R44C",'Mapa final'!$R$132),"")</f>
        <v/>
      </c>
      <c r="M249" s="114" t="str">
        <f ca="1">IF(AND('Mapa final'!$AB$130="Muy Baja",'Mapa final'!$AD$130="Menor"),CONCATENATE("R44C",'Mapa final'!$R$130),"")</f>
        <v/>
      </c>
      <c r="N249" s="54" t="str">
        <f>IF(AND('Mapa final'!$AB$131="Muy Baja",'Mapa final'!$AD$131="Menor"),CONCATENATE("R44C",'Mapa final'!$R$131),"")</f>
        <v/>
      </c>
      <c r="O249" s="115" t="str">
        <f>IF(AND('Mapa final'!$AB$132="Muy Baja",'Mapa final'!$AD$132="Menor"),CONCATENATE("R44C",'Mapa final'!$R$132),"")</f>
        <v/>
      </c>
      <c r="P249" s="49" t="str">
        <f ca="1">IF(AND('Mapa final'!$AB$130="Muy Baja",'Mapa final'!$AD$130="Moderado"),CONCATENATE("R44C",'Mapa final'!$R$130),"")</f>
        <v/>
      </c>
      <c r="Q249" s="50" t="str">
        <f>IF(AND('Mapa final'!$AB$131="Muy Baja",'Mapa final'!$AD$131="Moderado"),CONCATENATE("R44C",'Mapa final'!$R$131),"")</f>
        <v/>
      </c>
      <c r="R249" s="110" t="str">
        <f>IF(AND('Mapa final'!$AB$132="Muy Baja",'Mapa final'!$AD$132="Moderado"),CONCATENATE("R44C",'Mapa final'!$R$132),"")</f>
        <v/>
      </c>
      <c r="S249" s="104" t="str">
        <f ca="1">IF(AND('Mapa final'!$AB$130="Muy Baja",'Mapa final'!$AD$130="Mayor"),CONCATENATE("R44C",'Mapa final'!$R$130),"")</f>
        <v/>
      </c>
      <c r="T249" s="42" t="str">
        <f>IF(AND('Mapa final'!$AB$131="Muy Baja",'Mapa final'!$AD$131="Mayor"),CONCATENATE("R44C",'Mapa final'!$R$131),"")</f>
        <v/>
      </c>
      <c r="U249" s="105" t="str">
        <f>IF(AND('Mapa final'!$AB$132="Muy Baja",'Mapa final'!$AD$132="Mayor"),CONCATENATE("R44C",'Mapa final'!$R$132),"")</f>
        <v/>
      </c>
      <c r="V249" s="43" t="str">
        <f ca="1">IF(AND('Mapa final'!$AB$130="Muy Baja",'Mapa final'!$AD$130="Catastrófico"),CONCATENATE("R44C",'Mapa final'!$R$130),"")</f>
        <v/>
      </c>
      <c r="W249" s="44" t="str">
        <f>IF(AND('Mapa final'!$AB$131="Muy Baja",'Mapa final'!$AD$131="Catastrófico"),CONCATENATE("R44C",'Mapa final'!$R$131),"")</f>
        <v/>
      </c>
      <c r="X249" s="99" t="str">
        <f>IF(AND('Mapa final'!$AB$132="Muy Baja",'Mapa final'!$AD$132="Catastrófico"),CONCATENATE("R44C",'Mapa final'!$R$132),"")</f>
        <v/>
      </c>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c r="BB249" s="56"/>
      <c r="BC249" s="56"/>
      <c r="BD249" s="56"/>
      <c r="BE249" s="56"/>
      <c r="BF249" s="56"/>
      <c r="BG249" s="56"/>
      <c r="BH249" s="56"/>
      <c r="BI249" s="56"/>
      <c r="BJ249" s="56"/>
      <c r="BK249" s="56"/>
      <c r="BL249" s="56"/>
      <c r="BM249" s="56"/>
    </row>
    <row r="250" spans="1:65" ht="15" customHeight="1" x14ac:dyDescent="0.25">
      <c r="A250" s="56"/>
      <c r="B250" s="286"/>
      <c r="C250" s="286"/>
      <c r="D250" s="287"/>
      <c r="E250" s="276"/>
      <c r="F250" s="275"/>
      <c r="G250" s="275"/>
      <c r="H250" s="275"/>
      <c r="I250" s="275"/>
      <c r="J250" s="114" t="str">
        <f ca="1">IF(AND('Mapa final'!$AB$133="Muy Baja",'Mapa final'!$AD$133="Leve"),CONCATENATE("R45C",'Mapa final'!$R$133),"")</f>
        <v/>
      </c>
      <c r="K250" s="54" t="str">
        <f>IF(AND('Mapa final'!$AB$134="Muy Baja",'Mapa final'!$AD$134="Leve"),CONCATENATE("R45C",'Mapa final'!$R$134),"")</f>
        <v/>
      </c>
      <c r="L250" s="115" t="str">
        <f>IF(AND('Mapa final'!$AB$135="Muy Baja",'Mapa final'!$AD$135="Leve"),CONCATENATE("R45C",'Mapa final'!$R$135),"")</f>
        <v/>
      </c>
      <c r="M250" s="114" t="str">
        <f ca="1">IF(AND('Mapa final'!$AB$133="Muy Baja",'Mapa final'!$AD$133="Menor"),CONCATENATE("R45C",'Mapa final'!$R$133),"")</f>
        <v/>
      </c>
      <c r="N250" s="54" t="str">
        <f>IF(AND('Mapa final'!$AB$134="Muy Baja",'Mapa final'!$AD$134="Menor"),CONCATENATE("R45C",'Mapa final'!$R$134),"")</f>
        <v/>
      </c>
      <c r="O250" s="115" t="str">
        <f>IF(AND('Mapa final'!$AB$135="Muy Baja",'Mapa final'!$AD$135="Menor"),CONCATENATE("R45C",'Mapa final'!$R$135),"")</f>
        <v/>
      </c>
      <c r="P250" s="49" t="str">
        <f ca="1">IF(AND('Mapa final'!$AB$133="Muy Baja",'Mapa final'!$AD$133="Moderado"),CONCATENATE("R45C",'Mapa final'!$R$133),"")</f>
        <v/>
      </c>
      <c r="Q250" s="50" t="str">
        <f>IF(AND('Mapa final'!$AB$134="Muy Baja",'Mapa final'!$AD$134="Moderado"),CONCATENATE("R45C",'Mapa final'!$R$134),"")</f>
        <v/>
      </c>
      <c r="R250" s="110" t="str">
        <f>IF(AND('Mapa final'!$AB$135="Muy Baja",'Mapa final'!$AD$135="Moderado"),CONCATENATE("R45C",'Mapa final'!$R$135),"")</f>
        <v/>
      </c>
      <c r="S250" s="104" t="str">
        <f ca="1">IF(AND('Mapa final'!$AB$133="Muy Baja",'Mapa final'!$AD$133="Mayor"),CONCATENATE("R45C",'Mapa final'!$R$133),"")</f>
        <v/>
      </c>
      <c r="T250" s="42" t="str">
        <f>IF(AND('Mapa final'!$AB$134="Muy Baja",'Mapa final'!$AD$134="Mayor"),CONCATENATE("R45C",'Mapa final'!$R$134),"")</f>
        <v/>
      </c>
      <c r="U250" s="105" t="str">
        <f>IF(AND('Mapa final'!$AB$135="Muy Baja",'Mapa final'!$AD$135="Mayor"),CONCATENATE("R45C",'Mapa final'!$R$135),"")</f>
        <v/>
      </c>
      <c r="V250" s="43" t="str">
        <f ca="1">IF(AND('Mapa final'!$AB$133="Muy Baja",'Mapa final'!$AD$133="Catastrófico"),CONCATENATE("R45C",'Mapa final'!$R$133),"")</f>
        <v/>
      </c>
      <c r="W250" s="44" t="str">
        <f>IF(AND('Mapa final'!$AB$134="Muy Baja",'Mapa final'!$AD$134="Catastrófico"),CONCATENATE("R45C",'Mapa final'!$R$134),"")</f>
        <v/>
      </c>
      <c r="X250" s="99" t="str">
        <f>IF(AND('Mapa final'!$AB$135="Muy Baja",'Mapa final'!$AD$135="Catastrófico"),CONCATENATE("R45C",'Mapa final'!$R$135),"")</f>
        <v/>
      </c>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c r="BB250" s="56"/>
      <c r="BC250" s="56"/>
      <c r="BD250" s="56"/>
      <c r="BE250" s="56"/>
      <c r="BF250" s="56"/>
      <c r="BG250" s="56"/>
      <c r="BH250" s="56"/>
      <c r="BI250" s="56"/>
      <c r="BJ250" s="56"/>
      <c r="BK250" s="56"/>
      <c r="BL250" s="56"/>
      <c r="BM250" s="56"/>
    </row>
    <row r="251" spans="1:65" ht="15" customHeight="1" x14ac:dyDescent="0.25">
      <c r="A251" s="56"/>
      <c r="B251" s="286"/>
      <c r="C251" s="286"/>
      <c r="D251" s="287"/>
      <c r="E251" s="276"/>
      <c r="F251" s="275"/>
      <c r="G251" s="275"/>
      <c r="H251" s="275"/>
      <c r="I251" s="275"/>
      <c r="J251" s="114" t="str">
        <f ca="1">IF(AND('Mapa final'!$AB$136="Muy Baja",'Mapa final'!$AD$136="Leve"),CONCATENATE("R46C",'Mapa final'!$R$136),"")</f>
        <v/>
      </c>
      <c r="K251" s="54" t="str">
        <f>IF(AND('Mapa final'!$AB$137="Muy Baja",'Mapa final'!$AD$137="Leve"),CONCATENATE("R46C",'Mapa final'!$R$137),"")</f>
        <v/>
      </c>
      <c r="L251" s="115" t="str">
        <f>IF(AND('Mapa final'!$AB$138="Muy Baja",'Mapa final'!$AD$138="Leve"),CONCATENATE("R46C",'Mapa final'!$R$138),"")</f>
        <v/>
      </c>
      <c r="M251" s="114" t="str">
        <f ca="1">IF(AND('Mapa final'!$AB$136="Muy Baja",'Mapa final'!$AD$136="Menor"),CONCATENATE("R46C",'Mapa final'!$R$136),"")</f>
        <v/>
      </c>
      <c r="N251" s="54" t="str">
        <f>IF(AND('Mapa final'!$AB$137="Muy Baja",'Mapa final'!$AD$137="Menor"),CONCATENATE("R46C",'Mapa final'!$R$137),"")</f>
        <v/>
      </c>
      <c r="O251" s="115" t="str">
        <f>IF(AND('Mapa final'!$AB$138="Muy Baja",'Mapa final'!$AD$138="Menor"),CONCATENATE("R46C",'Mapa final'!$R$138),"")</f>
        <v/>
      </c>
      <c r="P251" s="49" t="str">
        <f ca="1">IF(AND('Mapa final'!$AB$136="Muy Baja",'Mapa final'!$AD$136="Moderado"),CONCATENATE("R46C",'Mapa final'!$R$136),"")</f>
        <v/>
      </c>
      <c r="Q251" s="50" t="str">
        <f>IF(AND('Mapa final'!$AB$137="Muy Baja",'Mapa final'!$AD$137="Moderado"),CONCATENATE("R46C",'Mapa final'!$R$137),"")</f>
        <v/>
      </c>
      <c r="R251" s="110" t="str">
        <f>IF(AND('Mapa final'!$AB$138="Muy Baja",'Mapa final'!$AD$138="Moderado"),CONCATENATE("R46C",'Mapa final'!$R$138),"")</f>
        <v/>
      </c>
      <c r="S251" s="104" t="str">
        <f ca="1">IF(AND('Mapa final'!$AB$136="Muy Baja",'Mapa final'!$AD$136="Mayor"),CONCATENATE("R46C",'Mapa final'!$R$136),"")</f>
        <v/>
      </c>
      <c r="T251" s="42" t="str">
        <f>IF(AND('Mapa final'!$AB$137="Muy Baja",'Mapa final'!$AD$137="Mayor"),CONCATENATE("R46C",'Mapa final'!$R$137),"")</f>
        <v/>
      </c>
      <c r="U251" s="105" t="str">
        <f>IF(AND('Mapa final'!$AB$138="Muy Baja",'Mapa final'!$AD$138="Mayor"),CONCATENATE("R46C",'Mapa final'!$R$138),"")</f>
        <v/>
      </c>
      <c r="V251" s="43" t="str">
        <f ca="1">IF(AND('Mapa final'!$AB$136="Muy Baja",'Mapa final'!$AD$136="Catastrófico"),CONCATENATE("R46C",'Mapa final'!$R$136),"")</f>
        <v/>
      </c>
      <c r="W251" s="44" t="str">
        <f>IF(AND('Mapa final'!$AB$137="Muy Baja",'Mapa final'!$AD$137="Catastrófico"),CONCATENATE("R46C",'Mapa final'!$R$137),"")</f>
        <v/>
      </c>
      <c r="X251" s="99" t="str">
        <f>IF(AND('Mapa final'!$AB$138="Muy Baja",'Mapa final'!$AD$138="Catastrófico"),CONCATENATE("R46C",'Mapa final'!$R$138),"")</f>
        <v/>
      </c>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c r="BB251" s="56"/>
      <c r="BC251" s="56"/>
      <c r="BD251" s="56"/>
      <c r="BE251" s="56"/>
      <c r="BF251" s="56"/>
      <c r="BG251" s="56"/>
      <c r="BH251" s="56"/>
      <c r="BI251" s="56"/>
      <c r="BJ251" s="56"/>
      <c r="BK251" s="56"/>
      <c r="BL251" s="56"/>
      <c r="BM251" s="56"/>
    </row>
    <row r="252" spans="1:65" ht="15" customHeight="1" x14ac:dyDescent="0.25">
      <c r="A252" s="56"/>
      <c r="B252" s="286"/>
      <c r="C252" s="286"/>
      <c r="D252" s="287"/>
      <c r="E252" s="276"/>
      <c r="F252" s="275"/>
      <c r="G252" s="275"/>
      <c r="H252" s="275"/>
      <c r="I252" s="275"/>
      <c r="J252" s="114" t="str">
        <f ca="1">IF(AND('Mapa final'!$AB$139="Muy Baja",'Mapa final'!$AD$139="Leve"),CONCATENATE("R47C",'Mapa final'!$R$139),"")</f>
        <v/>
      </c>
      <c r="K252" s="54" t="str">
        <f>IF(AND('Mapa final'!$AB$140="Muy Baja",'Mapa final'!$AD$140="Leve"),CONCATENATE("R47C",'Mapa final'!$R$140),"")</f>
        <v/>
      </c>
      <c r="L252" s="115" t="str">
        <f>IF(AND('Mapa final'!$AB$141="Muy Baja",'Mapa final'!$AD$141="Leve"),CONCATENATE("R47C",'Mapa final'!$R$141),"")</f>
        <v/>
      </c>
      <c r="M252" s="114" t="str">
        <f ca="1">IF(AND('Mapa final'!$AB$139="Muy Baja",'Mapa final'!$AD$139="Menor"),CONCATENATE("R47C",'Mapa final'!$R$139),"")</f>
        <v/>
      </c>
      <c r="N252" s="54" t="str">
        <f>IF(AND('Mapa final'!$AB$140="Muy Baja",'Mapa final'!$AD$140="Menor"),CONCATENATE("R47C",'Mapa final'!$R$140),"")</f>
        <v/>
      </c>
      <c r="O252" s="115" t="str">
        <f>IF(AND('Mapa final'!$AB$141="Muy Baja",'Mapa final'!$AD$141="Menor"),CONCATENATE("R47C",'Mapa final'!$R$141),"")</f>
        <v/>
      </c>
      <c r="P252" s="49" t="str">
        <f ca="1">IF(AND('Mapa final'!$AB$139="Muy Baja",'Mapa final'!$AD$139="Moderado"),CONCATENATE("R47C",'Mapa final'!$R$139),"")</f>
        <v/>
      </c>
      <c r="Q252" s="50" t="str">
        <f>IF(AND('Mapa final'!$AB$140="Muy Baja",'Mapa final'!$AD$140="Moderado"),CONCATENATE("R47C",'Mapa final'!$R$140),"")</f>
        <v/>
      </c>
      <c r="R252" s="110" t="str">
        <f>IF(AND('Mapa final'!$AB$141="Muy Baja",'Mapa final'!$AD$141="Moderado"),CONCATENATE("R47C",'Mapa final'!$R$141),"")</f>
        <v/>
      </c>
      <c r="S252" s="104" t="str">
        <f ca="1">IF(AND('Mapa final'!$AB$139="Muy Baja",'Mapa final'!$AD$139="Mayor"),CONCATENATE("R47C",'Mapa final'!$R$139),"")</f>
        <v/>
      </c>
      <c r="T252" s="42" t="str">
        <f>IF(AND('Mapa final'!$AB$140="Muy Baja",'Mapa final'!$AD$140="Mayor"),CONCATENATE("R47C",'Mapa final'!$R$140),"")</f>
        <v/>
      </c>
      <c r="U252" s="105" t="str">
        <f>IF(AND('Mapa final'!$AB$141="Muy Baja",'Mapa final'!$AD$141="Mayor"),CONCATENATE("R47C",'Mapa final'!$R$141),"")</f>
        <v/>
      </c>
      <c r="V252" s="43" t="str">
        <f ca="1">IF(AND('Mapa final'!$AB$139="Muy Baja",'Mapa final'!$AD$139="Catastrófico"),CONCATENATE("R47C",'Mapa final'!$R$139),"")</f>
        <v/>
      </c>
      <c r="W252" s="44" t="str">
        <f>IF(AND('Mapa final'!$AB$140="Muy Baja",'Mapa final'!$AD$140="Catastrófico"),CONCATENATE("R47C",'Mapa final'!$R$140),"")</f>
        <v/>
      </c>
      <c r="X252" s="99" t="str">
        <f>IF(AND('Mapa final'!$AB$141="Muy Baja",'Mapa final'!$AD$141="Catastrófico"),CONCATENATE("R47C",'Mapa final'!$R$141),"")</f>
        <v/>
      </c>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c r="BB252" s="56"/>
      <c r="BC252" s="56"/>
      <c r="BD252" s="56"/>
      <c r="BE252" s="56"/>
      <c r="BF252" s="56"/>
      <c r="BG252" s="56"/>
      <c r="BH252" s="56"/>
      <c r="BI252" s="56"/>
      <c r="BJ252" s="56"/>
      <c r="BK252" s="56"/>
      <c r="BL252" s="56"/>
      <c r="BM252" s="56"/>
    </row>
    <row r="253" spans="1:65" ht="15" customHeight="1" x14ac:dyDescent="0.25">
      <c r="A253" s="56"/>
      <c r="B253" s="286"/>
      <c r="C253" s="286"/>
      <c r="D253" s="287"/>
      <c r="E253" s="276"/>
      <c r="F253" s="275"/>
      <c r="G253" s="275"/>
      <c r="H253" s="275"/>
      <c r="I253" s="275"/>
      <c r="J253" s="114" t="str">
        <f>IF(AND('Mapa final'!$AB$142="Muy Baja",'Mapa final'!$AD$142="Leve"),CONCATENATE("R48C",'Mapa final'!$R$142),"")</f>
        <v/>
      </c>
      <c r="K253" s="54" t="str">
        <f>IF(AND('Mapa final'!$AB$143="Muy Baja",'Mapa final'!$AD$143="Leve"),CONCATENATE("R48C",'Mapa final'!$R$143),"")</f>
        <v/>
      </c>
      <c r="L253" s="115" t="str">
        <f>IF(AND('Mapa final'!$AB$144="Muy Baja",'Mapa final'!$AD$144="Leve"),CONCATENATE("R48C",'Mapa final'!$R$144),"")</f>
        <v/>
      </c>
      <c r="M253" s="114" t="str">
        <f>IF(AND('Mapa final'!$AB$142="Muy Baja",'Mapa final'!$AD$142="Menor"),CONCATENATE("R48C",'Mapa final'!$R$142),"")</f>
        <v/>
      </c>
      <c r="N253" s="54" t="str">
        <f>IF(AND('Mapa final'!$AB$143="Muy Baja",'Mapa final'!$AD$143="Menor"),CONCATENATE("R48C",'Mapa final'!$R$143),"")</f>
        <v/>
      </c>
      <c r="O253" s="115" t="str">
        <f>IF(AND('Mapa final'!$AB$144="Muy Baja",'Mapa final'!$AD$144="Menor"),CONCATENATE("R48C",'Mapa final'!$R$144),"")</f>
        <v/>
      </c>
      <c r="P253" s="49" t="str">
        <f>IF(AND('Mapa final'!$AB$142="Muy Baja",'Mapa final'!$AD$142="Moderado"),CONCATENATE("R48C",'Mapa final'!$R$142),"")</f>
        <v/>
      </c>
      <c r="Q253" s="50" t="str">
        <f>IF(AND('Mapa final'!$AB$143="Muy Baja",'Mapa final'!$AD$143="Moderado"),CONCATENATE("R48C",'Mapa final'!$R$143),"")</f>
        <v/>
      </c>
      <c r="R253" s="110" t="str">
        <f>IF(AND('Mapa final'!$AB$144="Muy Baja",'Mapa final'!$AD$144="Moderado"),CONCATENATE("R48C",'Mapa final'!$R$144),"")</f>
        <v/>
      </c>
      <c r="S253" s="104" t="str">
        <f>IF(AND('Mapa final'!$AB$142="Muy Baja",'Mapa final'!$AD$142="Mayor"),CONCATENATE("R48C",'Mapa final'!$R$142),"")</f>
        <v/>
      </c>
      <c r="T253" s="42" t="str">
        <f>IF(AND('Mapa final'!$AB$143="Muy Baja",'Mapa final'!$AD$143="Mayor"),CONCATENATE("R48C",'Mapa final'!$R$143),"")</f>
        <v/>
      </c>
      <c r="U253" s="105" t="str">
        <f>IF(AND('Mapa final'!$AB$144="Muy Baja",'Mapa final'!$AD$144="Mayor"),CONCATENATE("R48C",'Mapa final'!$R$144),"")</f>
        <v/>
      </c>
      <c r="V253" s="43" t="str">
        <f>IF(AND('Mapa final'!$AB$142="Muy Baja",'Mapa final'!$AD$142="Catastrófico"),CONCATENATE("R48C",'Mapa final'!$R$142),"")</f>
        <v/>
      </c>
      <c r="W253" s="44" t="str">
        <f>IF(AND('Mapa final'!$AB$143="Muy Baja",'Mapa final'!$AD$143="Catastrófico"),CONCATENATE("R48C",'Mapa final'!$R$143),"")</f>
        <v/>
      </c>
      <c r="X253" s="99" t="str">
        <f>IF(AND('Mapa final'!$AB$144="Muy Baja",'Mapa final'!$AD$144="Catastrófico"),CONCATENATE("R48C",'Mapa final'!$R$144),"")</f>
        <v/>
      </c>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c r="BB253" s="56"/>
      <c r="BC253" s="56"/>
      <c r="BD253" s="56"/>
      <c r="BE253" s="56"/>
      <c r="BF253" s="56"/>
      <c r="BG253" s="56"/>
      <c r="BH253" s="56"/>
      <c r="BI253" s="56"/>
      <c r="BJ253" s="56"/>
      <c r="BK253" s="56"/>
      <c r="BL253" s="56"/>
      <c r="BM253" s="56"/>
    </row>
    <row r="254" spans="1:65" ht="15" customHeight="1" x14ac:dyDescent="0.25">
      <c r="A254" s="56"/>
      <c r="B254" s="286"/>
      <c r="C254" s="286"/>
      <c r="D254" s="287"/>
      <c r="E254" s="276"/>
      <c r="F254" s="275"/>
      <c r="G254" s="275"/>
      <c r="H254" s="275"/>
      <c r="I254" s="275"/>
      <c r="J254" s="114" t="str">
        <f>IF(AND('Mapa final'!$AB$145="Muy Baja",'Mapa final'!$AD$145="Leve"),CONCATENATE("R49C",'Mapa final'!$R$145),"")</f>
        <v/>
      </c>
      <c r="K254" s="54" t="str">
        <f>IF(AND('Mapa final'!$AB$146="Muy Baja",'Mapa final'!$AD$146="Leve"),CONCATENATE("R49C",'Mapa final'!$R$146),"")</f>
        <v/>
      </c>
      <c r="L254" s="115" t="str">
        <f>IF(AND('Mapa final'!$AB$147="Muy Baja",'Mapa final'!$AD$147="Leve"),CONCATENATE("R49C",'Mapa final'!$R$147),"")</f>
        <v/>
      </c>
      <c r="M254" s="114" t="str">
        <f>IF(AND('Mapa final'!$AB$145="Muy Baja",'Mapa final'!$AD$145="Menor"),CONCATENATE("R49C",'Mapa final'!$R$145),"")</f>
        <v/>
      </c>
      <c r="N254" s="54" t="str">
        <f>IF(AND('Mapa final'!$AB$146="Muy Baja",'Mapa final'!$AD$146="Menor"),CONCATENATE("R49C",'Mapa final'!$R$146),"")</f>
        <v/>
      </c>
      <c r="O254" s="115" t="str">
        <f>IF(AND('Mapa final'!$AB$147="Muy Baja",'Mapa final'!$AD$147="Menor"),CONCATENATE("R49C",'Mapa final'!$R$147),"")</f>
        <v/>
      </c>
      <c r="P254" s="49" t="str">
        <f>IF(AND('Mapa final'!$AB$145="Muy Baja",'Mapa final'!$AD$145="Moderado"),CONCATENATE("R49C",'Mapa final'!$R$145),"")</f>
        <v/>
      </c>
      <c r="Q254" s="50" t="str">
        <f>IF(AND('Mapa final'!$AB$146="Muy Baja",'Mapa final'!$AD$146="Moderado"),CONCATENATE("R49C",'Mapa final'!$R$146),"")</f>
        <v/>
      </c>
      <c r="R254" s="110" t="str">
        <f>IF(AND('Mapa final'!$AB$147="Muy Baja",'Mapa final'!$AD$147="Moderado"),CONCATENATE("R49C",'Mapa final'!$R$147),"")</f>
        <v/>
      </c>
      <c r="S254" s="104" t="str">
        <f>IF(AND('Mapa final'!$AB$145="Muy Baja",'Mapa final'!$AD$145="Mayor"),CONCATENATE("R49C",'Mapa final'!$R$145),"")</f>
        <v/>
      </c>
      <c r="T254" s="42" t="str">
        <f>IF(AND('Mapa final'!$AB$146="Muy Baja",'Mapa final'!$AD$146="Mayor"),CONCATENATE("R49C",'Mapa final'!$R$146),"")</f>
        <v/>
      </c>
      <c r="U254" s="105" t="str">
        <f>IF(AND('Mapa final'!$AB$147="Muy Baja",'Mapa final'!$AD$147="Mayor"),CONCATENATE("R49C",'Mapa final'!$R$147),"")</f>
        <v/>
      </c>
      <c r="V254" s="43" t="str">
        <f>IF(AND('Mapa final'!$AB$145="Muy Baja",'Mapa final'!$AD$145="Catastrófico"),CONCATENATE("R49C",'Mapa final'!$R$145),"")</f>
        <v/>
      </c>
      <c r="W254" s="44" t="str">
        <f>IF(AND('Mapa final'!$AB$146="Muy Baja",'Mapa final'!$AD$146="Catastrófico"),CONCATENATE("R49C",'Mapa final'!$R$146),"")</f>
        <v/>
      </c>
      <c r="X254" s="99" t="str">
        <f>IF(AND('Mapa final'!$AB$147="Muy Baja",'Mapa final'!$AD$147="Catastrófico"),CONCATENATE("R49C",'Mapa final'!$R$147),"")</f>
        <v/>
      </c>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c r="BB254" s="56"/>
      <c r="BC254" s="56"/>
      <c r="BD254" s="56"/>
      <c r="BE254" s="56"/>
      <c r="BF254" s="56"/>
      <c r="BG254" s="56"/>
      <c r="BH254" s="56"/>
      <c r="BI254" s="56"/>
      <c r="BJ254" s="56"/>
      <c r="BK254" s="56"/>
      <c r="BL254" s="56"/>
      <c r="BM254" s="56"/>
    </row>
    <row r="255" spans="1:65" ht="15" customHeight="1" thickBot="1" x14ac:dyDescent="0.3">
      <c r="A255" s="56"/>
      <c r="B255" s="286"/>
      <c r="C255" s="286"/>
      <c r="D255" s="287"/>
      <c r="E255" s="276"/>
      <c r="F255" s="275"/>
      <c r="G255" s="275"/>
      <c r="H255" s="275"/>
      <c r="I255" s="275"/>
      <c r="J255" s="116" t="str">
        <f>IF(AND('Mapa final'!$AB$148="Muy Baja",'Mapa final'!$AD$148="Leve"),CONCATENATE("R50C",'Mapa final'!$R$148),"")</f>
        <v/>
      </c>
      <c r="K255" s="55" t="str">
        <f>IF(AND('Mapa final'!$AB$149="Muy Baja",'Mapa final'!$AD$149="Leve"),CONCATENATE("R50C",'Mapa final'!$R$149),"")</f>
        <v/>
      </c>
      <c r="L255" s="117" t="str">
        <f>IF(AND('Mapa final'!$AB$150="Muy Baja",'Mapa final'!$AD$150="Leve"),CONCATENATE("R50C",'Mapa final'!$R$150),"")</f>
        <v/>
      </c>
      <c r="M255" s="116" t="str">
        <f>IF(AND('Mapa final'!$AB$148="Muy Baja",'Mapa final'!$AD$148="Menor"),CONCATENATE("R50C",'Mapa final'!$R$148),"")</f>
        <v/>
      </c>
      <c r="N255" s="55" t="str">
        <f>IF(AND('Mapa final'!$AB$149="Muy Baja",'Mapa final'!$AD$149="Menor"),CONCATENATE("R50C",'Mapa final'!$R$149),"")</f>
        <v/>
      </c>
      <c r="O255" s="117" t="str">
        <f>IF(AND('Mapa final'!$AB$150="Muy Baja",'Mapa final'!$AD$150="Menor"),CONCATENATE("R50C",'Mapa final'!$R$150),"")</f>
        <v/>
      </c>
      <c r="P255" s="51" t="str">
        <f>IF(AND('Mapa final'!$AB$148="Muy Baja",'Mapa final'!$AD$148="Moderado"),CONCATENATE("R50C",'Mapa final'!$R$148),"")</f>
        <v/>
      </c>
      <c r="Q255" s="52" t="str">
        <f>IF(AND('Mapa final'!$AB$149="Muy Baja",'Mapa final'!$AD$149="Moderado"),CONCATENATE("R50C",'Mapa final'!$R$149),"")</f>
        <v/>
      </c>
      <c r="R255" s="111" t="str">
        <f>IF(AND('Mapa final'!$AB$150="Muy Baja",'Mapa final'!$AD$150="Moderado"),CONCATENATE("R50C",'Mapa final'!$R$150),"")</f>
        <v/>
      </c>
      <c r="S255" s="106" t="str">
        <f>IF(AND('Mapa final'!$AB$148="Muy Baja",'Mapa final'!$AD$148="Mayor"),CONCATENATE("R50C",'Mapa final'!$R$148),"")</f>
        <v/>
      </c>
      <c r="T255" s="107" t="str">
        <f>IF(AND('Mapa final'!$AB$149="Muy Baja",'Mapa final'!$AD$149="Mayor"),CONCATENATE("R50C",'Mapa final'!$R$149),"")</f>
        <v/>
      </c>
      <c r="U255" s="108" t="str">
        <f>IF(AND('Mapa final'!$AB$150="Muy Baja",'Mapa final'!$AD$150="Mayor"),CONCATENATE("R50C",'Mapa final'!$R$150),"")</f>
        <v/>
      </c>
      <c r="V255" s="45" t="str">
        <f>IF(AND('Mapa final'!$AB$148="Muy Baja",'Mapa final'!$AD$148="Catastrófico"),CONCATENATE("R50C",'Mapa final'!$R$148),"")</f>
        <v/>
      </c>
      <c r="W255" s="46" t="str">
        <f>IF(AND('Mapa final'!$AB$149="Muy Baja",'Mapa final'!$AD$149="Catastrófico"),CONCATENATE("R50C",'Mapa final'!$R$149),"")</f>
        <v/>
      </c>
      <c r="X255" s="100" t="str">
        <f>IF(AND('Mapa final'!$AB$150="Muy Baja",'Mapa final'!$AD$150="Catastrófico"),CONCATENATE("R50C",'Mapa final'!$R$150),"")</f>
        <v/>
      </c>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c r="BB255" s="56"/>
      <c r="BC255" s="56"/>
      <c r="BD255" s="56"/>
      <c r="BE255" s="56"/>
      <c r="BF255" s="56"/>
      <c r="BG255" s="56"/>
      <c r="BH255" s="56"/>
      <c r="BI255" s="56"/>
      <c r="BJ255" s="56"/>
      <c r="BK255" s="56"/>
      <c r="BL255" s="56"/>
      <c r="BM255" s="56"/>
    </row>
    <row r="256" spans="1:65" x14ac:dyDescent="0.25">
      <c r="A256" s="56"/>
      <c r="B256" s="56"/>
      <c r="C256" s="56"/>
      <c r="D256" s="56"/>
      <c r="E256" s="56"/>
      <c r="F256" s="56"/>
      <c r="G256" s="56"/>
      <c r="H256" s="56"/>
      <c r="I256" s="56"/>
      <c r="J256" s="300" t="s">
        <v>103</v>
      </c>
      <c r="K256" s="275"/>
      <c r="L256" s="275"/>
      <c r="M256" s="274" t="s">
        <v>102</v>
      </c>
      <c r="N256" s="275"/>
      <c r="O256" s="275"/>
      <c r="P256" s="274" t="s">
        <v>101</v>
      </c>
      <c r="Q256" s="275"/>
      <c r="R256" s="275"/>
      <c r="S256" s="274" t="s">
        <v>100</v>
      </c>
      <c r="T256" s="305"/>
      <c r="U256" s="275"/>
      <c r="V256" s="274" t="s">
        <v>99</v>
      </c>
      <c r="W256" s="275"/>
      <c r="X256" s="30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c r="BB256" s="56"/>
      <c r="BC256" s="56"/>
      <c r="BD256" s="56"/>
      <c r="BE256" s="56"/>
      <c r="BF256" s="56"/>
      <c r="BG256" s="56"/>
      <c r="BH256" s="56"/>
      <c r="BI256" s="56"/>
      <c r="BJ256" s="56"/>
      <c r="BK256" s="56"/>
      <c r="BL256" s="56"/>
      <c r="BM256" s="56"/>
    </row>
    <row r="257" spans="1:65" x14ac:dyDescent="0.25">
      <c r="A257" s="56"/>
      <c r="B257" s="56"/>
      <c r="C257" s="56"/>
      <c r="D257" s="56"/>
      <c r="E257" s="56"/>
      <c r="F257" s="56"/>
      <c r="G257" s="56"/>
      <c r="H257" s="56"/>
      <c r="I257" s="56"/>
      <c r="J257" s="301"/>
      <c r="K257" s="275"/>
      <c r="L257" s="275"/>
      <c r="M257" s="276"/>
      <c r="N257" s="275"/>
      <c r="O257" s="275"/>
      <c r="P257" s="276"/>
      <c r="Q257" s="275"/>
      <c r="R257" s="275"/>
      <c r="S257" s="276"/>
      <c r="T257" s="275"/>
      <c r="U257" s="275"/>
      <c r="V257" s="276"/>
      <c r="W257" s="275"/>
      <c r="X257" s="30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c r="BB257" s="56"/>
      <c r="BC257" s="56"/>
      <c r="BD257" s="56"/>
      <c r="BE257" s="56"/>
      <c r="BF257" s="56"/>
      <c r="BG257" s="56"/>
      <c r="BH257" s="56"/>
      <c r="BI257" s="56"/>
      <c r="BJ257" s="56"/>
      <c r="BK257" s="56"/>
      <c r="BL257" s="56"/>
      <c r="BM257" s="56"/>
    </row>
    <row r="258" spans="1:65" x14ac:dyDescent="0.25">
      <c r="A258" s="56"/>
      <c r="B258" s="56"/>
      <c r="C258" s="56"/>
      <c r="D258" s="56"/>
      <c r="E258" s="56"/>
      <c r="F258" s="56"/>
      <c r="G258" s="56"/>
      <c r="H258" s="56"/>
      <c r="I258" s="56"/>
      <c r="J258" s="301"/>
      <c r="K258" s="275"/>
      <c r="L258" s="275"/>
      <c r="M258" s="276"/>
      <c r="N258" s="275"/>
      <c r="O258" s="275"/>
      <c r="P258" s="276"/>
      <c r="Q258" s="275"/>
      <c r="R258" s="275"/>
      <c r="S258" s="276"/>
      <c r="T258" s="275"/>
      <c r="U258" s="275"/>
      <c r="V258" s="276"/>
      <c r="W258" s="275"/>
      <c r="X258" s="306"/>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c r="BB258" s="56"/>
      <c r="BC258" s="56"/>
      <c r="BD258" s="56"/>
      <c r="BE258" s="56"/>
      <c r="BF258" s="56"/>
      <c r="BG258" s="56"/>
      <c r="BH258" s="56"/>
      <c r="BI258" s="56"/>
      <c r="BJ258" s="56"/>
      <c r="BK258" s="56"/>
      <c r="BL258" s="56"/>
      <c r="BM258" s="56"/>
    </row>
    <row r="259" spans="1:65" x14ac:dyDescent="0.25">
      <c r="A259" s="56"/>
      <c r="B259" s="56"/>
      <c r="C259" s="56"/>
      <c r="D259" s="56"/>
      <c r="E259" s="56"/>
      <c r="F259" s="56"/>
      <c r="G259" s="56"/>
      <c r="H259" s="56"/>
      <c r="I259" s="56"/>
      <c r="J259" s="301"/>
      <c r="K259" s="275"/>
      <c r="L259" s="275"/>
      <c r="M259" s="276"/>
      <c r="N259" s="275"/>
      <c r="O259" s="275"/>
      <c r="P259" s="276"/>
      <c r="Q259" s="275"/>
      <c r="R259" s="275"/>
      <c r="S259" s="276"/>
      <c r="T259" s="275"/>
      <c r="U259" s="275"/>
      <c r="V259" s="276"/>
      <c r="W259" s="275"/>
      <c r="X259" s="30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c r="BB259" s="56"/>
      <c r="BC259" s="56"/>
      <c r="BD259" s="56"/>
      <c r="BE259" s="56"/>
      <c r="BF259" s="56"/>
      <c r="BG259" s="56"/>
      <c r="BH259" s="56"/>
      <c r="BI259" s="56"/>
      <c r="BJ259" s="56"/>
      <c r="BK259" s="56"/>
      <c r="BL259" s="56"/>
      <c r="BM259" s="56"/>
    </row>
    <row r="260" spans="1:65" x14ac:dyDescent="0.25">
      <c r="A260" s="56"/>
      <c r="B260" s="56"/>
      <c r="C260" s="56"/>
      <c r="D260" s="56"/>
      <c r="E260" s="56"/>
      <c r="F260" s="56"/>
      <c r="G260" s="56"/>
      <c r="H260" s="56"/>
      <c r="I260" s="56"/>
      <c r="J260" s="301"/>
      <c r="K260" s="275"/>
      <c r="L260" s="275"/>
      <c r="M260" s="276"/>
      <c r="N260" s="275"/>
      <c r="O260" s="275"/>
      <c r="P260" s="276"/>
      <c r="Q260" s="275"/>
      <c r="R260" s="275"/>
      <c r="S260" s="276"/>
      <c r="T260" s="275"/>
      <c r="U260" s="275"/>
      <c r="V260" s="276"/>
      <c r="W260" s="275"/>
      <c r="X260" s="30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c r="BB260" s="56"/>
      <c r="BC260" s="56"/>
      <c r="BD260" s="56"/>
      <c r="BE260" s="56"/>
      <c r="BF260" s="56"/>
      <c r="BG260" s="56"/>
      <c r="BH260" s="56"/>
      <c r="BI260" s="56"/>
      <c r="BJ260" s="56"/>
      <c r="BK260" s="56"/>
      <c r="BL260" s="56"/>
      <c r="BM260" s="56"/>
    </row>
    <row r="261" spans="1:65" ht="15.75" thickBot="1" x14ac:dyDescent="0.3">
      <c r="A261" s="56"/>
      <c r="B261" s="56"/>
      <c r="C261" s="56"/>
      <c r="D261" s="56"/>
      <c r="E261" s="56"/>
      <c r="F261" s="56"/>
      <c r="G261" s="56"/>
      <c r="H261" s="56"/>
      <c r="I261" s="56"/>
      <c r="J261" s="302"/>
      <c r="K261" s="303"/>
      <c r="L261" s="303"/>
      <c r="M261" s="304"/>
      <c r="N261" s="303"/>
      <c r="O261" s="303"/>
      <c r="P261" s="304"/>
      <c r="Q261" s="303"/>
      <c r="R261" s="303"/>
      <c r="S261" s="304"/>
      <c r="T261" s="303"/>
      <c r="U261" s="303"/>
      <c r="V261" s="304"/>
      <c r="W261" s="303"/>
      <c r="X261" s="307"/>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c r="BB261" s="56"/>
      <c r="BC261" s="56"/>
      <c r="BD261" s="56"/>
      <c r="BE261" s="56"/>
      <c r="BF261" s="56"/>
      <c r="BG261" s="56"/>
      <c r="BH261" s="56"/>
      <c r="BI261" s="56"/>
      <c r="BJ261" s="56"/>
      <c r="BK261" s="56"/>
      <c r="BL261" s="56"/>
      <c r="BM261" s="56"/>
    </row>
    <row r="262" spans="1:65" x14ac:dyDescent="0.25">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row>
    <row r="263" spans="1:65" ht="15" customHeight="1" x14ac:dyDescent="0.25">
      <c r="A263" s="56"/>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56"/>
      <c r="AG263" s="56"/>
      <c r="AH263" s="56"/>
      <c r="AI263" s="56"/>
      <c r="AJ263" s="56"/>
      <c r="AK263" s="56"/>
      <c r="AL263" s="56"/>
      <c r="AM263" s="56"/>
      <c r="AN263" s="56"/>
      <c r="AO263" s="56"/>
      <c r="AP263" s="56"/>
      <c r="AQ263" s="56"/>
      <c r="AR263" s="56"/>
      <c r="AS263" s="56"/>
    </row>
    <row r="264" spans="1:65" ht="15" customHeight="1" x14ac:dyDescent="0.25">
      <c r="A264" s="56"/>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56"/>
      <c r="AG264" s="56"/>
      <c r="AH264" s="56"/>
      <c r="AI264" s="56"/>
      <c r="AJ264" s="56"/>
      <c r="AK264" s="56"/>
      <c r="AL264" s="56"/>
      <c r="AM264" s="56"/>
      <c r="AN264" s="56"/>
      <c r="AO264" s="56"/>
      <c r="AP264" s="56"/>
      <c r="AQ264" s="56"/>
      <c r="AR264" s="56"/>
      <c r="AS264" s="56"/>
    </row>
    <row r="265" spans="1:65" x14ac:dyDescent="0.25">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row>
    <row r="266" spans="1:65" x14ac:dyDescent="0.25">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row>
    <row r="267" spans="1:65" x14ac:dyDescent="0.25">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row>
    <row r="268" spans="1:65" x14ac:dyDescent="0.25">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row>
    <row r="269" spans="1:65" x14ac:dyDescent="0.25">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row>
    <row r="270" spans="1:65" x14ac:dyDescent="0.25">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row>
    <row r="271" spans="1:65" x14ac:dyDescent="0.25">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row>
    <row r="272" spans="1:65" x14ac:dyDescent="0.25">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row>
    <row r="273" spans="1:45" x14ac:dyDescent="0.25">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row>
    <row r="274" spans="1:45" x14ac:dyDescent="0.25">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row>
    <row r="275" spans="1:45" x14ac:dyDescent="0.25">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row>
    <row r="276" spans="1:45" x14ac:dyDescent="0.25">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row>
    <row r="277" spans="1:45" x14ac:dyDescent="0.25">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row>
    <row r="278" spans="1:45" x14ac:dyDescent="0.25">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row>
    <row r="279" spans="1:45" x14ac:dyDescent="0.25">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row>
    <row r="280" spans="1:45" x14ac:dyDescent="0.25">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row>
    <row r="281" spans="1:45" x14ac:dyDescent="0.25">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row>
    <row r="282" spans="1:45" x14ac:dyDescent="0.25">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row>
    <row r="283" spans="1:45" x14ac:dyDescent="0.25">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row>
    <row r="284" spans="1:45" x14ac:dyDescent="0.25">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row>
    <row r="285" spans="1:45" x14ac:dyDescent="0.25">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row>
    <row r="286" spans="1:45" x14ac:dyDescent="0.25">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row>
    <row r="287" spans="1:45" x14ac:dyDescent="0.25">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row>
    <row r="288" spans="1:45" x14ac:dyDescent="0.25">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row>
    <row r="289" spans="1:45" x14ac:dyDescent="0.25">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row>
    <row r="290" spans="1:45" x14ac:dyDescent="0.25">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row>
    <row r="291" spans="1:45" x14ac:dyDescent="0.25">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row>
    <row r="292" spans="1:45" x14ac:dyDescent="0.25">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row>
    <row r="293" spans="1:45" x14ac:dyDescent="0.25">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row>
    <row r="294" spans="1:45" x14ac:dyDescent="0.25">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row>
    <row r="295" spans="1:45" x14ac:dyDescent="0.25">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row>
    <row r="296" spans="1:45" x14ac:dyDescent="0.25">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row>
    <row r="297" spans="1:45" x14ac:dyDescent="0.25">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row>
    <row r="298" spans="1:45" x14ac:dyDescent="0.25">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row>
    <row r="299" spans="1:45" x14ac:dyDescent="0.25">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row>
    <row r="300" spans="1:45" x14ac:dyDescent="0.25">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row>
    <row r="301" spans="1:45" x14ac:dyDescent="0.25">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row>
    <row r="302" spans="1:45" x14ac:dyDescent="0.25">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row>
    <row r="303" spans="1:45" x14ac:dyDescent="0.25">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row>
    <row r="304" spans="1:45" x14ac:dyDescent="0.25">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row>
    <row r="305" spans="1:45" x14ac:dyDescent="0.25">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row>
    <row r="306" spans="1:45" x14ac:dyDescent="0.25">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row>
    <row r="307" spans="1:45" x14ac:dyDescent="0.25">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row>
    <row r="308" spans="1:45" x14ac:dyDescent="0.25">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row>
    <row r="309" spans="1:45" x14ac:dyDescent="0.25">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row>
    <row r="310" spans="1:45" x14ac:dyDescent="0.25">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row>
    <row r="311" spans="1:45" x14ac:dyDescent="0.25">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row>
    <row r="312" spans="1:45" x14ac:dyDescent="0.25">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row>
    <row r="313" spans="1:45" x14ac:dyDescent="0.25">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row>
    <row r="314" spans="1:45" x14ac:dyDescent="0.25">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row>
    <row r="315" spans="1:45" x14ac:dyDescent="0.25">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row>
    <row r="316" spans="1:45" x14ac:dyDescent="0.25">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row>
    <row r="317" spans="1:45" x14ac:dyDescent="0.25">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row>
    <row r="318" spans="1:45" x14ac:dyDescent="0.25">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row>
    <row r="319" spans="1:45" x14ac:dyDescent="0.25">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row>
    <row r="320" spans="1:45" x14ac:dyDescent="0.25">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row>
    <row r="321" spans="1:45" x14ac:dyDescent="0.25">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row>
    <row r="322" spans="1:45" x14ac:dyDescent="0.25">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row>
    <row r="323" spans="1:45" x14ac:dyDescent="0.25">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row>
    <row r="324" spans="1:45" x14ac:dyDescent="0.25">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row>
    <row r="325" spans="1:45" x14ac:dyDescent="0.25">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row>
    <row r="326" spans="1:45" x14ac:dyDescent="0.25">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row>
    <row r="327" spans="1:45" x14ac:dyDescent="0.25">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row>
    <row r="328" spans="1:45" x14ac:dyDescent="0.25">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row>
    <row r="329" spans="1:45" x14ac:dyDescent="0.25">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row>
    <row r="330" spans="1:45" x14ac:dyDescent="0.25">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row>
    <row r="331" spans="1:45" x14ac:dyDescent="0.25">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row>
    <row r="332" spans="1:45" x14ac:dyDescent="0.25">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row>
    <row r="333" spans="1:45" x14ac:dyDescent="0.25">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row>
    <row r="334" spans="1:45" x14ac:dyDescent="0.25">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row>
    <row r="335" spans="1:45" x14ac:dyDescent="0.25">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row>
    <row r="336" spans="1:45" x14ac:dyDescent="0.25">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row>
    <row r="337" spans="1:45" x14ac:dyDescent="0.25">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row>
    <row r="338" spans="1:45" x14ac:dyDescent="0.25">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row>
    <row r="339" spans="1:45" x14ac:dyDescent="0.25">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row>
    <row r="340" spans="1:45" x14ac:dyDescent="0.25">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row>
    <row r="341" spans="1:45" x14ac:dyDescent="0.25">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row>
    <row r="342" spans="1:45" x14ac:dyDescent="0.25">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row>
    <row r="343" spans="1:45" x14ac:dyDescent="0.25">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row>
    <row r="344" spans="1:45" x14ac:dyDescent="0.25">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row>
    <row r="345" spans="1:45" x14ac:dyDescent="0.25">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row>
    <row r="346" spans="1:45" x14ac:dyDescent="0.25">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row>
    <row r="347" spans="1:45" x14ac:dyDescent="0.25">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row>
    <row r="348" spans="1:45" x14ac:dyDescent="0.25">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row>
    <row r="349" spans="1:45" x14ac:dyDescent="0.25">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row>
    <row r="350" spans="1:45" x14ac:dyDescent="0.25">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row>
    <row r="351" spans="1:45" x14ac:dyDescent="0.25">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row>
    <row r="352" spans="1:45" x14ac:dyDescent="0.25">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row>
    <row r="353" spans="1:45" x14ac:dyDescent="0.25">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row>
    <row r="354" spans="1:45" x14ac:dyDescent="0.25">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row>
    <row r="355" spans="1:45" x14ac:dyDescent="0.25">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row>
    <row r="356" spans="1:45" x14ac:dyDescent="0.25">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row>
    <row r="357" spans="1:45" x14ac:dyDescent="0.25">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row>
    <row r="358" spans="1:45" x14ac:dyDescent="0.25">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row>
    <row r="359" spans="1:45" x14ac:dyDescent="0.25">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row>
    <row r="360" spans="1:45" x14ac:dyDescent="0.25">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row>
    <row r="361" spans="1:45" x14ac:dyDescent="0.25">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row>
    <row r="362" spans="1:45" x14ac:dyDescent="0.25">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row>
    <row r="363" spans="1:45" x14ac:dyDescent="0.25">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row>
    <row r="364" spans="1:45" x14ac:dyDescent="0.25">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row>
    <row r="365" spans="1:45" x14ac:dyDescent="0.25">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row>
    <row r="366" spans="1:45" x14ac:dyDescent="0.25">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row>
    <row r="367" spans="1:45" x14ac:dyDescent="0.25">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row>
    <row r="368" spans="1:45" x14ac:dyDescent="0.25">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row>
    <row r="369" spans="1:45" x14ac:dyDescent="0.25">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row>
    <row r="370" spans="1:45" x14ac:dyDescent="0.25">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row>
    <row r="371" spans="1:45" x14ac:dyDescent="0.25">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row>
    <row r="372" spans="1:45" x14ac:dyDescent="0.25">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row>
    <row r="373" spans="1:45" x14ac:dyDescent="0.25">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row>
    <row r="374" spans="1:45" x14ac:dyDescent="0.25">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row>
    <row r="375" spans="1:45" x14ac:dyDescent="0.25">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row>
    <row r="376" spans="1:45" x14ac:dyDescent="0.25">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row>
    <row r="377" spans="1:45" x14ac:dyDescent="0.25">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row>
    <row r="378" spans="1:45" x14ac:dyDescent="0.25">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row>
    <row r="379" spans="1:45" x14ac:dyDescent="0.25">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row>
    <row r="380" spans="1:45" x14ac:dyDescent="0.25">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row>
    <row r="381" spans="1:45" x14ac:dyDescent="0.25">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row>
    <row r="382" spans="1:45" x14ac:dyDescent="0.25">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row>
    <row r="383" spans="1:45" x14ac:dyDescent="0.25">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row>
    <row r="384" spans="1:45" x14ac:dyDescent="0.25">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row>
    <row r="385" spans="1:45" x14ac:dyDescent="0.25">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row>
    <row r="386" spans="1:45" x14ac:dyDescent="0.25">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row>
    <row r="387" spans="1:45" x14ac:dyDescent="0.25">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row>
    <row r="388" spans="1:45" x14ac:dyDescent="0.25">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row>
    <row r="389" spans="1:45" x14ac:dyDescent="0.25">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row>
    <row r="390" spans="1:45" x14ac:dyDescent="0.25">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row>
    <row r="391" spans="1:45" x14ac:dyDescent="0.25">
      <c r="A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row>
    <row r="392" spans="1:45" x14ac:dyDescent="0.25">
      <c r="A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row>
    <row r="393" spans="1:45" x14ac:dyDescent="0.25">
      <c r="A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row>
    <row r="394" spans="1:45" x14ac:dyDescent="0.25">
      <c r="A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row>
    <row r="395" spans="1:45" x14ac:dyDescent="0.25">
      <c r="A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row>
    <row r="396" spans="1:45" x14ac:dyDescent="0.25">
      <c r="A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row>
    <row r="397" spans="1:45" x14ac:dyDescent="0.25">
      <c r="A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row>
    <row r="398" spans="1:45" x14ac:dyDescent="0.25">
      <c r="A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row>
    <row r="399" spans="1:45" x14ac:dyDescent="0.25">
      <c r="A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row>
    <row r="400" spans="1:45" x14ac:dyDescent="0.25">
      <c r="A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row>
    <row r="401" spans="1:45" x14ac:dyDescent="0.25">
      <c r="A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row>
    <row r="402" spans="1:45" x14ac:dyDescent="0.25">
      <c r="A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row>
    <row r="403" spans="1:45" x14ac:dyDescent="0.25">
      <c r="A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row>
    <row r="404" spans="1:45" x14ac:dyDescent="0.25">
      <c r="A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row>
    <row r="405" spans="1:45" x14ac:dyDescent="0.25">
      <c r="A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row>
    <row r="406" spans="1:45" x14ac:dyDescent="0.25">
      <c r="A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row>
    <row r="407" spans="1:45" x14ac:dyDescent="0.25">
      <c r="A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row>
    <row r="408" spans="1:45" x14ac:dyDescent="0.25">
      <c r="A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row>
    <row r="409" spans="1:45" x14ac:dyDescent="0.25">
      <c r="A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row>
    <row r="410" spans="1:45" x14ac:dyDescent="0.25">
      <c r="A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row>
    <row r="411" spans="1:45" x14ac:dyDescent="0.25">
      <c r="A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row>
    <row r="412" spans="1:45" x14ac:dyDescent="0.25">
      <c r="A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row>
    <row r="413" spans="1:45" x14ac:dyDescent="0.25">
      <c r="A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row>
    <row r="414" spans="1:45" x14ac:dyDescent="0.25">
      <c r="A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row>
    <row r="415" spans="1:45" x14ac:dyDescent="0.25">
      <c r="A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row>
    <row r="416" spans="1:45" x14ac:dyDescent="0.25">
      <c r="A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row>
    <row r="417" spans="1:45" x14ac:dyDescent="0.25">
      <c r="A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row>
    <row r="418" spans="1:45" x14ac:dyDescent="0.25">
      <c r="A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row>
    <row r="419" spans="1:45" x14ac:dyDescent="0.25">
      <c r="A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row>
    <row r="420" spans="1:45" x14ac:dyDescent="0.25">
      <c r="A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row>
    <row r="421" spans="1:45" x14ac:dyDescent="0.25">
      <c r="A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row>
    <row r="422" spans="1:45" x14ac:dyDescent="0.25">
      <c r="A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row>
    <row r="423" spans="1:45" x14ac:dyDescent="0.25">
      <c r="A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row>
    <row r="424" spans="1:45" x14ac:dyDescent="0.25">
      <c r="A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row>
    <row r="425" spans="1:45" x14ac:dyDescent="0.25">
      <c r="A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row>
    <row r="426" spans="1:45" x14ac:dyDescent="0.25">
      <c r="A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row>
    <row r="427" spans="1:45" x14ac:dyDescent="0.25">
      <c r="A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row>
    <row r="428" spans="1:45" x14ac:dyDescent="0.25">
      <c r="A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row>
    <row r="429" spans="1:45" x14ac:dyDescent="0.25">
      <c r="A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row>
    <row r="430" spans="1:45" x14ac:dyDescent="0.25">
      <c r="A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row>
    <row r="431" spans="1:45" x14ac:dyDescent="0.25">
      <c r="A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row>
    <row r="432" spans="1:45" x14ac:dyDescent="0.25">
      <c r="A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row>
    <row r="433" spans="1:45" x14ac:dyDescent="0.25">
      <c r="A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row>
    <row r="434" spans="1:45" x14ac:dyDescent="0.25">
      <c r="A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row>
    <row r="435" spans="1:45" x14ac:dyDescent="0.25">
      <c r="A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row>
    <row r="436" spans="1:45" x14ac:dyDescent="0.25">
      <c r="A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row>
    <row r="437" spans="1:45" x14ac:dyDescent="0.25">
      <c r="A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row>
    <row r="438" spans="1:45" x14ac:dyDescent="0.25">
      <c r="A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row>
    <row r="439" spans="1:45" x14ac:dyDescent="0.25">
      <c r="A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row>
    <row r="440" spans="1:45" x14ac:dyDescent="0.25">
      <c r="A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row>
    <row r="441" spans="1:45" x14ac:dyDescent="0.25">
      <c r="A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row>
    <row r="442" spans="1:45" x14ac:dyDescent="0.25">
      <c r="A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row>
    <row r="443" spans="1:45" x14ac:dyDescent="0.25">
      <c r="A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row>
    <row r="444" spans="1:45" x14ac:dyDescent="0.25">
      <c r="A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row>
    <row r="445" spans="1:45" x14ac:dyDescent="0.25">
      <c r="A445" s="56"/>
    </row>
    <row r="446" spans="1:45" x14ac:dyDescent="0.25">
      <c r="A446" s="56"/>
    </row>
    <row r="447" spans="1:45" x14ac:dyDescent="0.25">
      <c r="A447" s="56"/>
    </row>
    <row r="448" spans="1:45" x14ac:dyDescent="0.25">
      <c r="A448" s="56"/>
    </row>
  </sheetData>
  <mergeCells count="17">
    <mergeCell ref="J256:L261"/>
    <mergeCell ref="M256:O261"/>
    <mergeCell ref="P256:R261"/>
    <mergeCell ref="S256:U261"/>
    <mergeCell ref="V256:X261"/>
    <mergeCell ref="Z56:AE105"/>
    <mergeCell ref="E56:I105"/>
    <mergeCell ref="Z6:AE55"/>
    <mergeCell ref="B2:I4"/>
    <mergeCell ref="J2:X4"/>
    <mergeCell ref="B6:D255"/>
    <mergeCell ref="E6:I55"/>
    <mergeCell ref="E206:I255"/>
    <mergeCell ref="Z156:AE205"/>
    <mergeCell ref="E156:I205"/>
    <mergeCell ref="Z106:AE155"/>
    <mergeCell ref="E106:I1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Y153"/>
  <sheetViews>
    <sheetView tabSelected="1" topLeftCell="AP1" zoomScale="73" zoomScaleNormal="73" workbookViewId="0">
      <pane ySplit="6" topLeftCell="A94" activePane="bottomLeft" state="frozen"/>
      <selection activeCell="A6" sqref="A6"/>
      <selection pane="bottomLeft" activeCell="AY100" sqref="AY100"/>
    </sheetView>
  </sheetViews>
  <sheetFormatPr baseColWidth="10" defaultColWidth="11.42578125" defaultRowHeight="16.5" x14ac:dyDescent="0.25"/>
  <cols>
    <col min="1" max="1" width="4" style="1" bestFit="1" customWidth="1"/>
    <col min="2" max="2" width="21.7109375" style="1" customWidth="1"/>
    <col min="3" max="3" width="25.5703125" style="1" hidden="1" customWidth="1"/>
    <col min="4" max="4" width="20.5703125" style="1" hidden="1" customWidth="1"/>
    <col min="5" max="5" width="15.5703125" style="1" hidden="1" customWidth="1"/>
    <col min="6" max="6" width="24.42578125" style="1" hidden="1" customWidth="1"/>
    <col min="7" max="7" width="21.85546875" style="1" hidden="1" customWidth="1"/>
    <col min="8" max="8" width="32.42578125" style="2" customWidth="1"/>
    <col min="9" max="9" width="19" style="1" customWidth="1"/>
    <col min="10" max="10" width="17.85546875" style="1" customWidth="1"/>
    <col min="11" max="11" width="16.5703125" style="1" hidden="1" customWidth="1"/>
    <col min="12" max="12" width="6.28515625" style="1" hidden="1" customWidth="1"/>
    <col min="13" max="13" width="33" style="1" hidden="1" customWidth="1"/>
    <col min="14" max="14" width="42" style="1" hidden="1" customWidth="1"/>
    <col min="15" max="15" width="15.42578125" style="1" hidden="1" customWidth="1"/>
    <col min="16" max="16" width="6.28515625" style="1" hidden="1" customWidth="1"/>
    <col min="17" max="17" width="16" style="1" hidden="1" customWidth="1"/>
    <col min="18" max="18" width="5.85546875" style="1" customWidth="1"/>
    <col min="19" max="19" width="56.7109375" style="2" customWidth="1"/>
    <col min="20" max="20" width="15.140625" style="1" hidden="1" customWidth="1"/>
    <col min="21" max="21" width="6.85546875" style="1" hidden="1" customWidth="1"/>
    <col min="22" max="22" width="5" style="1" hidden="1" customWidth="1"/>
    <col min="23" max="23" width="5.5703125" style="1" hidden="1" customWidth="1"/>
    <col min="24" max="24" width="7.140625" style="1" hidden="1" customWidth="1"/>
    <col min="25" max="25" width="6.7109375" style="1" hidden="1" customWidth="1"/>
    <col min="26" max="26" width="7.5703125" style="1" hidden="1" customWidth="1"/>
    <col min="27" max="27" width="10.5703125" style="1" hidden="1" customWidth="1"/>
    <col min="28" max="28" width="8.7109375" style="1" hidden="1" customWidth="1"/>
    <col min="29" max="29" width="8.85546875" style="1" hidden="1" customWidth="1"/>
    <col min="30" max="30" width="9.28515625" style="1" hidden="1" customWidth="1"/>
    <col min="31" max="31" width="9.42578125" style="1" hidden="1" customWidth="1"/>
    <col min="32" max="32" width="8.42578125" style="1" hidden="1" customWidth="1"/>
    <col min="33" max="33" width="7.28515625" style="1" hidden="1" customWidth="1"/>
    <col min="34" max="34" width="50.28515625" style="2" customWidth="1"/>
    <col min="35" max="35" width="18.85546875" style="1" customWidth="1"/>
    <col min="36" max="36" width="12.5703125" style="122" customWidth="1"/>
    <col min="37" max="37" width="16.140625" style="122" bestFit="1" customWidth="1"/>
    <col min="38" max="38" width="18.5703125" style="123" customWidth="1"/>
    <col min="39" max="39" width="21" style="2" hidden="1" customWidth="1"/>
    <col min="40" max="41" width="62.85546875" style="2" customWidth="1"/>
    <col min="42" max="42" width="15.28515625" style="2" customWidth="1"/>
    <col min="43" max="44" width="57.5703125" style="2" customWidth="1"/>
    <col min="45" max="45" width="16.140625" style="2" customWidth="1"/>
    <col min="46" max="47" width="10.28515625" style="2" customWidth="1"/>
    <col min="48" max="50" width="30.85546875" style="2" customWidth="1"/>
    <col min="51" max="51" width="54.140625" style="2" customWidth="1"/>
    <col min="52" max="94" width="11.42578125" style="2" customWidth="1"/>
    <col min="95" max="16384" width="11.42578125" style="2"/>
  </cols>
  <sheetData>
    <row r="1" spans="1:51" ht="16.5" customHeight="1" x14ac:dyDescent="0.25">
      <c r="A1" s="392" t="s">
        <v>614</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4"/>
    </row>
    <row r="2" spans="1:51" ht="24" customHeight="1" x14ac:dyDescent="0.25">
      <c r="A2" s="395"/>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7"/>
    </row>
    <row r="3" spans="1:51" x14ac:dyDescent="0.25">
      <c r="A3" s="22"/>
      <c r="B3" s="22"/>
      <c r="C3" s="22"/>
      <c r="D3" s="22"/>
      <c r="E3" s="23"/>
      <c r="F3" s="22"/>
      <c r="G3" s="22"/>
      <c r="H3" s="21"/>
      <c r="I3" s="22"/>
      <c r="J3" s="22"/>
      <c r="K3" s="22"/>
      <c r="L3" s="22"/>
      <c r="M3" s="22"/>
      <c r="N3" s="22"/>
      <c r="O3" s="22"/>
      <c r="P3" s="22"/>
      <c r="Q3" s="22"/>
      <c r="R3" s="22"/>
      <c r="S3" s="21"/>
      <c r="T3" s="22"/>
      <c r="U3" s="22"/>
      <c r="V3" s="22"/>
      <c r="W3" s="22"/>
      <c r="X3" s="22"/>
      <c r="Y3" s="22"/>
      <c r="Z3" s="22"/>
      <c r="AA3" s="22"/>
      <c r="AB3" s="22"/>
      <c r="AC3" s="22"/>
      <c r="AD3" s="22"/>
      <c r="AE3" s="22"/>
      <c r="AF3" s="22"/>
      <c r="AG3" s="22"/>
      <c r="AH3" s="21"/>
      <c r="AI3" s="22"/>
      <c r="AJ3" s="120"/>
      <c r="AK3" s="120"/>
      <c r="AL3" s="121"/>
      <c r="AM3" s="21"/>
    </row>
    <row r="4" spans="1:51" x14ac:dyDescent="0.25">
      <c r="A4" s="398" t="s">
        <v>125</v>
      </c>
      <c r="B4" s="399"/>
      <c r="C4" s="399"/>
      <c r="D4" s="399"/>
      <c r="E4" s="399"/>
      <c r="F4" s="399"/>
      <c r="G4" s="399"/>
      <c r="H4" s="399"/>
      <c r="I4" s="399"/>
      <c r="J4" s="400"/>
      <c r="K4" s="398" t="s">
        <v>126</v>
      </c>
      <c r="L4" s="399"/>
      <c r="M4" s="399"/>
      <c r="N4" s="399"/>
      <c r="O4" s="399"/>
      <c r="P4" s="399"/>
      <c r="Q4" s="400"/>
      <c r="R4" s="398" t="s">
        <v>127</v>
      </c>
      <c r="S4" s="399"/>
      <c r="T4" s="399"/>
      <c r="U4" s="399"/>
      <c r="V4" s="399"/>
      <c r="W4" s="399"/>
      <c r="X4" s="399"/>
      <c r="Y4" s="399"/>
      <c r="Z4" s="400"/>
      <c r="AA4" s="398" t="s">
        <v>128</v>
      </c>
      <c r="AB4" s="399"/>
      <c r="AC4" s="399"/>
      <c r="AD4" s="399"/>
      <c r="AE4" s="399"/>
      <c r="AF4" s="399"/>
      <c r="AG4" s="400"/>
      <c r="AH4" s="398" t="s">
        <v>34</v>
      </c>
      <c r="AI4" s="399"/>
      <c r="AJ4" s="399"/>
      <c r="AK4" s="399"/>
      <c r="AL4" s="399"/>
      <c r="AM4" s="400"/>
      <c r="AN4" s="435" t="s">
        <v>744</v>
      </c>
      <c r="AO4" s="436"/>
      <c r="AP4" s="436"/>
      <c r="AQ4" s="436"/>
      <c r="AR4" s="436"/>
      <c r="AS4" s="436"/>
      <c r="AT4" s="436"/>
      <c r="AU4" s="436"/>
      <c r="AV4" s="436"/>
      <c r="AW4" s="436"/>
      <c r="AX4" s="436"/>
      <c r="AY4" s="436"/>
    </row>
    <row r="5" spans="1:51" ht="16.5" customHeight="1" x14ac:dyDescent="0.25">
      <c r="A5" s="404" t="s">
        <v>0</v>
      </c>
      <c r="B5" s="385" t="s">
        <v>188</v>
      </c>
      <c r="C5" s="385" t="s">
        <v>189</v>
      </c>
      <c r="D5" s="385" t="s">
        <v>172</v>
      </c>
      <c r="E5" s="384" t="s">
        <v>2</v>
      </c>
      <c r="F5" s="385" t="s">
        <v>3</v>
      </c>
      <c r="G5" s="385" t="s">
        <v>38</v>
      </c>
      <c r="H5" s="406" t="s">
        <v>1</v>
      </c>
      <c r="I5" s="387" t="s">
        <v>44</v>
      </c>
      <c r="J5" s="385" t="s">
        <v>121</v>
      </c>
      <c r="K5" s="388" t="s">
        <v>33</v>
      </c>
      <c r="L5" s="440" t="s">
        <v>5</v>
      </c>
      <c r="M5" s="387" t="s">
        <v>80</v>
      </c>
      <c r="N5" s="387" t="s">
        <v>85</v>
      </c>
      <c r="O5" s="441" t="s">
        <v>39</v>
      </c>
      <c r="P5" s="440" t="s">
        <v>5</v>
      </c>
      <c r="Q5" s="385" t="s">
        <v>42</v>
      </c>
      <c r="R5" s="401" t="s">
        <v>11</v>
      </c>
      <c r="S5" s="386" t="s">
        <v>137</v>
      </c>
      <c r="T5" s="387" t="s">
        <v>12</v>
      </c>
      <c r="U5" s="386" t="s">
        <v>8</v>
      </c>
      <c r="V5" s="386"/>
      <c r="W5" s="386"/>
      <c r="X5" s="386"/>
      <c r="Y5" s="386"/>
      <c r="Z5" s="386"/>
      <c r="AA5" s="403" t="s">
        <v>124</v>
      </c>
      <c r="AB5" s="403" t="s">
        <v>40</v>
      </c>
      <c r="AC5" s="403" t="s">
        <v>5</v>
      </c>
      <c r="AD5" s="403" t="s">
        <v>41</v>
      </c>
      <c r="AE5" s="403" t="s">
        <v>5</v>
      </c>
      <c r="AF5" s="403" t="s">
        <v>43</v>
      </c>
      <c r="AG5" s="401" t="s">
        <v>29</v>
      </c>
      <c r="AH5" s="386" t="s">
        <v>190</v>
      </c>
      <c r="AI5" s="386" t="s">
        <v>204</v>
      </c>
      <c r="AJ5" s="386" t="s">
        <v>194</v>
      </c>
      <c r="AK5" s="386" t="s">
        <v>195</v>
      </c>
      <c r="AL5" s="386" t="s">
        <v>596</v>
      </c>
      <c r="AM5" s="386" t="s">
        <v>35</v>
      </c>
      <c r="AN5" s="437" t="s">
        <v>599</v>
      </c>
      <c r="AO5" s="438"/>
      <c r="AP5" s="439"/>
      <c r="AQ5" s="437" t="s">
        <v>600</v>
      </c>
      <c r="AR5" s="438"/>
      <c r="AS5" s="439"/>
      <c r="AT5" s="386" t="s">
        <v>601</v>
      </c>
      <c r="AU5" s="386"/>
      <c r="AV5" s="386"/>
      <c r="AW5" s="386" t="s">
        <v>602</v>
      </c>
      <c r="AX5" s="386"/>
      <c r="AY5" s="386" t="s">
        <v>603</v>
      </c>
    </row>
    <row r="6" spans="1:51" s="199" customFormat="1" ht="58.5" customHeight="1" x14ac:dyDescent="0.25">
      <c r="A6" s="405"/>
      <c r="B6" s="386"/>
      <c r="C6" s="386"/>
      <c r="D6" s="386"/>
      <c r="E6" s="384"/>
      <c r="F6" s="386"/>
      <c r="G6" s="386"/>
      <c r="H6" s="384"/>
      <c r="I6" s="385"/>
      <c r="J6" s="386"/>
      <c r="K6" s="385"/>
      <c r="L6" s="435"/>
      <c r="M6" s="385"/>
      <c r="N6" s="385"/>
      <c r="O6" s="435"/>
      <c r="P6" s="435"/>
      <c r="Q6" s="386"/>
      <c r="R6" s="402"/>
      <c r="S6" s="386"/>
      <c r="T6" s="385"/>
      <c r="U6" s="4" t="s">
        <v>13</v>
      </c>
      <c r="V6" s="4" t="s">
        <v>17</v>
      </c>
      <c r="W6" s="4" t="s">
        <v>28</v>
      </c>
      <c r="X6" s="4" t="s">
        <v>18</v>
      </c>
      <c r="Y6" s="4" t="s">
        <v>21</v>
      </c>
      <c r="Z6" s="4" t="s">
        <v>24</v>
      </c>
      <c r="AA6" s="403"/>
      <c r="AB6" s="403"/>
      <c r="AC6" s="403"/>
      <c r="AD6" s="403"/>
      <c r="AE6" s="403"/>
      <c r="AF6" s="403"/>
      <c r="AG6" s="402"/>
      <c r="AH6" s="386"/>
      <c r="AI6" s="386"/>
      <c r="AJ6" s="386"/>
      <c r="AK6" s="386"/>
      <c r="AL6" s="386"/>
      <c r="AM6" s="386"/>
      <c r="AN6" s="214" t="s">
        <v>604</v>
      </c>
      <c r="AO6" s="214" t="s">
        <v>605</v>
      </c>
      <c r="AP6" s="214" t="s">
        <v>606</v>
      </c>
      <c r="AQ6" s="214" t="s">
        <v>607</v>
      </c>
      <c r="AR6" s="214" t="s">
        <v>608</v>
      </c>
      <c r="AS6" s="214" t="s">
        <v>606</v>
      </c>
      <c r="AT6" s="214" t="s">
        <v>609</v>
      </c>
      <c r="AU6" s="214" t="s">
        <v>610</v>
      </c>
      <c r="AV6" s="214" t="s">
        <v>611</v>
      </c>
      <c r="AW6" s="214" t="s">
        <v>612</v>
      </c>
      <c r="AX6" s="214" t="s">
        <v>613</v>
      </c>
      <c r="AY6" s="437"/>
    </row>
    <row r="7" spans="1:51" s="149" customFormat="1" ht="372.75" customHeight="1" x14ac:dyDescent="0.25">
      <c r="A7" s="375">
        <v>1</v>
      </c>
      <c r="B7" s="342" t="s">
        <v>327</v>
      </c>
      <c r="C7" s="366" t="s">
        <v>376</v>
      </c>
      <c r="D7" s="366" t="s">
        <v>191</v>
      </c>
      <c r="E7" s="365" t="s">
        <v>118</v>
      </c>
      <c r="F7" s="365" t="s">
        <v>432</v>
      </c>
      <c r="G7" s="365" t="s">
        <v>433</v>
      </c>
      <c r="H7" s="370" t="s">
        <v>538</v>
      </c>
      <c r="I7" s="365" t="s">
        <v>115</v>
      </c>
      <c r="J7" s="368">
        <v>4</v>
      </c>
      <c r="K7" s="360" t="str">
        <f>IF(J7&lt;=0,"",IF(J7&lt;=2,"Muy Baja",IF(J7&lt;=24,"Baja",IF(J7&lt;=500,"Media",IF(J7&lt;=5000,"Alta","Muy Alta")))))</f>
        <v>Baja</v>
      </c>
      <c r="L7" s="357">
        <f>IF(K7="","",IF(K7="Muy Baja",0.2,IF(K7="Baja",0.4,IF(K7="Media",0.6,IF(K7="Alta",0.8,IF(K7="Muy Alta",1,))))))</f>
        <v>0.4</v>
      </c>
      <c r="M7" s="363" t="s">
        <v>484</v>
      </c>
      <c r="N7" s="127" t="str">
        <f ca="1">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60" t="str">
        <f ca="1">IF(OR(N7='Tabla Impacto'!$C$11,N7='Tabla Impacto'!$D$11),"Leve",IF(OR(N7='Tabla Impacto'!$C$12,N7='Tabla Impacto'!$D$12),"Menor",IF(OR(N7='Tabla Impacto'!$C$13,N7='Tabla Impacto'!$D$13),"Moderado",IF(OR(N7='Tabla Impacto'!$C$14,N7='Tabla Impacto'!$D$14),"Mayor",IF(OR(N7='Tabla Impacto'!$C$15,N7='Tabla Impacto'!$D$15),"Catastrófico","")))))</f>
        <v>Moderado</v>
      </c>
      <c r="P7" s="357">
        <f ca="1">IF(O7="","",IF(O7="Leve",0.2,IF(O7="Menor",0.4,IF(O7="Moderado",0.6,IF(O7="Mayor",0.8,IF(O7="Catastrófico",1,))))))</f>
        <v>0.6</v>
      </c>
      <c r="Q7" s="354" t="str">
        <f ca="1">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28">
        <v>1</v>
      </c>
      <c r="S7" s="97" t="s">
        <v>192</v>
      </c>
      <c r="T7" s="129" t="str">
        <f>IF(OR(U7="Preventivo",U7="Detectivo"),"Probabilidad",IF(U7="Correctivo","Impacto",""))</f>
        <v>Probabilidad</v>
      </c>
      <c r="U7" s="130" t="s">
        <v>14</v>
      </c>
      <c r="V7" s="130" t="s">
        <v>9</v>
      </c>
      <c r="W7" s="131" t="str">
        <f>IF(AND(U7="Preventivo",V7="Automático"),"50%",IF(AND(U7="Preventivo",V7="Manual"),"40%",IF(AND(U7="Detectivo",V7="Automático"),"40%",IF(AND(U7="Detectivo",V7="Manual"),"30%",IF(AND(U7="Correctivo",V7="Automático"),"35%",IF(AND(U7="Correctivo",V7="Manual"),"25%",""))))))</f>
        <v>40%</v>
      </c>
      <c r="X7" s="130" t="s">
        <v>19</v>
      </c>
      <c r="Y7" s="130" t="s">
        <v>22</v>
      </c>
      <c r="Z7" s="130" t="s">
        <v>110</v>
      </c>
      <c r="AA7" s="132">
        <f>IFERROR(IF(T7="Probabilidad",($L$7-(+$L$7*W7)),IF(T7="Impacto",$L$7,"")),"")</f>
        <v>0.24</v>
      </c>
      <c r="AB7" s="133" t="str">
        <f>IFERROR(IF(AA7="","",IF(AA7&lt;=0.2,"Muy Baja",IF(AA7&lt;=0.4,"Baja",IF(AA7&lt;=0.6,"Media",IF(AA7&lt;=0.8,"Alta","Muy Alta"))))),"")</f>
        <v>Baja</v>
      </c>
      <c r="AC7" s="134">
        <f>+AA7</f>
        <v>0.24</v>
      </c>
      <c r="AD7" s="133" t="str">
        <f ca="1">IFERROR(IF(AE7="","",IF(AE7&lt;=0.2,"Leve",IF(AE7&lt;=0.4,"Menor",IF(AE7&lt;=0.6,"Moderado",IF(AE7&lt;=0.8,"Mayor","Catastrófico"))))),"")</f>
        <v>Moderado</v>
      </c>
      <c r="AE7" s="134">
        <f ca="1">IFERROR(IF(T7="Impacto",($P$7-(+$P$7*W7)),IF(T7="Probabilidad",$P$7,"")),"")</f>
        <v>0.6</v>
      </c>
      <c r="AF7" s="135" t="str">
        <f ca="1">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36" t="s">
        <v>122</v>
      </c>
      <c r="AH7" s="124" t="s">
        <v>537</v>
      </c>
      <c r="AI7" s="125" t="s">
        <v>203</v>
      </c>
      <c r="AJ7" s="137" t="s">
        <v>196</v>
      </c>
      <c r="AK7" s="137" t="s">
        <v>196</v>
      </c>
      <c r="AL7" s="97" t="s">
        <v>193</v>
      </c>
      <c r="AM7" s="125"/>
      <c r="AN7" s="216" t="s">
        <v>618</v>
      </c>
      <c r="AO7" s="221" t="s">
        <v>619</v>
      </c>
      <c r="AP7" s="215">
        <v>0.33</v>
      </c>
      <c r="AQ7" s="221" t="s">
        <v>620</v>
      </c>
      <c r="AR7" s="221" t="s">
        <v>621</v>
      </c>
      <c r="AS7" s="215">
        <v>0.33</v>
      </c>
      <c r="AT7" s="137"/>
      <c r="AU7" s="137" t="s">
        <v>616</v>
      </c>
      <c r="AV7" s="137" t="s">
        <v>622</v>
      </c>
      <c r="AW7" s="137" t="s">
        <v>622</v>
      </c>
      <c r="AX7" s="137" t="s">
        <v>622</v>
      </c>
      <c r="AY7" s="137"/>
    </row>
    <row r="8" spans="1:51" s="149" customFormat="1" ht="167.25" hidden="1" customHeight="1" x14ac:dyDescent="0.25">
      <c r="A8" s="374"/>
      <c r="B8" s="343"/>
      <c r="C8" s="373"/>
      <c r="D8" s="367"/>
      <c r="E8" s="353"/>
      <c r="F8" s="353"/>
      <c r="G8" s="353"/>
      <c r="H8" s="371"/>
      <c r="I8" s="353"/>
      <c r="J8" s="369"/>
      <c r="K8" s="361"/>
      <c r="L8" s="358"/>
      <c r="M8" s="364"/>
      <c r="N8" s="138"/>
      <c r="O8" s="361"/>
      <c r="P8" s="358"/>
      <c r="Q8" s="355"/>
      <c r="R8" s="128">
        <v>2</v>
      </c>
      <c r="S8" s="97"/>
      <c r="T8" s="129" t="str">
        <f t="shared" ref="T8:T9" si="0">IF(OR(U8="Preventivo",U8="Detectivo"),"Probabilidad",IF(U8="Correctivo","Impacto",""))</f>
        <v/>
      </c>
      <c r="U8" s="130"/>
      <c r="V8" s="130"/>
      <c r="W8" s="131" t="str">
        <f t="shared" ref="W8" si="1">IF(AND(U8="Preventivo",V8="Automático"),"50%",IF(AND(U8="Preventivo",V8="Manual"),"40%",IF(AND(U8="Detectivo",V8="Automático"),"40%",IF(AND(U8="Detectivo",V8="Manual"),"30%",IF(AND(U8="Correctivo",V8="Automático"),"35%",IF(AND(U8="Correctivo",V8="Manual"),"25%",""))))))</f>
        <v/>
      </c>
      <c r="X8" s="130"/>
      <c r="Y8" s="130"/>
      <c r="Z8" s="130"/>
      <c r="AA8" s="132" t="str">
        <f>IFERROR(IF(T8="Probabilidad",(AA7-(+AA7*W8)),IF(T8="Impacto",$L$7,"")),"")</f>
        <v/>
      </c>
      <c r="AB8" s="133" t="str">
        <f t="shared" ref="AB8:AB9" si="2">IFERROR(IF(AA8="","",IF(AA8&lt;=0.2,"Muy Baja",IF(AA8&lt;=0.4,"Baja",IF(AA8&lt;=0.6,"Media",IF(AA8&lt;=0.8,"Alta","Muy Alta"))))),"")</f>
        <v/>
      </c>
      <c r="AC8" s="134" t="str">
        <f t="shared" ref="AC8:AC9" si="3">+AA8</f>
        <v/>
      </c>
      <c r="AD8" s="133" t="str">
        <f t="shared" ref="AD8:AD9" si="4">IFERROR(IF(AE8="","",IF(AE8&lt;=0.2,"Leve",IF(AE8&lt;=0.4,"Menor",IF(AE8&lt;=0.6,"Moderado",IF(AE8&lt;=0.8,"Mayor","Catastrófico"))))),"")</f>
        <v/>
      </c>
      <c r="AE8" s="134" t="str">
        <f t="shared" ref="AE8:AE9" si="5">IFERROR(IF(T8="Impacto",($P$7-(+$P$7*W8)),IF(T8="Probabilidad",$P$7,"")),"")</f>
        <v/>
      </c>
      <c r="AF8" s="135"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36"/>
      <c r="AH8" s="97"/>
      <c r="AI8" s="125"/>
      <c r="AJ8" s="137"/>
      <c r="AK8" s="137"/>
      <c r="AL8" s="97"/>
      <c r="AM8" s="125"/>
      <c r="AN8" s="216"/>
      <c r="AO8" s="216"/>
      <c r="AP8" s="137"/>
      <c r="AQ8" s="216"/>
      <c r="AR8" s="216"/>
      <c r="AS8" s="137"/>
      <c r="AT8" s="137"/>
      <c r="AU8" s="137" t="s">
        <v>616</v>
      </c>
      <c r="AV8" s="137" t="s">
        <v>622</v>
      </c>
      <c r="AW8" s="137" t="s">
        <v>622</v>
      </c>
      <c r="AX8" s="137" t="s">
        <v>622</v>
      </c>
      <c r="AY8" s="137"/>
    </row>
    <row r="9" spans="1:51" s="149" customFormat="1" ht="167.25" hidden="1" customHeight="1" x14ac:dyDescent="0.25">
      <c r="A9" s="374"/>
      <c r="B9" s="344"/>
      <c r="C9" s="373"/>
      <c r="D9" s="367"/>
      <c r="E9" s="353"/>
      <c r="F9" s="353"/>
      <c r="G9" s="353"/>
      <c r="H9" s="371"/>
      <c r="I9" s="353"/>
      <c r="J9" s="369"/>
      <c r="K9" s="362"/>
      <c r="L9" s="359"/>
      <c r="M9" s="364"/>
      <c r="N9" s="138"/>
      <c r="O9" s="362"/>
      <c r="P9" s="359"/>
      <c r="Q9" s="356"/>
      <c r="R9" s="128">
        <v>3</v>
      </c>
      <c r="S9" s="97"/>
      <c r="T9" s="129" t="str">
        <f t="shared" si="0"/>
        <v/>
      </c>
      <c r="U9" s="130"/>
      <c r="V9" s="130"/>
      <c r="W9" s="131"/>
      <c r="X9" s="130"/>
      <c r="Y9" s="130"/>
      <c r="Z9" s="130"/>
      <c r="AA9" s="132" t="str">
        <f>IFERROR(IF(T9="Probabilidad",(AA8-(+AA8*W9)),IF(T9="Impacto",$L$7,"")),"")</f>
        <v/>
      </c>
      <c r="AB9" s="133" t="str">
        <f t="shared" si="2"/>
        <v/>
      </c>
      <c r="AC9" s="134" t="str">
        <f t="shared" si="3"/>
        <v/>
      </c>
      <c r="AD9" s="133" t="str">
        <f t="shared" si="4"/>
        <v/>
      </c>
      <c r="AE9" s="134" t="str">
        <f t="shared" si="5"/>
        <v/>
      </c>
      <c r="AF9" s="135" t="str">
        <f t="shared" si="6"/>
        <v/>
      </c>
      <c r="AG9" s="136"/>
      <c r="AH9" s="97"/>
      <c r="AI9" s="125"/>
      <c r="AJ9" s="137"/>
      <c r="AK9" s="137"/>
      <c r="AL9" s="97"/>
      <c r="AM9" s="125"/>
      <c r="AN9" s="216"/>
      <c r="AO9" s="216"/>
      <c r="AP9" s="137"/>
      <c r="AQ9" s="216"/>
      <c r="AR9" s="216"/>
      <c r="AS9" s="137"/>
      <c r="AT9" s="137"/>
      <c r="AU9" s="137" t="s">
        <v>616</v>
      </c>
      <c r="AV9" s="137" t="s">
        <v>622</v>
      </c>
      <c r="AW9" s="137" t="s">
        <v>622</v>
      </c>
      <c r="AX9" s="137" t="s">
        <v>622</v>
      </c>
      <c r="AY9" s="137"/>
    </row>
    <row r="10" spans="1:51" s="149" customFormat="1" ht="204" customHeight="1" x14ac:dyDescent="0.25">
      <c r="A10" s="374">
        <v>2</v>
      </c>
      <c r="B10" s="342" t="s">
        <v>327</v>
      </c>
      <c r="C10" s="366" t="s">
        <v>376</v>
      </c>
      <c r="D10" s="366" t="s">
        <v>191</v>
      </c>
      <c r="E10" s="365" t="s">
        <v>120</v>
      </c>
      <c r="F10" s="352" t="s">
        <v>434</v>
      </c>
      <c r="G10" s="378" t="s">
        <v>435</v>
      </c>
      <c r="H10" s="380" t="s">
        <v>377</v>
      </c>
      <c r="I10" s="365" t="s">
        <v>328</v>
      </c>
      <c r="J10" s="368">
        <v>160</v>
      </c>
      <c r="K10" s="360" t="str">
        <f>IF(J10&lt;=0,"",IF(J10&lt;=2,"Muy Baja",IF(J10&lt;=24,"Baja",IF(J10&lt;=500,"Media",IF(J10&lt;=5000,"Alta","Muy Alta")))))</f>
        <v>Media</v>
      </c>
      <c r="L10" s="357">
        <f>IF(K10="","",IF(K10="Muy Baja",0.2,IF(K10="Baja",0.4,IF(K10="Media",0.6,IF(K10="Alta",0.8,IF(K10="Muy Alta",1,))))))</f>
        <v>0.6</v>
      </c>
      <c r="M10" s="363" t="s">
        <v>484</v>
      </c>
      <c r="N10" s="127" t="str">
        <f ca="1">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60" t="str">
        <f ca="1">IF(OR(N10='Tabla Impacto'!$C$11,N10='Tabla Impacto'!$D$11),"Leve",IF(OR(N10='Tabla Impacto'!$C$12,N10='Tabla Impacto'!$D$12),"Menor",IF(OR(N10='Tabla Impacto'!$C$13,N10='Tabla Impacto'!$D$13),"Moderado",IF(OR(N10='Tabla Impacto'!$C$14,N10='Tabla Impacto'!$D$14),"Mayor",IF(OR(N10='Tabla Impacto'!$C$15,N10='Tabla Impacto'!$D$15),"Catastrófico","")))))</f>
        <v>Moderado</v>
      </c>
      <c r="P10" s="357">
        <f ca="1">IF(O10="","",IF(O10="Leve",0.2,IF(O10="Menor",0.4,IF(O10="Moderado",0.6,IF(O10="Mayor",0.8,IF(O10="Catastrófico",1,))))))</f>
        <v>0.6</v>
      </c>
      <c r="Q10" s="354" t="str">
        <f ca="1">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28">
        <v>1</v>
      </c>
      <c r="S10" s="97" t="s">
        <v>197</v>
      </c>
      <c r="T10" s="129" t="str">
        <f t="shared" ref="T10:T13" si="7">IF(OR(U10="Preventivo",U10="Detectivo"),"Probabilidad",IF(U10="Correctivo","Impacto",""))</f>
        <v>Probabilidad</v>
      </c>
      <c r="U10" s="130" t="s">
        <v>14</v>
      </c>
      <c r="V10" s="130" t="s">
        <v>9</v>
      </c>
      <c r="W10" s="131" t="str">
        <f t="shared" ref="W10:W13" si="8">IF(AND(U10="Preventivo",V10="Automático"),"50%",IF(AND(U10="Preventivo",V10="Manual"),"40%",IF(AND(U10="Detectivo",V10="Automático"),"40%",IF(AND(U10="Detectivo",V10="Manual"),"30%",IF(AND(U10="Correctivo",V10="Automático"),"35%",IF(AND(U10="Correctivo",V10="Manual"),"25%",""))))))</f>
        <v>40%</v>
      </c>
      <c r="X10" s="130" t="s">
        <v>19</v>
      </c>
      <c r="Y10" s="130" t="s">
        <v>22</v>
      </c>
      <c r="Z10" s="130" t="s">
        <v>110</v>
      </c>
      <c r="AA10" s="132">
        <f t="shared" ref="AA10:AA13" si="9">IFERROR(IF(T10="Probabilidad",(L10-(+L10*W10)),IF(T10="Impacto",L10,"")),"")</f>
        <v>0.36</v>
      </c>
      <c r="AB10" s="133" t="str">
        <f t="shared" ref="AB10:AB13" si="10">IFERROR(IF(AA10="","",IF(AA10&lt;=0.2,"Muy Baja",IF(AA10&lt;=0.4,"Baja",IF(AA10&lt;=0.6,"Media",IF(AA10&lt;=0.8,"Alta","Muy Alta"))))),"")</f>
        <v>Baja</v>
      </c>
      <c r="AC10" s="134">
        <f t="shared" ref="AC10:AC13" si="11">+AA10</f>
        <v>0.36</v>
      </c>
      <c r="AD10" s="133" t="str">
        <f t="shared" ref="AD10:AD13" ca="1" si="12">IFERROR(IF(AE10="","",IF(AE10&lt;=0.2,"Leve",IF(AE10&lt;=0.4,"Menor",IF(AE10&lt;=0.6,"Moderado",IF(AE10&lt;=0.8,"Mayor","Catastrófico"))))),"")</f>
        <v>Moderado</v>
      </c>
      <c r="AE10" s="134">
        <f t="shared" ref="AE10:AE13" ca="1" si="13">IFERROR(IF(T10="Impacto",(P10-(+P10*W10)),IF(T10="Probabilidad",P10,"")),"")</f>
        <v>0.6</v>
      </c>
      <c r="AF10" s="135" t="str">
        <f t="shared" ref="AF10:AF13" ca="1"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36" t="s">
        <v>122</v>
      </c>
      <c r="AH10" s="97" t="s">
        <v>378</v>
      </c>
      <c r="AI10" s="125" t="s">
        <v>198</v>
      </c>
      <c r="AJ10" s="137" t="s">
        <v>199</v>
      </c>
      <c r="AK10" s="137" t="s">
        <v>199</v>
      </c>
      <c r="AL10" s="97" t="s">
        <v>379</v>
      </c>
      <c r="AM10" s="125"/>
      <c r="AN10" s="216" t="s">
        <v>623</v>
      </c>
      <c r="AO10" s="216" t="s">
        <v>624</v>
      </c>
      <c r="AP10" s="215">
        <v>0.33</v>
      </c>
      <c r="AQ10" s="216" t="s">
        <v>625</v>
      </c>
      <c r="AR10" s="216" t="s">
        <v>626</v>
      </c>
      <c r="AS10" s="215">
        <v>0.33</v>
      </c>
      <c r="AT10" s="137"/>
      <c r="AU10" s="137" t="s">
        <v>616</v>
      </c>
      <c r="AV10" s="137" t="s">
        <v>622</v>
      </c>
      <c r="AW10" s="137" t="s">
        <v>622</v>
      </c>
      <c r="AX10" s="137" t="s">
        <v>622</v>
      </c>
      <c r="AY10" s="137"/>
    </row>
    <row r="11" spans="1:51" s="149" customFormat="1" ht="151.5" hidden="1" customHeight="1" x14ac:dyDescent="0.25">
      <c r="A11" s="374"/>
      <c r="B11" s="343"/>
      <c r="C11" s="373"/>
      <c r="D11" s="367"/>
      <c r="E11" s="353"/>
      <c r="F11" s="353"/>
      <c r="G11" s="379"/>
      <c r="H11" s="381"/>
      <c r="I11" s="353"/>
      <c r="J11" s="369"/>
      <c r="K11" s="361"/>
      <c r="L11" s="358"/>
      <c r="M11" s="364"/>
      <c r="N11" s="138"/>
      <c r="O11" s="361"/>
      <c r="P11" s="358"/>
      <c r="Q11" s="355"/>
      <c r="R11" s="128">
        <v>2</v>
      </c>
      <c r="S11" s="97"/>
      <c r="T11" s="129" t="str">
        <f t="shared" ref="T11:T12" si="15">IF(OR(U11="Preventivo",U11="Detectivo"),"Probabilidad",IF(U11="Correctivo","Impacto",""))</f>
        <v/>
      </c>
      <c r="U11" s="130"/>
      <c r="V11" s="130"/>
      <c r="W11" s="131"/>
      <c r="X11" s="130"/>
      <c r="Y11" s="130"/>
      <c r="Z11" s="130"/>
      <c r="AA11" s="132" t="str">
        <f>IFERROR(IF(T11="Probabilidad",(AA10-(+AA10*W11)),IF(T11="Impacto",L10,"")),"")</f>
        <v/>
      </c>
      <c r="AB11" s="133" t="str">
        <f t="shared" ref="AB11:AB12" si="16">IFERROR(IF(AA11="","",IF(AA11&lt;=0.2,"Muy Baja",IF(AA11&lt;=0.4,"Baja",IF(AA11&lt;=0.6,"Media",IF(AA11&lt;=0.8,"Alta","Muy Alta"))))),"")</f>
        <v/>
      </c>
      <c r="AC11" s="134" t="str">
        <f t="shared" ref="AC11:AC12" si="17">+AA11</f>
        <v/>
      </c>
      <c r="AD11" s="133" t="str">
        <f t="shared" ref="AD11:AD12" si="18">IFERROR(IF(AE11="","",IF(AE11&lt;=0.2,"Leve",IF(AE11&lt;=0.4,"Menor",IF(AE11&lt;=0.6,"Moderado",IF(AE11&lt;=0.8,"Mayor","Catastrófico"))))),"")</f>
        <v/>
      </c>
      <c r="AE11" s="134" t="str">
        <f>IFERROR(IF(T11="Impacto",(P10-(+P10*W11)),IF(T11="Probabilidad",P10,"")),"")</f>
        <v/>
      </c>
      <c r="AF11" s="135"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36"/>
      <c r="AH11" s="97"/>
      <c r="AI11" s="125"/>
      <c r="AJ11" s="137"/>
      <c r="AK11" s="137"/>
      <c r="AL11" s="97"/>
      <c r="AM11" s="125"/>
      <c r="AN11" s="216"/>
      <c r="AO11" s="216"/>
      <c r="AP11" s="137"/>
      <c r="AQ11" s="216"/>
      <c r="AR11" s="216"/>
      <c r="AS11" s="215">
        <v>0.33</v>
      </c>
      <c r="AT11" s="137"/>
      <c r="AU11" s="137" t="s">
        <v>616</v>
      </c>
      <c r="AV11" s="137" t="s">
        <v>622</v>
      </c>
      <c r="AW11" s="137" t="s">
        <v>622</v>
      </c>
      <c r="AX11" s="137" t="s">
        <v>622</v>
      </c>
      <c r="AY11" s="137"/>
    </row>
    <row r="12" spans="1:51" s="149" customFormat="1" ht="151.5" hidden="1" customHeight="1" x14ac:dyDescent="0.25">
      <c r="A12" s="374"/>
      <c r="B12" s="344"/>
      <c r="C12" s="373"/>
      <c r="D12" s="367"/>
      <c r="E12" s="353"/>
      <c r="F12" s="353"/>
      <c r="G12" s="379"/>
      <c r="H12" s="381"/>
      <c r="I12" s="353"/>
      <c r="J12" s="369"/>
      <c r="K12" s="362"/>
      <c r="L12" s="359"/>
      <c r="M12" s="364"/>
      <c r="N12" s="138"/>
      <c r="O12" s="362"/>
      <c r="P12" s="359"/>
      <c r="Q12" s="356"/>
      <c r="R12" s="128">
        <v>3</v>
      </c>
      <c r="S12" s="97"/>
      <c r="T12" s="129" t="str">
        <f t="shared" si="15"/>
        <v/>
      </c>
      <c r="U12" s="130"/>
      <c r="V12" s="130"/>
      <c r="W12" s="131"/>
      <c r="X12" s="130"/>
      <c r="Y12" s="130"/>
      <c r="Z12" s="130"/>
      <c r="AA12" s="132" t="str">
        <f>IFERROR(IF(T12="Probabilidad",(AA11-(+AA11*W12)),IF(T12="Impacto",L10,"")),"")</f>
        <v/>
      </c>
      <c r="AB12" s="133" t="str">
        <f t="shared" si="16"/>
        <v/>
      </c>
      <c r="AC12" s="134" t="str">
        <f t="shared" si="17"/>
        <v/>
      </c>
      <c r="AD12" s="133" t="str">
        <f t="shared" si="18"/>
        <v/>
      </c>
      <c r="AE12" s="134" t="str">
        <f>IFERROR(IF(T12="Impacto",(P10-(+P10*W12)),IF(T12="Probabilidad",P10,"")),"")</f>
        <v/>
      </c>
      <c r="AF12" s="135" t="str">
        <f t="shared" si="19"/>
        <v/>
      </c>
      <c r="AG12" s="136"/>
      <c r="AH12" s="97"/>
      <c r="AI12" s="125"/>
      <c r="AJ12" s="137"/>
      <c r="AK12" s="137"/>
      <c r="AL12" s="97"/>
      <c r="AM12" s="125"/>
      <c r="AN12" s="216"/>
      <c r="AO12" s="216"/>
      <c r="AP12" s="137"/>
      <c r="AQ12" s="216"/>
      <c r="AR12" s="216"/>
      <c r="AS12" s="215">
        <v>0.33</v>
      </c>
      <c r="AT12" s="137"/>
      <c r="AU12" s="137" t="s">
        <v>616</v>
      </c>
      <c r="AV12" s="137" t="s">
        <v>622</v>
      </c>
      <c r="AW12" s="137" t="s">
        <v>622</v>
      </c>
      <c r="AX12" s="137" t="s">
        <v>622</v>
      </c>
      <c r="AY12" s="137"/>
    </row>
    <row r="13" spans="1:51" s="200" customFormat="1" ht="153" x14ac:dyDescent="0.25">
      <c r="A13" s="374">
        <v>3</v>
      </c>
      <c r="B13" s="342" t="s">
        <v>200</v>
      </c>
      <c r="C13" s="366" t="s">
        <v>354</v>
      </c>
      <c r="D13" s="366" t="s">
        <v>374</v>
      </c>
      <c r="E13" s="365" t="s">
        <v>118</v>
      </c>
      <c r="F13" s="365" t="s">
        <v>436</v>
      </c>
      <c r="G13" s="365" t="s">
        <v>201</v>
      </c>
      <c r="H13" s="370" t="s">
        <v>380</v>
      </c>
      <c r="I13" s="365" t="s">
        <v>328</v>
      </c>
      <c r="J13" s="368">
        <v>5000</v>
      </c>
      <c r="K13" s="360" t="str">
        <f>IF(J13&lt;=0,"",IF(J13&lt;=2,"Muy Baja",IF(J13&lt;=24,"Baja",IF(J13&lt;=500,"Media",IF(J13&lt;=5000,"Alta","Muy Alta")))))</f>
        <v>Alta</v>
      </c>
      <c r="L13" s="357">
        <f>IF(K13="","",IF(K13="Muy Baja",0.2,IF(K13="Baja",0.4,IF(K13="Media",0.6,IF(K13="Alta",0.8,IF(K13="Muy Alta",1,))))))</f>
        <v>0.8</v>
      </c>
      <c r="M13" s="363" t="s">
        <v>484</v>
      </c>
      <c r="N13" s="127" t="str">
        <f ca="1">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60" t="str">
        <f ca="1">IF(OR(N13='Tabla Impacto'!$C$11,N13='Tabla Impacto'!$D$11),"Leve",IF(OR(N13='Tabla Impacto'!$C$12,N13='Tabla Impacto'!$D$12),"Menor",IF(OR(N13='Tabla Impacto'!$C$13,N13='Tabla Impacto'!$D$13),"Moderado",IF(OR(N13='Tabla Impacto'!$C$14,N13='Tabla Impacto'!$D$14),"Mayor",IF(OR(N13='Tabla Impacto'!$C$15,N13='Tabla Impacto'!$D$15),"Catastrófico","")))))</f>
        <v>Moderado</v>
      </c>
      <c r="P13" s="357">
        <f ca="1">IF(O13="","",IF(O13="Leve",0.2,IF(O13="Menor",0.4,IF(O13="Moderado",0.6,IF(O13="Mayor",0.8,IF(O13="Catastrófico",1,))))))</f>
        <v>0.6</v>
      </c>
      <c r="Q13" s="354" t="str">
        <f ca="1">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28">
        <v>1</v>
      </c>
      <c r="S13" s="97" t="s">
        <v>202</v>
      </c>
      <c r="T13" s="129" t="str">
        <f t="shared" si="7"/>
        <v>Probabilidad</v>
      </c>
      <c r="U13" s="130" t="s">
        <v>14</v>
      </c>
      <c r="V13" s="130" t="s">
        <v>9</v>
      </c>
      <c r="W13" s="131" t="str">
        <f t="shared" si="8"/>
        <v>40%</v>
      </c>
      <c r="X13" s="130" t="s">
        <v>19</v>
      </c>
      <c r="Y13" s="130" t="s">
        <v>22</v>
      </c>
      <c r="Z13" s="130" t="s">
        <v>110</v>
      </c>
      <c r="AA13" s="132">
        <f t="shared" si="9"/>
        <v>0.48</v>
      </c>
      <c r="AB13" s="133" t="str">
        <f t="shared" si="10"/>
        <v>Media</v>
      </c>
      <c r="AC13" s="134">
        <f t="shared" si="11"/>
        <v>0.48</v>
      </c>
      <c r="AD13" s="133" t="str">
        <f t="shared" ca="1" si="12"/>
        <v>Moderado</v>
      </c>
      <c r="AE13" s="134">
        <f t="shared" ca="1" si="13"/>
        <v>0.6</v>
      </c>
      <c r="AF13" s="135" t="str">
        <f t="shared" ca="1" si="14"/>
        <v>Moderado</v>
      </c>
      <c r="AG13" s="136" t="s">
        <v>122</v>
      </c>
      <c r="AH13" s="124" t="s">
        <v>381</v>
      </c>
      <c r="AI13" s="139" t="s">
        <v>203</v>
      </c>
      <c r="AJ13" s="137" t="s">
        <v>199</v>
      </c>
      <c r="AK13" s="137" t="s">
        <v>199</v>
      </c>
      <c r="AL13" s="97" t="s">
        <v>382</v>
      </c>
      <c r="AM13" s="125"/>
      <c r="AN13" s="97" t="s">
        <v>789</v>
      </c>
      <c r="AO13" s="216" t="s">
        <v>699</v>
      </c>
      <c r="AP13" s="224">
        <v>0.33</v>
      </c>
      <c r="AQ13" s="216" t="s">
        <v>790</v>
      </c>
      <c r="AR13" s="216" t="s">
        <v>745</v>
      </c>
      <c r="AS13" s="215">
        <v>0.33</v>
      </c>
      <c r="AT13" s="137"/>
      <c r="AU13" s="137" t="s">
        <v>616</v>
      </c>
      <c r="AV13" s="137" t="s">
        <v>622</v>
      </c>
      <c r="AW13" s="137" t="s">
        <v>622</v>
      </c>
      <c r="AX13" s="137" t="s">
        <v>622</v>
      </c>
      <c r="AY13" s="137"/>
    </row>
    <row r="14" spans="1:51" s="200" customFormat="1" ht="12.75" hidden="1" x14ac:dyDescent="0.25">
      <c r="A14" s="374"/>
      <c r="B14" s="343"/>
      <c r="C14" s="373"/>
      <c r="D14" s="373"/>
      <c r="E14" s="353"/>
      <c r="F14" s="353"/>
      <c r="G14" s="353"/>
      <c r="H14" s="371"/>
      <c r="I14" s="353"/>
      <c r="J14" s="369"/>
      <c r="K14" s="361"/>
      <c r="L14" s="358"/>
      <c r="M14" s="364"/>
      <c r="N14" s="138"/>
      <c r="O14" s="361"/>
      <c r="P14" s="358"/>
      <c r="Q14" s="355"/>
      <c r="R14" s="128">
        <v>2</v>
      </c>
      <c r="S14" s="140"/>
      <c r="T14" s="129" t="str">
        <f t="shared" ref="T14:T15" si="20">IF(OR(U14="Preventivo",U14="Detectivo"),"Probabilidad",IF(U14="Correctivo","Impacto",""))</f>
        <v/>
      </c>
      <c r="U14" s="130"/>
      <c r="V14" s="130"/>
      <c r="W14" s="131"/>
      <c r="X14" s="130"/>
      <c r="Y14" s="130"/>
      <c r="Z14" s="130"/>
      <c r="AA14" s="132" t="str">
        <f>IFERROR(IF(T14="Probabilidad",(AA13-(+AA13*W14)),IF(T14="Impacto",L13,"")),"")</f>
        <v/>
      </c>
      <c r="AB14" s="133" t="str">
        <f t="shared" ref="AB14:AB15" si="21">IFERROR(IF(AA14="","",IF(AA14&lt;=0.2,"Muy Baja",IF(AA14&lt;=0.4,"Baja",IF(AA14&lt;=0.6,"Media",IF(AA14&lt;=0.8,"Alta","Muy Alta"))))),"")</f>
        <v/>
      </c>
      <c r="AC14" s="134" t="str">
        <f t="shared" ref="AC14:AC15" si="22">+AA14</f>
        <v/>
      </c>
      <c r="AD14" s="133" t="str">
        <f t="shared" ref="AD14:AD15" si="23">IFERROR(IF(AE14="","",IF(AE14&lt;=0.2,"Leve",IF(AE14&lt;=0.4,"Menor",IF(AE14&lt;=0.6,"Moderado",IF(AE14&lt;=0.8,"Mayor","Catastrófico"))))),"")</f>
        <v/>
      </c>
      <c r="AE14" s="134" t="str">
        <f>IFERROR(IF(T14="Impacto",(P13-(+P13*W14)),IF(T14="Probabilidad",P13,"")),"")</f>
        <v/>
      </c>
      <c r="AF14" s="135"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36"/>
      <c r="AH14" s="97"/>
      <c r="AI14" s="125"/>
      <c r="AJ14" s="137"/>
      <c r="AK14" s="137"/>
      <c r="AL14" s="97"/>
      <c r="AM14" s="125"/>
      <c r="AN14" s="216"/>
      <c r="AO14" s="216"/>
      <c r="AP14" s="224"/>
      <c r="AQ14" s="216"/>
      <c r="AR14" s="216"/>
      <c r="AS14" s="137"/>
      <c r="AT14" s="137"/>
      <c r="AU14" s="137" t="s">
        <v>616</v>
      </c>
      <c r="AV14" s="137" t="s">
        <v>622</v>
      </c>
      <c r="AW14" s="137" t="s">
        <v>622</v>
      </c>
      <c r="AX14" s="137" t="s">
        <v>622</v>
      </c>
      <c r="AY14" s="137"/>
    </row>
    <row r="15" spans="1:51" s="200" customFormat="1" ht="12.75" hidden="1" x14ac:dyDescent="0.25">
      <c r="A15" s="374"/>
      <c r="B15" s="344"/>
      <c r="C15" s="373"/>
      <c r="D15" s="373"/>
      <c r="E15" s="353"/>
      <c r="F15" s="382"/>
      <c r="G15" s="382"/>
      <c r="H15" s="383"/>
      <c r="I15" s="353"/>
      <c r="J15" s="369"/>
      <c r="K15" s="362"/>
      <c r="L15" s="359"/>
      <c r="M15" s="364"/>
      <c r="N15" s="138"/>
      <c r="O15" s="362"/>
      <c r="P15" s="359"/>
      <c r="Q15" s="356"/>
      <c r="R15" s="128">
        <v>3</v>
      </c>
      <c r="S15" s="140"/>
      <c r="T15" s="129" t="str">
        <f t="shared" si="20"/>
        <v/>
      </c>
      <c r="U15" s="130"/>
      <c r="V15" s="130"/>
      <c r="W15" s="131"/>
      <c r="X15" s="130"/>
      <c r="Y15" s="130"/>
      <c r="Z15" s="130"/>
      <c r="AA15" s="132" t="str">
        <f>IFERROR(IF(T15="Probabilidad",(AA14-(+AA14*W15)),IF(T15="Impacto",L13,"")),"")</f>
        <v/>
      </c>
      <c r="AB15" s="133" t="str">
        <f t="shared" si="21"/>
        <v/>
      </c>
      <c r="AC15" s="134" t="str">
        <f t="shared" si="22"/>
        <v/>
      </c>
      <c r="AD15" s="133" t="str">
        <f t="shared" si="23"/>
        <v/>
      </c>
      <c r="AE15" s="134" t="str">
        <f>IFERROR(IF(T15="Impacto",(P13-(+P13*W15)),IF(T15="Probabilidad",P13,"")),"")</f>
        <v/>
      </c>
      <c r="AF15" s="135" t="str">
        <f t="shared" si="24"/>
        <v/>
      </c>
      <c r="AG15" s="136"/>
      <c r="AH15" s="97"/>
      <c r="AI15" s="125"/>
      <c r="AJ15" s="137"/>
      <c r="AK15" s="137"/>
      <c r="AL15" s="97"/>
      <c r="AM15" s="125"/>
      <c r="AN15" s="216"/>
      <c r="AO15" s="216"/>
      <c r="AP15" s="224"/>
      <c r="AQ15" s="216"/>
      <c r="AR15" s="216"/>
      <c r="AS15" s="137"/>
      <c r="AT15" s="137"/>
      <c r="AU15" s="137" t="s">
        <v>616</v>
      </c>
      <c r="AV15" s="137" t="s">
        <v>622</v>
      </c>
      <c r="AW15" s="137" t="s">
        <v>622</v>
      </c>
      <c r="AX15" s="137" t="s">
        <v>622</v>
      </c>
      <c r="AY15" s="137"/>
    </row>
    <row r="16" spans="1:51" s="211" customFormat="1" ht="210.75" customHeight="1" x14ac:dyDescent="0.25">
      <c r="A16" s="374">
        <v>5</v>
      </c>
      <c r="B16" s="342" t="s">
        <v>206</v>
      </c>
      <c r="C16" s="366" t="s">
        <v>207</v>
      </c>
      <c r="D16" s="366" t="s">
        <v>375</v>
      </c>
      <c r="E16" s="365" t="s">
        <v>118</v>
      </c>
      <c r="F16" s="365" t="s">
        <v>208</v>
      </c>
      <c r="G16" s="365" t="s">
        <v>209</v>
      </c>
      <c r="H16" s="370" t="s">
        <v>543</v>
      </c>
      <c r="I16" s="365" t="s">
        <v>115</v>
      </c>
      <c r="J16" s="368">
        <v>1</v>
      </c>
      <c r="K16" s="360" t="str">
        <f>IF(J16&lt;=0,"",IF(J16&lt;=2,"Muy Baja",IF(J16&lt;=24,"Baja",IF(J16&lt;=500,"Media",IF(J16&lt;=5000,"Alta","Muy Alta")))))</f>
        <v>Muy Baja</v>
      </c>
      <c r="L16" s="357">
        <f>IF(K16="","",IF(K16="Muy Baja",0.2,IF(K16="Baja",0.4,IF(K16="Media",0.6,IF(K16="Alta",0.8,IF(K16="Muy Alta",1,))))))</f>
        <v>0.2</v>
      </c>
      <c r="M16" s="363" t="s">
        <v>484</v>
      </c>
      <c r="N16" s="189" t="str">
        <f ca="1">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360" t="str">
        <f ca="1">IF(OR(N16='Tabla Impacto'!$C$11,N16='Tabla Impacto'!$D$11),"Leve",IF(OR(N16='Tabla Impacto'!$C$12,N16='Tabla Impacto'!$D$12),"Menor",IF(OR(N16='Tabla Impacto'!$C$13,N16='Tabla Impacto'!$D$13),"Moderado",IF(OR(N16='Tabla Impacto'!$C$14,N16='Tabla Impacto'!$D$14),"Mayor",IF(OR(N16='Tabla Impacto'!$C$15,N16='Tabla Impacto'!$D$15),"Catastrófico","")))))</f>
        <v>Moderado</v>
      </c>
      <c r="P16" s="357">
        <f ca="1">IF(O16="","",IF(O16="Leve",0.2,IF(O16="Menor",0.4,IF(O16="Moderado",0.6,IF(O16="Mayor",0.8,IF(O16="Catastrófico",1,))))))</f>
        <v>0.6</v>
      </c>
      <c r="Q16" s="354" t="str">
        <f ca="1">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91">
        <v>1</v>
      </c>
      <c r="S16" s="124" t="s">
        <v>210</v>
      </c>
      <c r="T16" s="192" t="str">
        <f t="shared" ref="T16:T103" si="25">IF(OR(U16="Preventivo",U16="Detectivo"),"Probabilidad",IF(U16="Correctivo","Impacto",""))</f>
        <v>Probabilidad</v>
      </c>
      <c r="U16" s="193" t="s">
        <v>14</v>
      </c>
      <c r="V16" s="193" t="s">
        <v>9</v>
      </c>
      <c r="W16" s="194" t="str">
        <f t="shared" ref="W16:W103" si="26">IF(AND(U16="Preventivo",V16="Automático"),"50%",IF(AND(U16="Preventivo",V16="Manual"),"40%",IF(AND(U16="Detectivo",V16="Automático"),"40%",IF(AND(U16="Detectivo",V16="Manual"),"30%",IF(AND(U16="Correctivo",V16="Automático"),"35%",IF(AND(U16="Correctivo",V16="Manual"),"25%",""))))))</f>
        <v>40%</v>
      </c>
      <c r="X16" s="193" t="s">
        <v>19</v>
      </c>
      <c r="Y16" s="193" t="s">
        <v>22</v>
      </c>
      <c r="Z16" s="193" t="s">
        <v>110</v>
      </c>
      <c r="AA16" s="146">
        <f t="shared" ref="AA16:AA103" si="27">IFERROR(IF(T16="Probabilidad",(L16-(+L16*W16)),IF(T16="Impacto",L16,"")),"")</f>
        <v>0.12</v>
      </c>
      <c r="AB16" s="195" t="str">
        <f t="shared" ref="AB16:AB103" si="28">IFERROR(IF(AA16="","",IF(AA16&lt;=0.2,"Muy Baja",IF(AA16&lt;=0.4,"Baja",IF(AA16&lt;=0.6,"Media",IF(AA16&lt;=0.8,"Alta","Muy Alta"))))),"")</f>
        <v>Muy Baja</v>
      </c>
      <c r="AC16" s="196">
        <f t="shared" ref="AC16:AC103" si="29">+AA16</f>
        <v>0.12</v>
      </c>
      <c r="AD16" s="195" t="str">
        <f t="shared" ref="AD16:AD103" ca="1" si="30">IFERROR(IF(AE16="","",IF(AE16&lt;=0.2,"Leve",IF(AE16&lt;=0.4,"Menor",IF(AE16&lt;=0.6,"Moderado",IF(AE16&lt;=0.8,"Mayor","Catastrófico"))))),"")</f>
        <v>Moderado</v>
      </c>
      <c r="AE16" s="196">
        <f t="shared" ref="AE16:AE103" ca="1" si="31">IFERROR(IF(T16="Impacto",(P16-(+P16*W16)),IF(T16="Probabilidad",P16,"")),"")</f>
        <v>0.6</v>
      </c>
      <c r="AF16" s="197" t="str">
        <f t="shared" ref="AF16:AF103" ca="1" si="32">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198" t="s">
        <v>122</v>
      </c>
      <c r="AH16" s="124" t="s">
        <v>211</v>
      </c>
      <c r="AI16" s="119" t="s">
        <v>212</v>
      </c>
      <c r="AJ16" s="126">
        <v>44562</v>
      </c>
      <c r="AK16" s="126" t="s">
        <v>373</v>
      </c>
      <c r="AL16" s="124" t="s">
        <v>213</v>
      </c>
      <c r="AM16" s="119"/>
      <c r="AN16" s="97" t="s">
        <v>791</v>
      </c>
      <c r="AO16" s="225" t="s">
        <v>792</v>
      </c>
      <c r="AP16" s="224">
        <v>0.33</v>
      </c>
      <c r="AQ16" s="160" t="s">
        <v>793</v>
      </c>
      <c r="AR16" s="222" t="s">
        <v>794</v>
      </c>
      <c r="AS16" s="215">
        <v>0.33</v>
      </c>
      <c r="AT16" s="219"/>
      <c r="AU16" s="137" t="s">
        <v>616</v>
      </c>
      <c r="AV16" s="137" t="s">
        <v>622</v>
      </c>
      <c r="AW16" s="137" t="s">
        <v>622</v>
      </c>
      <c r="AX16" s="137" t="s">
        <v>622</v>
      </c>
      <c r="AY16" s="137" t="s">
        <v>748</v>
      </c>
    </row>
    <row r="17" spans="1:51" s="211" customFormat="1" ht="151.5" hidden="1" customHeight="1" x14ac:dyDescent="0.25">
      <c r="A17" s="374"/>
      <c r="B17" s="343"/>
      <c r="C17" s="367"/>
      <c r="D17" s="373"/>
      <c r="E17" s="353"/>
      <c r="F17" s="353"/>
      <c r="G17" s="353"/>
      <c r="H17" s="371"/>
      <c r="I17" s="353"/>
      <c r="J17" s="369"/>
      <c r="K17" s="361"/>
      <c r="L17" s="358"/>
      <c r="M17" s="364"/>
      <c r="N17" s="190"/>
      <c r="O17" s="361"/>
      <c r="P17" s="358"/>
      <c r="Q17" s="355"/>
      <c r="R17" s="191">
        <v>2</v>
      </c>
      <c r="S17" s="124"/>
      <c r="T17" s="192" t="str">
        <f t="shared" ref="T17:T18" si="33">IF(OR(U17="Preventivo",U17="Detectivo"),"Probabilidad",IF(U17="Correctivo","Impacto",""))</f>
        <v/>
      </c>
      <c r="U17" s="193"/>
      <c r="V17" s="193"/>
      <c r="W17" s="194"/>
      <c r="X17" s="193"/>
      <c r="Y17" s="193"/>
      <c r="Z17" s="193"/>
      <c r="AA17" s="147" t="str">
        <f>IFERROR(IF(T17="Probabilidad",(AA16-(+AA16*W17)),IF(T17="Impacto",L17,"")),"")</f>
        <v/>
      </c>
      <c r="AB17" s="195" t="str">
        <f t="shared" ref="AB17:AB18" si="34">IFERROR(IF(AA17="","",IF(AA17&lt;=0.2,"Muy Baja",IF(AA17&lt;=0.4,"Baja",IF(AA17&lt;=0.6,"Media",IF(AA17&lt;=0.8,"Alta","Muy Alta"))))),"")</f>
        <v/>
      </c>
      <c r="AC17" s="196" t="str">
        <f t="shared" ref="AC17:AC18" si="35">+AA17</f>
        <v/>
      </c>
      <c r="AD17" s="195" t="str">
        <f t="shared" ref="AD17:AD18" si="36">IFERROR(IF(AE17="","",IF(AE17&lt;=0.2,"Leve",IF(AE17&lt;=0.4,"Menor",IF(AE17&lt;=0.6,"Moderado",IF(AE17&lt;=0.8,"Mayor","Catastrófico"))))),"")</f>
        <v/>
      </c>
      <c r="AE17" s="196" t="str">
        <f t="shared" ref="AE17:AE18" si="37">IFERROR(IF(T17="Impacto",(P17-(+P17*W17)),IF(T17="Probabilidad",P17,"")),"")</f>
        <v/>
      </c>
      <c r="AF17" s="197" t="str">
        <f t="shared" ref="AF17:AF18" si="38">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198"/>
      <c r="AH17" s="124"/>
      <c r="AI17" s="119"/>
      <c r="AJ17" s="126"/>
      <c r="AK17" s="126"/>
      <c r="AL17" s="124"/>
      <c r="AM17" s="119"/>
      <c r="AN17" s="216"/>
      <c r="AO17" s="216"/>
      <c r="AP17" s="137"/>
      <c r="AQ17" s="216"/>
      <c r="AR17" s="216"/>
      <c r="AS17" s="137"/>
      <c r="AT17" s="137"/>
      <c r="AU17" s="137" t="s">
        <v>616</v>
      </c>
      <c r="AV17" s="137" t="s">
        <v>622</v>
      </c>
      <c r="AW17" s="137" t="s">
        <v>622</v>
      </c>
      <c r="AX17" s="137" t="s">
        <v>622</v>
      </c>
      <c r="AY17" s="137"/>
    </row>
    <row r="18" spans="1:51" s="149" customFormat="1" ht="151.5" hidden="1" customHeight="1" x14ac:dyDescent="0.25">
      <c r="A18" s="376"/>
      <c r="B18" s="344"/>
      <c r="C18" s="367"/>
      <c r="D18" s="373"/>
      <c r="E18" s="353"/>
      <c r="F18" s="353"/>
      <c r="G18" s="353"/>
      <c r="H18" s="371"/>
      <c r="I18" s="353"/>
      <c r="J18" s="369"/>
      <c r="K18" s="362"/>
      <c r="L18" s="359"/>
      <c r="M18" s="364"/>
      <c r="N18" s="138"/>
      <c r="O18" s="362"/>
      <c r="P18" s="359"/>
      <c r="Q18" s="356"/>
      <c r="R18" s="128">
        <v>3</v>
      </c>
      <c r="S18" s="97"/>
      <c r="T18" s="129" t="str">
        <f t="shared" si="33"/>
        <v/>
      </c>
      <c r="U18" s="130"/>
      <c r="V18" s="130"/>
      <c r="W18" s="131"/>
      <c r="X18" s="130"/>
      <c r="Y18" s="130"/>
      <c r="Z18" s="130"/>
      <c r="AA18" s="141" t="str">
        <f>IFERROR(IF(T18="Probabilidad",(AA17-(+AA17*W18)),IF(T18="Impacto",L18,"")),"")</f>
        <v/>
      </c>
      <c r="AB18" s="133" t="str">
        <f t="shared" si="34"/>
        <v/>
      </c>
      <c r="AC18" s="134" t="str">
        <f t="shared" si="35"/>
        <v/>
      </c>
      <c r="AD18" s="133" t="str">
        <f t="shared" si="36"/>
        <v/>
      </c>
      <c r="AE18" s="134" t="str">
        <f t="shared" si="37"/>
        <v/>
      </c>
      <c r="AF18" s="135" t="str">
        <f t="shared" si="38"/>
        <v/>
      </c>
      <c r="AG18" s="136"/>
      <c r="AH18" s="97"/>
      <c r="AI18" s="125"/>
      <c r="AJ18" s="137"/>
      <c r="AK18" s="137"/>
      <c r="AL18" s="97"/>
      <c r="AM18" s="125"/>
      <c r="AN18" s="216"/>
      <c r="AO18" s="216"/>
      <c r="AP18" s="137"/>
      <c r="AQ18" s="216"/>
      <c r="AR18" s="216"/>
      <c r="AS18" s="137"/>
      <c r="AT18" s="137"/>
      <c r="AU18" s="137" t="s">
        <v>616</v>
      </c>
      <c r="AV18" s="137" t="s">
        <v>622</v>
      </c>
      <c r="AW18" s="137" t="s">
        <v>622</v>
      </c>
      <c r="AX18" s="137" t="s">
        <v>622</v>
      </c>
      <c r="AY18" s="137"/>
    </row>
    <row r="19" spans="1:51" s="149" customFormat="1" ht="171.95" customHeight="1" x14ac:dyDescent="0.25">
      <c r="A19" s="375">
        <v>6</v>
      </c>
      <c r="B19" s="342" t="s">
        <v>206</v>
      </c>
      <c r="C19" s="366" t="s">
        <v>207</v>
      </c>
      <c r="D19" s="366" t="s">
        <v>375</v>
      </c>
      <c r="E19" s="365" t="s">
        <v>119</v>
      </c>
      <c r="F19" s="352" t="s">
        <v>214</v>
      </c>
      <c r="G19" s="365" t="s">
        <v>215</v>
      </c>
      <c r="H19" s="370" t="s">
        <v>339</v>
      </c>
      <c r="I19" s="365" t="s">
        <v>328</v>
      </c>
      <c r="J19" s="368">
        <v>1</v>
      </c>
      <c r="K19" s="360" t="str">
        <f>IF(J19&lt;=0,"",IF(J19&lt;=2,"Muy Baja",IF(J19&lt;=24,"Baja",IF(J19&lt;=500,"Media",IF(J19&lt;=5000,"Alta","Muy Alta")))))</f>
        <v>Muy Baja</v>
      </c>
      <c r="L19" s="357">
        <f>IF(K19="","",IF(K19="Muy Baja",0.2,IF(K19="Baja",0.4,IF(K19="Media",0.6,IF(K19="Alta",0.8,IF(K19="Muy Alta",1,))))))</f>
        <v>0.2</v>
      </c>
      <c r="M19" s="363" t="s">
        <v>483</v>
      </c>
      <c r="N19" s="127" t="str">
        <f ca="1">IF(NOT(ISERROR(MATCH(M19,'Tabla Impacto'!$B$221:$B$223,0))),'Tabla Impacto'!$F$223&amp;"Por favor no seleccionar los criterios de impacto(Afectación Económica o presupuestal y Pérdida Reputacional)",M19)</f>
        <v xml:space="preserve"> Entre 50 y 100 SMLMV </v>
      </c>
      <c r="O19" s="360" t="str">
        <f ca="1">IF(OR(N19='Tabla Impacto'!$C$11,N19='Tabla Impacto'!$D$11),"Leve",IF(OR(N19='Tabla Impacto'!$C$12,N19='Tabla Impacto'!$D$12),"Menor",IF(OR(N19='Tabla Impacto'!$C$13,N19='Tabla Impacto'!$D$13),"Moderado",IF(OR(N19='Tabla Impacto'!$C$14,N19='Tabla Impacto'!$D$14),"Mayor",IF(OR(N19='Tabla Impacto'!$C$15,N19='Tabla Impacto'!$D$15),"Catastrófico","")))))</f>
        <v>Moderado</v>
      </c>
      <c r="P19" s="357">
        <f ca="1">IF(O19="","",IF(O19="Leve",0.2,IF(O19="Menor",0.4,IF(O19="Moderado",0.6,IF(O19="Mayor",0.8,IF(O19="Catastrófico",1,))))))</f>
        <v>0.6</v>
      </c>
      <c r="Q19" s="354" t="str">
        <f ca="1">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28">
        <v>1</v>
      </c>
      <c r="S19" s="97" t="s">
        <v>216</v>
      </c>
      <c r="T19" s="129" t="str">
        <f t="shared" si="25"/>
        <v>Probabilidad</v>
      </c>
      <c r="U19" s="130" t="s">
        <v>15</v>
      </c>
      <c r="V19" s="130" t="s">
        <v>9</v>
      </c>
      <c r="W19" s="131" t="str">
        <f t="shared" si="26"/>
        <v>30%</v>
      </c>
      <c r="X19" s="130" t="s">
        <v>20</v>
      </c>
      <c r="Y19" s="130" t="s">
        <v>23</v>
      </c>
      <c r="Z19" s="130" t="s">
        <v>111</v>
      </c>
      <c r="AA19" s="132">
        <f t="shared" si="27"/>
        <v>0.14000000000000001</v>
      </c>
      <c r="AB19" s="133" t="str">
        <f t="shared" si="28"/>
        <v>Muy Baja</v>
      </c>
      <c r="AC19" s="134">
        <f t="shared" si="29"/>
        <v>0.14000000000000001</v>
      </c>
      <c r="AD19" s="133" t="str">
        <f t="shared" ca="1" si="30"/>
        <v>Moderado</v>
      </c>
      <c r="AE19" s="134">
        <f t="shared" ca="1" si="31"/>
        <v>0.6</v>
      </c>
      <c r="AF19" s="135" t="str">
        <f t="shared" ca="1" si="32"/>
        <v>Moderado</v>
      </c>
      <c r="AG19" s="136" t="s">
        <v>122</v>
      </c>
      <c r="AH19" s="97" t="s">
        <v>217</v>
      </c>
      <c r="AI19" s="125" t="s">
        <v>203</v>
      </c>
      <c r="AJ19" s="126">
        <v>44562</v>
      </c>
      <c r="AK19" s="126" t="s">
        <v>373</v>
      </c>
      <c r="AL19" s="124" t="s">
        <v>329</v>
      </c>
      <c r="AM19" s="125"/>
      <c r="AN19" s="97" t="s">
        <v>700</v>
      </c>
      <c r="AO19" s="97" t="s">
        <v>700</v>
      </c>
      <c r="AP19" s="220" t="s">
        <v>617</v>
      </c>
      <c r="AQ19" s="97" t="s">
        <v>700</v>
      </c>
      <c r="AR19" s="97" t="s">
        <v>700</v>
      </c>
      <c r="AS19" s="219" t="s">
        <v>617</v>
      </c>
      <c r="AT19" s="219"/>
      <c r="AU19" s="137" t="s">
        <v>616</v>
      </c>
      <c r="AV19" s="137" t="s">
        <v>622</v>
      </c>
      <c r="AW19" s="137" t="s">
        <v>622</v>
      </c>
      <c r="AX19" s="137" t="s">
        <v>622</v>
      </c>
      <c r="AY19" s="137" t="s">
        <v>748</v>
      </c>
    </row>
    <row r="20" spans="1:51" s="149" customFormat="1" ht="151.5" hidden="1" customHeight="1" x14ac:dyDescent="0.25">
      <c r="A20" s="374"/>
      <c r="B20" s="343"/>
      <c r="C20" s="367"/>
      <c r="D20" s="373"/>
      <c r="E20" s="353"/>
      <c r="F20" s="353"/>
      <c r="G20" s="353"/>
      <c r="H20" s="371"/>
      <c r="I20" s="353"/>
      <c r="J20" s="369"/>
      <c r="K20" s="361"/>
      <c r="L20" s="358"/>
      <c r="M20" s="364"/>
      <c r="N20" s="138"/>
      <c r="O20" s="361"/>
      <c r="P20" s="358"/>
      <c r="Q20" s="355"/>
      <c r="R20" s="128">
        <v>2</v>
      </c>
      <c r="S20" s="97"/>
      <c r="T20" s="129" t="str">
        <f t="shared" ref="T20:T42" si="39">IF(OR(U20="Preventivo",U20="Detectivo"),"Probabilidad",IF(U20="Correctivo","Impacto",""))</f>
        <v/>
      </c>
      <c r="U20" s="130"/>
      <c r="V20" s="130"/>
      <c r="W20" s="131" t="str">
        <f t="shared" ref="W20:W41" si="40">IF(AND(U20="Preventivo",V20="Automático"),"50%",IF(AND(U20="Preventivo",V20="Manual"),"40%",IF(AND(U20="Detectivo",V20="Automático"),"40%",IF(AND(U20="Detectivo",V20="Manual"),"30%",IF(AND(U20="Correctivo",V20="Automático"),"35%",IF(AND(U20="Correctivo",V20="Manual"),"25%",""))))))</f>
        <v/>
      </c>
      <c r="X20" s="130"/>
      <c r="Y20" s="130"/>
      <c r="Z20" s="130"/>
      <c r="AA20" s="132" t="str">
        <f>IFERROR(IF(T20="Probabilidad",(AA19-(+AA19*W20)),IF(T20="Impacto",L20,"")),"")</f>
        <v/>
      </c>
      <c r="AB20" s="133" t="str">
        <f t="shared" ref="AB20:AB42" si="41">IFERROR(IF(AA20="","",IF(AA20&lt;=0.2,"Muy Baja",IF(AA20&lt;=0.4,"Baja",IF(AA20&lt;=0.6,"Media",IF(AA20&lt;=0.8,"Alta","Muy Alta"))))),"")</f>
        <v/>
      </c>
      <c r="AC20" s="134" t="str">
        <f t="shared" ref="AC20:AC42" si="42">+AA20</f>
        <v/>
      </c>
      <c r="AD20" s="133" t="str">
        <f t="shared" ref="AD20:AD42" si="43">IFERROR(IF(AE20="","",IF(AE20&lt;=0.2,"Leve",IF(AE20&lt;=0.4,"Menor",IF(AE20&lt;=0.6,"Moderado",IF(AE20&lt;=0.8,"Mayor","Catastrófico"))))),"")</f>
        <v/>
      </c>
      <c r="AE20" s="134" t="str">
        <f t="shared" ref="AE20:AE42" si="44">IFERROR(IF(T20="Impacto",(P20-(+P20*W20)),IF(T20="Probabilidad",P20,"")),"")</f>
        <v/>
      </c>
      <c r="AF20" s="135" t="str">
        <f t="shared" ref="AF20:AF42" si="45">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36"/>
      <c r="AH20" s="97"/>
      <c r="AI20" s="125"/>
      <c r="AJ20" s="137"/>
      <c r="AK20" s="137"/>
      <c r="AL20" s="97"/>
      <c r="AM20" s="125"/>
      <c r="AN20" s="216"/>
      <c r="AO20" s="216"/>
      <c r="AP20" s="137"/>
      <c r="AQ20" s="216"/>
      <c r="AR20" s="216"/>
      <c r="AS20" s="137"/>
      <c r="AT20" s="137"/>
      <c r="AU20" s="137" t="s">
        <v>616</v>
      </c>
      <c r="AV20" s="137" t="s">
        <v>622</v>
      </c>
      <c r="AW20" s="137" t="s">
        <v>622</v>
      </c>
      <c r="AX20" s="137" t="s">
        <v>622</v>
      </c>
      <c r="AY20" s="137"/>
    </row>
    <row r="21" spans="1:51" s="149" customFormat="1" ht="151.5" hidden="1" customHeight="1" x14ac:dyDescent="0.25">
      <c r="A21" s="374"/>
      <c r="B21" s="344"/>
      <c r="C21" s="367"/>
      <c r="D21" s="373"/>
      <c r="E21" s="353"/>
      <c r="F21" s="353"/>
      <c r="G21" s="353"/>
      <c r="H21" s="371"/>
      <c r="I21" s="353"/>
      <c r="J21" s="369"/>
      <c r="K21" s="362"/>
      <c r="L21" s="359"/>
      <c r="M21" s="364"/>
      <c r="N21" s="138"/>
      <c r="O21" s="362"/>
      <c r="P21" s="359"/>
      <c r="Q21" s="356"/>
      <c r="R21" s="128">
        <v>3</v>
      </c>
      <c r="S21" s="97"/>
      <c r="T21" s="129" t="str">
        <f t="shared" si="39"/>
        <v/>
      </c>
      <c r="U21" s="130"/>
      <c r="V21" s="130"/>
      <c r="W21" s="131" t="str">
        <f t="shared" si="40"/>
        <v/>
      </c>
      <c r="X21" s="130"/>
      <c r="Y21" s="130"/>
      <c r="Z21" s="130"/>
      <c r="AA21" s="132" t="str">
        <f>IFERROR(IF(T21="Probabilidad",(AA20-(+AA20*W21)),IF(T21="Impacto",L21,"")),"")</f>
        <v/>
      </c>
      <c r="AB21" s="133" t="str">
        <f t="shared" si="41"/>
        <v/>
      </c>
      <c r="AC21" s="134" t="str">
        <f t="shared" si="42"/>
        <v/>
      </c>
      <c r="AD21" s="133" t="str">
        <f t="shared" si="43"/>
        <v/>
      </c>
      <c r="AE21" s="134" t="str">
        <f t="shared" si="44"/>
        <v/>
      </c>
      <c r="AF21" s="135" t="str">
        <f t="shared" si="45"/>
        <v/>
      </c>
      <c r="AG21" s="136"/>
      <c r="AH21" s="97"/>
      <c r="AI21" s="125"/>
      <c r="AJ21" s="137"/>
      <c r="AK21" s="137"/>
      <c r="AL21" s="97"/>
      <c r="AM21" s="125"/>
      <c r="AN21" s="216"/>
      <c r="AO21" s="216"/>
      <c r="AP21" s="137"/>
      <c r="AQ21" s="216"/>
      <c r="AR21" s="216"/>
      <c r="AS21" s="137"/>
      <c r="AT21" s="137"/>
      <c r="AU21" s="137" t="s">
        <v>616</v>
      </c>
      <c r="AV21" s="137" t="s">
        <v>622</v>
      </c>
      <c r="AW21" s="137" t="s">
        <v>622</v>
      </c>
      <c r="AX21" s="137" t="s">
        <v>622</v>
      </c>
      <c r="AY21" s="137"/>
    </row>
    <row r="22" spans="1:51" s="149" customFormat="1" ht="226.5" customHeight="1" x14ac:dyDescent="0.25">
      <c r="A22" s="374">
        <v>7</v>
      </c>
      <c r="B22" s="342" t="s">
        <v>218</v>
      </c>
      <c r="C22" s="366" t="s">
        <v>219</v>
      </c>
      <c r="D22" s="366" t="s">
        <v>220</v>
      </c>
      <c r="E22" s="365" t="s">
        <v>120</v>
      </c>
      <c r="F22" s="352" t="s">
        <v>221</v>
      </c>
      <c r="G22" s="365" t="s">
        <v>222</v>
      </c>
      <c r="H22" s="370" t="s">
        <v>573</v>
      </c>
      <c r="I22" s="365" t="s">
        <v>115</v>
      </c>
      <c r="J22" s="368">
        <v>1460</v>
      </c>
      <c r="K22" s="360" t="str">
        <f>IF(J22&lt;=0,"",IF(J22&lt;=2,"Muy Baja",IF(J22&lt;=24,"Baja",IF(J22&lt;=500,"Media",IF(J22&lt;=5000,"Alta","Muy Alta")))))</f>
        <v>Alta</v>
      </c>
      <c r="L22" s="357">
        <f>IF(K22="","",IF(K22="Muy Baja",0.2,IF(K22="Baja",0.4,IF(K22="Media",0.6,IF(K22="Alta",0.8,IF(K22="Muy Alta",1,))))))</f>
        <v>0.8</v>
      </c>
      <c r="M22" s="363" t="s">
        <v>484</v>
      </c>
      <c r="N22" s="127" t="str">
        <f ca="1">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360" t="str">
        <f ca="1">IF(OR(N22='Tabla Impacto'!$C$11,N22='Tabla Impacto'!$D$11),"Leve",IF(OR(N22='Tabla Impacto'!$C$12,N22='Tabla Impacto'!$D$12),"Menor",IF(OR(N22='Tabla Impacto'!$C$13,N22='Tabla Impacto'!$D$13),"Moderado",IF(OR(N22='Tabla Impacto'!$C$14,N22='Tabla Impacto'!$D$14),"Mayor",IF(OR(N22='Tabla Impacto'!$C$15,N22='Tabla Impacto'!$D$15),"Catastrófico","")))))</f>
        <v>Moderado</v>
      </c>
      <c r="P22" s="357">
        <f ca="1">IF(O22="","",IF(O22="Leve",0.2,IF(O22="Menor",0.4,IF(O22="Moderado",0.6,IF(O22="Mayor",0.8,IF(O22="Catastrófico",1,))))))</f>
        <v>0.6</v>
      </c>
      <c r="Q22" s="354" t="str">
        <f ca="1">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128">
        <v>1</v>
      </c>
      <c r="S22" s="97" t="s">
        <v>574</v>
      </c>
      <c r="T22" s="129" t="str">
        <f t="shared" si="39"/>
        <v>Probabilidad</v>
      </c>
      <c r="U22" s="130" t="s">
        <v>14</v>
      </c>
      <c r="V22" s="130" t="s">
        <v>9</v>
      </c>
      <c r="W22" s="131" t="str">
        <f t="shared" si="40"/>
        <v>40%</v>
      </c>
      <c r="X22" s="130" t="s">
        <v>19</v>
      </c>
      <c r="Y22" s="130" t="s">
        <v>22</v>
      </c>
      <c r="Z22" s="130" t="s">
        <v>110</v>
      </c>
      <c r="AA22" s="132">
        <f t="shared" ref="AA22:AA40" si="46">IFERROR(IF(T22="Probabilidad",(L22-(+L22*W22)),IF(T22="Impacto",L22,"")),"")</f>
        <v>0.48</v>
      </c>
      <c r="AB22" s="133" t="str">
        <f t="shared" si="41"/>
        <v>Media</v>
      </c>
      <c r="AC22" s="134">
        <f t="shared" si="42"/>
        <v>0.48</v>
      </c>
      <c r="AD22" s="133" t="str">
        <f t="shared" ca="1" si="43"/>
        <v>Moderado</v>
      </c>
      <c r="AE22" s="134">
        <f t="shared" ca="1" si="44"/>
        <v>0.6</v>
      </c>
      <c r="AF22" s="135" t="str">
        <f t="shared" ca="1" si="45"/>
        <v>Moderado</v>
      </c>
      <c r="AG22" s="136" t="s">
        <v>122</v>
      </c>
      <c r="AH22" s="118" t="s">
        <v>223</v>
      </c>
      <c r="AI22" s="142" t="s">
        <v>212</v>
      </c>
      <c r="AJ22" s="126">
        <v>44562</v>
      </c>
      <c r="AK22" s="126" t="s">
        <v>373</v>
      </c>
      <c r="AL22" s="118" t="s">
        <v>575</v>
      </c>
      <c r="AM22" s="125"/>
      <c r="AN22" s="148" t="s">
        <v>795</v>
      </c>
      <c r="AO22" s="148" t="s">
        <v>632</v>
      </c>
      <c r="AP22" s="215">
        <v>0.33</v>
      </c>
      <c r="AQ22" s="148" t="s">
        <v>796</v>
      </c>
      <c r="AR22" s="97" t="s">
        <v>617</v>
      </c>
      <c r="AS22" s="137" t="s">
        <v>617</v>
      </c>
      <c r="AT22" s="137"/>
      <c r="AU22" s="137" t="s">
        <v>616</v>
      </c>
      <c r="AV22" s="137" t="s">
        <v>622</v>
      </c>
      <c r="AW22" s="137" t="s">
        <v>622</v>
      </c>
      <c r="AX22" s="137" t="s">
        <v>622</v>
      </c>
      <c r="AY22" s="137" t="s">
        <v>748</v>
      </c>
    </row>
    <row r="23" spans="1:51" s="149" customFormat="1" ht="151.5" hidden="1" customHeight="1" x14ac:dyDescent="0.25">
      <c r="A23" s="374"/>
      <c r="B23" s="343"/>
      <c r="C23" s="367"/>
      <c r="D23" s="373"/>
      <c r="E23" s="353"/>
      <c r="F23" s="353"/>
      <c r="G23" s="353"/>
      <c r="H23" s="371"/>
      <c r="I23" s="353"/>
      <c r="J23" s="369"/>
      <c r="K23" s="361"/>
      <c r="L23" s="358"/>
      <c r="M23" s="364"/>
      <c r="N23" s="138"/>
      <c r="O23" s="361"/>
      <c r="P23" s="358"/>
      <c r="Q23" s="355"/>
      <c r="R23" s="128">
        <v>2</v>
      </c>
      <c r="S23" s="97"/>
      <c r="T23" s="129" t="str">
        <f t="shared" si="39"/>
        <v/>
      </c>
      <c r="U23" s="130"/>
      <c r="V23" s="130"/>
      <c r="W23" s="131"/>
      <c r="X23" s="130"/>
      <c r="Y23" s="130"/>
      <c r="Z23" s="130"/>
      <c r="AA23" s="132" t="str">
        <f>IFERROR(IF(T23="Probabilidad",(AA22-(+AA22*W23)),IF(T23="Impacto",L23,"")),"")</f>
        <v/>
      </c>
      <c r="AB23" s="133" t="str">
        <f t="shared" si="41"/>
        <v/>
      </c>
      <c r="AC23" s="134" t="str">
        <f t="shared" si="42"/>
        <v/>
      </c>
      <c r="AD23" s="133" t="str">
        <f t="shared" si="43"/>
        <v/>
      </c>
      <c r="AE23" s="134" t="str">
        <f t="shared" si="44"/>
        <v/>
      </c>
      <c r="AF23" s="135" t="str">
        <f t="shared" si="45"/>
        <v/>
      </c>
      <c r="AG23" s="136"/>
      <c r="AH23" s="97"/>
      <c r="AI23" s="125"/>
      <c r="AJ23" s="137"/>
      <c r="AK23" s="137"/>
      <c r="AL23" s="97"/>
      <c r="AM23" s="125"/>
      <c r="AN23" s="148"/>
      <c r="AO23" s="148"/>
      <c r="AP23" s="137"/>
      <c r="AQ23" s="216"/>
      <c r="AR23" s="97"/>
      <c r="AS23" s="137"/>
      <c r="AT23" s="137"/>
      <c r="AU23" s="137" t="s">
        <v>616</v>
      </c>
      <c r="AV23" s="137" t="s">
        <v>622</v>
      </c>
      <c r="AW23" s="137" t="s">
        <v>622</v>
      </c>
      <c r="AX23" s="137" t="s">
        <v>622</v>
      </c>
      <c r="AY23" s="137"/>
    </row>
    <row r="24" spans="1:51" s="149" customFormat="1" ht="151.5" hidden="1" customHeight="1" x14ac:dyDescent="0.25">
      <c r="A24" s="374"/>
      <c r="B24" s="344"/>
      <c r="C24" s="367"/>
      <c r="D24" s="373"/>
      <c r="E24" s="353"/>
      <c r="F24" s="353"/>
      <c r="G24" s="353"/>
      <c r="H24" s="371"/>
      <c r="I24" s="353"/>
      <c r="J24" s="369"/>
      <c r="K24" s="362"/>
      <c r="L24" s="359"/>
      <c r="M24" s="364"/>
      <c r="N24" s="138"/>
      <c r="O24" s="362"/>
      <c r="P24" s="359"/>
      <c r="Q24" s="356"/>
      <c r="R24" s="128">
        <v>3</v>
      </c>
      <c r="S24" s="97"/>
      <c r="T24" s="129" t="str">
        <f t="shared" si="39"/>
        <v/>
      </c>
      <c r="U24" s="130"/>
      <c r="V24" s="130"/>
      <c r="W24" s="131"/>
      <c r="X24" s="130"/>
      <c r="Y24" s="130"/>
      <c r="Z24" s="130"/>
      <c r="AA24" s="132" t="str">
        <f>IFERROR(IF(T24="Probabilidad",(AA23-(+AA23*W24)),IF(T24="Impacto",L24,"")),"")</f>
        <v/>
      </c>
      <c r="AB24" s="133" t="str">
        <f t="shared" si="41"/>
        <v/>
      </c>
      <c r="AC24" s="134" t="str">
        <f t="shared" si="42"/>
        <v/>
      </c>
      <c r="AD24" s="133" t="str">
        <f t="shared" si="43"/>
        <v/>
      </c>
      <c r="AE24" s="134" t="str">
        <f t="shared" si="44"/>
        <v/>
      </c>
      <c r="AF24" s="135" t="str">
        <f t="shared" si="45"/>
        <v/>
      </c>
      <c r="AG24" s="136"/>
      <c r="AH24" s="97"/>
      <c r="AI24" s="125"/>
      <c r="AJ24" s="137"/>
      <c r="AK24" s="137"/>
      <c r="AL24" s="97"/>
      <c r="AM24" s="125"/>
      <c r="AN24" s="148"/>
      <c r="AO24" s="148"/>
      <c r="AP24" s="137"/>
      <c r="AQ24" s="216"/>
      <c r="AR24" s="97"/>
      <c r="AS24" s="137"/>
      <c r="AT24" s="137"/>
      <c r="AU24" s="137" t="s">
        <v>616</v>
      </c>
      <c r="AV24" s="137" t="s">
        <v>622</v>
      </c>
      <c r="AW24" s="137" t="s">
        <v>622</v>
      </c>
      <c r="AX24" s="137" t="s">
        <v>622</v>
      </c>
      <c r="AY24" s="137"/>
    </row>
    <row r="25" spans="1:51" s="149" customFormat="1" ht="327" customHeight="1" x14ac:dyDescent="0.25">
      <c r="A25" s="374">
        <v>8</v>
      </c>
      <c r="B25" s="342" t="s">
        <v>224</v>
      </c>
      <c r="C25" s="366" t="s">
        <v>219</v>
      </c>
      <c r="D25" s="366" t="s">
        <v>220</v>
      </c>
      <c r="E25" s="365" t="s">
        <v>118</v>
      </c>
      <c r="F25" s="365" t="s">
        <v>225</v>
      </c>
      <c r="G25" s="365" t="s">
        <v>437</v>
      </c>
      <c r="H25" s="370" t="s">
        <v>226</v>
      </c>
      <c r="I25" s="365" t="s">
        <v>328</v>
      </c>
      <c r="J25" s="368">
        <v>1460</v>
      </c>
      <c r="K25" s="360" t="str">
        <f>IF(J25&lt;=0,"",IF(J25&lt;=2,"Muy Baja",IF(J25&lt;=24,"Baja",IF(J25&lt;=500,"Media",IF(J25&lt;=5000,"Alta","Muy Alta")))))</f>
        <v>Alta</v>
      </c>
      <c r="L25" s="357">
        <f>IF(K25="","",IF(K25="Muy Baja",0.2,IF(K25="Baja",0.4,IF(K25="Media",0.6,IF(K25="Alta",0.8,IF(K25="Muy Alta",1,))))))</f>
        <v>0.8</v>
      </c>
      <c r="M25" s="363" t="s">
        <v>491</v>
      </c>
      <c r="N25" s="127" t="str">
        <f ca="1">IF(NOT(ISERROR(MATCH(M25,'Tabla Impacto'!$B$221:$B$223,0))),'Tabla Impacto'!$F$223&amp;"Por favor no seleccionar los criterios de impacto(Afectación Económica o presupuestal y Pérdida Reputacional)",M25)</f>
        <v xml:space="preserve"> El riesgo afecta la imagen de la entidad con efecto publicitario sostenido a nivel de sector administrativo, nivel departamental o municipal</v>
      </c>
      <c r="O25" s="360" t="str">
        <f ca="1">IF(OR(N25='Tabla Impacto'!$C$11,N25='Tabla Impacto'!$D$11),"Leve",IF(OR(N25='Tabla Impacto'!$C$12,N25='Tabla Impacto'!$D$12),"Menor",IF(OR(N25='Tabla Impacto'!$C$13,N25='Tabla Impacto'!$D$13),"Moderado",IF(OR(N25='Tabla Impacto'!$C$14,N25='Tabla Impacto'!$D$14),"Mayor",IF(OR(N25='Tabla Impacto'!$C$15,N25='Tabla Impacto'!$D$15),"Catastrófico","")))))</f>
        <v>Mayor</v>
      </c>
      <c r="P25" s="357">
        <f ca="1">IF(O25="","",IF(O25="Leve",0.2,IF(O25="Menor",0.4,IF(O25="Moderado",0.6,IF(O25="Mayor",0.8,IF(O25="Catastrófico",1,))))))</f>
        <v>0.8</v>
      </c>
      <c r="Q25" s="354" t="str">
        <f ca="1">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128">
        <v>1</v>
      </c>
      <c r="S25" s="118" t="s">
        <v>227</v>
      </c>
      <c r="T25" s="129" t="str">
        <f t="shared" si="39"/>
        <v>Probabilidad</v>
      </c>
      <c r="U25" s="130" t="s">
        <v>14</v>
      </c>
      <c r="V25" s="130" t="s">
        <v>9</v>
      </c>
      <c r="W25" s="131" t="str">
        <f t="shared" si="40"/>
        <v>40%</v>
      </c>
      <c r="X25" s="130" t="s">
        <v>19</v>
      </c>
      <c r="Y25" s="130" t="s">
        <v>22</v>
      </c>
      <c r="Z25" s="130" t="s">
        <v>110</v>
      </c>
      <c r="AA25" s="132">
        <f t="shared" si="46"/>
        <v>0.48</v>
      </c>
      <c r="AB25" s="133" t="str">
        <f t="shared" si="41"/>
        <v>Media</v>
      </c>
      <c r="AC25" s="134">
        <f t="shared" si="42"/>
        <v>0.48</v>
      </c>
      <c r="AD25" s="133" t="str">
        <f t="shared" ca="1" si="43"/>
        <v>Mayor</v>
      </c>
      <c r="AE25" s="134">
        <f t="shared" ca="1" si="44"/>
        <v>0.8</v>
      </c>
      <c r="AF25" s="135" t="str">
        <f t="shared" ca="1" si="45"/>
        <v>Alto</v>
      </c>
      <c r="AG25" s="136" t="s">
        <v>122</v>
      </c>
      <c r="AH25" s="118" t="s">
        <v>229</v>
      </c>
      <c r="AI25" s="142" t="s">
        <v>212</v>
      </c>
      <c r="AJ25" s="126">
        <v>44562</v>
      </c>
      <c r="AK25" s="126" t="s">
        <v>373</v>
      </c>
      <c r="AL25" s="118" t="s">
        <v>230</v>
      </c>
      <c r="AM25" s="125"/>
      <c r="AN25" s="148" t="s">
        <v>633</v>
      </c>
      <c r="AO25" s="148" t="s">
        <v>634</v>
      </c>
      <c r="AP25" s="215">
        <v>0.33</v>
      </c>
      <c r="AQ25" s="148" t="s">
        <v>746</v>
      </c>
      <c r="AR25" s="148" t="s">
        <v>635</v>
      </c>
      <c r="AS25" s="215">
        <v>0.33</v>
      </c>
      <c r="AT25" s="137"/>
      <c r="AU25" s="137" t="s">
        <v>616</v>
      </c>
      <c r="AV25" s="137" t="s">
        <v>622</v>
      </c>
      <c r="AW25" s="137" t="s">
        <v>622</v>
      </c>
      <c r="AX25" s="137" t="s">
        <v>622</v>
      </c>
      <c r="AY25" s="137" t="s">
        <v>748</v>
      </c>
    </row>
    <row r="26" spans="1:51" s="149" customFormat="1" ht="151.5" customHeight="1" x14ac:dyDescent="0.25">
      <c r="A26" s="374"/>
      <c r="B26" s="343"/>
      <c r="C26" s="367"/>
      <c r="D26" s="373"/>
      <c r="E26" s="353"/>
      <c r="F26" s="353"/>
      <c r="G26" s="353"/>
      <c r="H26" s="371"/>
      <c r="I26" s="353"/>
      <c r="J26" s="369"/>
      <c r="K26" s="361"/>
      <c r="L26" s="358"/>
      <c r="M26" s="364"/>
      <c r="N26" s="138"/>
      <c r="O26" s="361"/>
      <c r="P26" s="358"/>
      <c r="Q26" s="355"/>
      <c r="R26" s="128">
        <v>2</v>
      </c>
      <c r="S26" s="118" t="s">
        <v>228</v>
      </c>
      <c r="T26" s="129" t="str">
        <f t="shared" si="39"/>
        <v>Probabilidad</v>
      </c>
      <c r="U26" s="130" t="s">
        <v>14</v>
      </c>
      <c r="V26" s="130" t="s">
        <v>9</v>
      </c>
      <c r="W26" s="131" t="str">
        <f t="shared" si="40"/>
        <v>40%</v>
      </c>
      <c r="X26" s="130" t="s">
        <v>19</v>
      </c>
      <c r="Y26" s="130" t="s">
        <v>22</v>
      </c>
      <c r="Z26" s="130" t="s">
        <v>110</v>
      </c>
      <c r="AA26" s="132">
        <f>IFERROR(IF(T26="Probabilidad",(AA25-(+AA25*W26)),IF(T26="Impacto",L26,"")),"")</f>
        <v>0.28799999999999998</v>
      </c>
      <c r="AB26" s="133" t="str">
        <f t="shared" si="41"/>
        <v>Baja</v>
      </c>
      <c r="AC26" s="134">
        <f t="shared" si="42"/>
        <v>0.28799999999999998</v>
      </c>
      <c r="AD26" s="133" t="str">
        <f t="shared" si="43"/>
        <v>Mayor</v>
      </c>
      <c r="AE26" s="134">
        <v>0.8</v>
      </c>
      <c r="AF26" s="135" t="str">
        <f t="shared" si="45"/>
        <v>Alto</v>
      </c>
      <c r="AG26" s="136" t="s">
        <v>122</v>
      </c>
      <c r="AH26" s="118" t="s">
        <v>231</v>
      </c>
      <c r="AI26" s="142" t="s">
        <v>212</v>
      </c>
      <c r="AJ26" s="126">
        <v>44562</v>
      </c>
      <c r="AK26" s="126" t="s">
        <v>373</v>
      </c>
      <c r="AL26" s="118" t="s">
        <v>230</v>
      </c>
      <c r="AM26" s="125"/>
      <c r="AN26" s="148" t="s">
        <v>636</v>
      </c>
      <c r="AO26" s="148" t="s">
        <v>637</v>
      </c>
      <c r="AP26" s="215">
        <v>0.33</v>
      </c>
      <c r="AQ26" s="148" t="s">
        <v>797</v>
      </c>
      <c r="AR26" s="148" t="s">
        <v>635</v>
      </c>
      <c r="AS26" s="215">
        <v>0.33</v>
      </c>
      <c r="AT26" s="137"/>
      <c r="AU26" s="137" t="s">
        <v>616</v>
      </c>
      <c r="AV26" s="137" t="s">
        <v>622</v>
      </c>
      <c r="AW26" s="137" t="s">
        <v>622</v>
      </c>
      <c r="AX26" s="137" t="s">
        <v>622</v>
      </c>
      <c r="AY26" s="137" t="s">
        <v>748</v>
      </c>
    </row>
    <row r="27" spans="1:51" s="149" customFormat="1" ht="151.5" hidden="1" customHeight="1" x14ac:dyDescent="0.25">
      <c r="A27" s="374"/>
      <c r="B27" s="344"/>
      <c r="C27" s="367"/>
      <c r="D27" s="373"/>
      <c r="E27" s="353"/>
      <c r="F27" s="353"/>
      <c r="G27" s="353"/>
      <c r="H27" s="371"/>
      <c r="I27" s="353"/>
      <c r="J27" s="369"/>
      <c r="K27" s="362"/>
      <c r="L27" s="359"/>
      <c r="M27" s="364"/>
      <c r="N27" s="138"/>
      <c r="O27" s="362"/>
      <c r="P27" s="359"/>
      <c r="Q27" s="356"/>
      <c r="R27" s="128">
        <v>3</v>
      </c>
      <c r="S27" s="97"/>
      <c r="T27" s="129" t="str">
        <f t="shared" si="39"/>
        <v/>
      </c>
      <c r="U27" s="130"/>
      <c r="V27" s="130"/>
      <c r="W27" s="131"/>
      <c r="X27" s="130"/>
      <c r="Y27" s="130"/>
      <c r="Z27" s="130"/>
      <c r="AA27" s="132" t="str">
        <f>IFERROR(IF(T27="Probabilidad",(AA26-(+AA26*W27)),IF(T27="Impacto",L27,"")),"")</f>
        <v/>
      </c>
      <c r="AB27" s="133" t="str">
        <f t="shared" si="41"/>
        <v/>
      </c>
      <c r="AC27" s="134" t="str">
        <f t="shared" si="42"/>
        <v/>
      </c>
      <c r="AD27" s="133" t="str">
        <f t="shared" si="43"/>
        <v/>
      </c>
      <c r="AE27" s="134" t="str">
        <f t="shared" si="44"/>
        <v/>
      </c>
      <c r="AF27" s="135" t="str">
        <f t="shared" si="45"/>
        <v/>
      </c>
      <c r="AG27" s="136"/>
      <c r="AH27" s="97"/>
      <c r="AI27" s="125"/>
      <c r="AJ27" s="137"/>
      <c r="AK27" s="137"/>
      <c r="AL27" s="97"/>
      <c r="AM27" s="125"/>
      <c r="AN27" s="148"/>
      <c r="AO27" s="148"/>
      <c r="AP27" s="137"/>
      <c r="AQ27" s="148"/>
      <c r="AR27" s="97" t="e">
        <f>- Socialización del procedimiento</f>
        <v>#NAME?</v>
      </c>
      <c r="AS27" s="137"/>
      <c r="AT27" s="137"/>
      <c r="AU27" s="137" t="s">
        <v>616</v>
      </c>
      <c r="AV27" s="137" t="s">
        <v>622</v>
      </c>
      <c r="AW27" s="137" t="s">
        <v>622</v>
      </c>
      <c r="AX27" s="137" t="s">
        <v>622</v>
      </c>
      <c r="AY27" s="137"/>
    </row>
    <row r="28" spans="1:51" s="149" customFormat="1" ht="327.75" customHeight="1" x14ac:dyDescent="0.25">
      <c r="A28" s="374">
        <v>9</v>
      </c>
      <c r="B28" s="342" t="s">
        <v>224</v>
      </c>
      <c r="C28" s="366" t="s">
        <v>219</v>
      </c>
      <c r="D28" s="366" t="s">
        <v>220</v>
      </c>
      <c r="E28" s="365" t="s">
        <v>120</v>
      </c>
      <c r="F28" s="365" t="s">
        <v>509</v>
      </c>
      <c r="G28" s="365" t="s">
        <v>232</v>
      </c>
      <c r="H28" s="370" t="s">
        <v>233</v>
      </c>
      <c r="I28" s="365" t="s">
        <v>328</v>
      </c>
      <c r="J28" s="368">
        <v>1460</v>
      </c>
      <c r="K28" s="360" t="str">
        <f>IF(J28&lt;=0,"",IF(J28&lt;=2,"Muy Baja",IF(J28&lt;=24,"Baja",IF(J28&lt;=500,"Media",IF(J28&lt;=5000,"Alta","Muy Alta")))))</f>
        <v>Alta</v>
      </c>
      <c r="L28" s="357">
        <f>IF(K28="","",IF(K28="Muy Baja",0.2,IF(K28="Baja",0.4,IF(K28="Media",0.6,IF(K28="Alta",0.8,IF(K28="Muy Alta",1,))))))</f>
        <v>0.8</v>
      </c>
      <c r="M28" s="363" t="s">
        <v>484</v>
      </c>
      <c r="N28" s="127" t="str">
        <f ca="1">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360" t="str">
        <f ca="1">IF(OR(N28='Tabla Impacto'!$C$11,N28='Tabla Impacto'!$D$11),"Leve",IF(OR(N28='Tabla Impacto'!$C$12,N28='Tabla Impacto'!$D$12),"Menor",IF(OR(N28='Tabla Impacto'!$C$13,N28='Tabla Impacto'!$D$13),"Moderado",IF(OR(N28='Tabla Impacto'!$C$14,N28='Tabla Impacto'!$D$14),"Mayor",IF(OR(N28='Tabla Impacto'!$C$15,N28='Tabla Impacto'!$D$15),"Catastrófico","")))))</f>
        <v>Moderado</v>
      </c>
      <c r="P28" s="357">
        <f ca="1">IF(O28="","",IF(O28="Leve",0.2,IF(O28="Menor",0.4,IF(O28="Moderado",0.6,IF(O28="Mayor",0.8,IF(O28="Catastrófico",1,))))))</f>
        <v>0.6</v>
      </c>
      <c r="Q28" s="354" t="str">
        <f ca="1">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28">
        <v>1</v>
      </c>
      <c r="S28" s="97" t="s">
        <v>227</v>
      </c>
      <c r="T28" s="129" t="str">
        <f t="shared" si="39"/>
        <v>Probabilidad</v>
      </c>
      <c r="U28" s="130" t="s">
        <v>14</v>
      </c>
      <c r="V28" s="130" t="s">
        <v>9</v>
      </c>
      <c r="W28" s="131" t="str">
        <f t="shared" si="40"/>
        <v>40%</v>
      </c>
      <c r="X28" s="130" t="s">
        <v>19</v>
      </c>
      <c r="Y28" s="130" t="s">
        <v>23</v>
      </c>
      <c r="Z28" s="130" t="s">
        <v>110</v>
      </c>
      <c r="AA28" s="132">
        <f t="shared" si="46"/>
        <v>0.48</v>
      </c>
      <c r="AB28" s="133" t="str">
        <f t="shared" si="41"/>
        <v>Media</v>
      </c>
      <c r="AC28" s="134">
        <f t="shared" si="42"/>
        <v>0.48</v>
      </c>
      <c r="AD28" s="133" t="str">
        <f t="shared" ca="1" si="43"/>
        <v>Moderado</v>
      </c>
      <c r="AE28" s="134">
        <f t="shared" ca="1" si="44"/>
        <v>0.6</v>
      </c>
      <c r="AF28" s="135" t="str">
        <f t="shared" ca="1" si="45"/>
        <v>Moderado</v>
      </c>
      <c r="AG28" s="136" t="s">
        <v>122</v>
      </c>
      <c r="AH28" s="118" t="s">
        <v>236</v>
      </c>
      <c r="AI28" s="142" t="s">
        <v>212</v>
      </c>
      <c r="AJ28" s="126">
        <v>44562</v>
      </c>
      <c r="AK28" s="126" t="s">
        <v>373</v>
      </c>
      <c r="AL28" s="118" t="s">
        <v>235</v>
      </c>
      <c r="AM28" s="125"/>
      <c r="AN28" s="148" t="s">
        <v>633</v>
      </c>
      <c r="AO28" s="148" t="s">
        <v>634</v>
      </c>
      <c r="AP28" s="215">
        <v>0.33</v>
      </c>
      <c r="AQ28" s="148" t="s">
        <v>638</v>
      </c>
      <c r="AR28" s="148" t="s">
        <v>639</v>
      </c>
      <c r="AS28" s="215">
        <v>0.33</v>
      </c>
      <c r="AT28" s="137"/>
      <c r="AU28" s="137" t="s">
        <v>616</v>
      </c>
      <c r="AV28" s="137" t="s">
        <v>622</v>
      </c>
      <c r="AW28" s="137" t="s">
        <v>622</v>
      </c>
      <c r="AX28" s="137" t="s">
        <v>622</v>
      </c>
      <c r="AY28" s="137" t="s">
        <v>748</v>
      </c>
    </row>
    <row r="29" spans="1:51" s="149" customFormat="1" ht="151.5" customHeight="1" x14ac:dyDescent="0.25">
      <c r="A29" s="374"/>
      <c r="B29" s="343"/>
      <c r="C29" s="367"/>
      <c r="D29" s="373"/>
      <c r="E29" s="353"/>
      <c r="F29" s="353"/>
      <c r="G29" s="353"/>
      <c r="H29" s="371"/>
      <c r="I29" s="353"/>
      <c r="J29" s="369"/>
      <c r="K29" s="361"/>
      <c r="L29" s="358"/>
      <c r="M29" s="364"/>
      <c r="N29" s="138"/>
      <c r="O29" s="361"/>
      <c r="P29" s="358"/>
      <c r="Q29" s="355"/>
      <c r="R29" s="128">
        <v>2</v>
      </c>
      <c r="S29" s="97" t="s">
        <v>228</v>
      </c>
      <c r="T29" s="129" t="str">
        <f t="shared" si="39"/>
        <v>Probabilidad</v>
      </c>
      <c r="U29" s="130" t="s">
        <v>14</v>
      </c>
      <c r="V29" s="130" t="s">
        <v>9</v>
      </c>
      <c r="W29" s="131" t="str">
        <f t="shared" si="40"/>
        <v>40%</v>
      </c>
      <c r="X29" s="130" t="s">
        <v>19</v>
      </c>
      <c r="Y29" s="130" t="s">
        <v>23</v>
      </c>
      <c r="Z29" s="130" t="s">
        <v>111</v>
      </c>
      <c r="AA29" s="132">
        <f>IFERROR(IF(T29="Probabilidad",(AA28-(+AA28*W29)),IF(T29="Impacto",L29,"")),"")</f>
        <v>0.28799999999999998</v>
      </c>
      <c r="AB29" s="133" t="str">
        <f t="shared" si="41"/>
        <v>Baja</v>
      </c>
      <c r="AC29" s="134">
        <f t="shared" si="42"/>
        <v>0.28799999999999998</v>
      </c>
      <c r="AD29" s="133" t="str">
        <f t="shared" si="43"/>
        <v>Moderado</v>
      </c>
      <c r="AE29" s="134">
        <v>0.6</v>
      </c>
      <c r="AF29" s="135" t="str">
        <f t="shared" si="45"/>
        <v>Moderado</v>
      </c>
      <c r="AG29" s="136" t="s">
        <v>122</v>
      </c>
      <c r="AH29" s="118" t="s">
        <v>236</v>
      </c>
      <c r="AI29" s="142" t="s">
        <v>212</v>
      </c>
      <c r="AJ29" s="126">
        <v>44562</v>
      </c>
      <c r="AK29" s="126" t="s">
        <v>373</v>
      </c>
      <c r="AL29" s="118" t="s">
        <v>235</v>
      </c>
      <c r="AM29" s="125"/>
      <c r="AN29" s="148" t="s">
        <v>636</v>
      </c>
      <c r="AO29" s="148" t="s">
        <v>637</v>
      </c>
      <c r="AP29" s="215">
        <v>0.33</v>
      </c>
      <c r="AQ29" s="148" t="s">
        <v>638</v>
      </c>
      <c r="AR29" s="148" t="s">
        <v>639</v>
      </c>
      <c r="AS29" s="215">
        <v>0.33</v>
      </c>
      <c r="AT29" s="137"/>
      <c r="AU29" s="137" t="s">
        <v>616</v>
      </c>
      <c r="AV29" s="137" t="s">
        <v>622</v>
      </c>
      <c r="AW29" s="137" t="s">
        <v>622</v>
      </c>
      <c r="AX29" s="137" t="s">
        <v>622</v>
      </c>
      <c r="AY29" s="137" t="s">
        <v>748</v>
      </c>
    </row>
    <row r="30" spans="1:51" s="149" customFormat="1" ht="151.5" customHeight="1" x14ac:dyDescent="0.25">
      <c r="A30" s="374"/>
      <c r="B30" s="344"/>
      <c r="C30" s="367"/>
      <c r="D30" s="373"/>
      <c r="E30" s="353"/>
      <c r="F30" s="353"/>
      <c r="G30" s="353"/>
      <c r="H30" s="371"/>
      <c r="I30" s="353"/>
      <c r="J30" s="369"/>
      <c r="K30" s="362"/>
      <c r="L30" s="359"/>
      <c r="M30" s="364"/>
      <c r="N30" s="138"/>
      <c r="O30" s="362"/>
      <c r="P30" s="359"/>
      <c r="Q30" s="356"/>
      <c r="R30" s="128">
        <v>3</v>
      </c>
      <c r="S30" s="97" t="s">
        <v>234</v>
      </c>
      <c r="T30" s="129" t="str">
        <f t="shared" si="39"/>
        <v>Probabilidad</v>
      </c>
      <c r="U30" s="130" t="s">
        <v>15</v>
      </c>
      <c r="V30" s="130" t="s">
        <v>9</v>
      </c>
      <c r="W30" s="131" t="str">
        <f t="shared" si="40"/>
        <v>30%</v>
      </c>
      <c r="X30" s="130" t="s">
        <v>19</v>
      </c>
      <c r="Y30" s="130" t="s">
        <v>22</v>
      </c>
      <c r="Z30" s="130" t="s">
        <v>110</v>
      </c>
      <c r="AA30" s="132">
        <f>IFERROR(IF(T30="Probabilidad",(AA29-(+AA29*W30)),IF(T30="Impacto",L30,"")),"")</f>
        <v>0.2016</v>
      </c>
      <c r="AB30" s="133" t="str">
        <f t="shared" si="41"/>
        <v>Baja</v>
      </c>
      <c r="AC30" s="134">
        <f t="shared" si="42"/>
        <v>0.2016</v>
      </c>
      <c r="AD30" s="133" t="str">
        <f t="shared" si="43"/>
        <v>Moderado</v>
      </c>
      <c r="AE30" s="134">
        <v>0.6</v>
      </c>
      <c r="AF30" s="135" t="str">
        <f t="shared" si="45"/>
        <v>Moderado</v>
      </c>
      <c r="AG30" s="136" t="s">
        <v>122</v>
      </c>
      <c r="AH30" s="118" t="s">
        <v>236</v>
      </c>
      <c r="AI30" s="142" t="s">
        <v>212</v>
      </c>
      <c r="AJ30" s="126">
        <v>44562</v>
      </c>
      <c r="AK30" s="126" t="s">
        <v>373</v>
      </c>
      <c r="AL30" s="118" t="s">
        <v>235</v>
      </c>
      <c r="AM30" s="125"/>
      <c r="AN30" s="148" t="s">
        <v>640</v>
      </c>
      <c r="AO30" s="148" t="s">
        <v>641</v>
      </c>
      <c r="AP30" s="215">
        <v>0.33</v>
      </c>
      <c r="AQ30" s="148" t="s">
        <v>638</v>
      </c>
      <c r="AR30" s="148" t="s">
        <v>639</v>
      </c>
      <c r="AS30" s="215">
        <v>0.33</v>
      </c>
      <c r="AT30" s="137"/>
      <c r="AU30" s="137" t="s">
        <v>616</v>
      </c>
      <c r="AV30" s="137" t="s">
        <v>622</v>
      </c>
      <c r="AW30" s="137" t="s">
        <v>622</v>
      </c>
      <c r="AX30" s="137" t="s">
        <v>622</v>
      </c>
      <c r="AY30" s="137" t="s">
        <v>748</v>
      </c>
    </row>
    <row r="31" spans="1:51" s="149" customFormat="1" ht="285" customHeight="1" x14ac:dyDescent="0.25">
      <c r="A31" s="374">
        <v>10</v>
      </c>
      <c r="B31" s="342" t="s">
        <v>237</v>
      </c>
      <c r="C31" s="366" t="s">
        <v>355</v>
      </c>
      <c r="D31" s="366" t="s">
        <v>383</v>
      </c>
      <c r="E31" s="365" t="s">
        <v>118</v>
      </c>
      <c r="F31" s="352" t="s">
        <v>364</v>
      </c>
      <c r="G31" s="352" t="s">
        <v>365</v>
      </c>
      <c r="H31" s="370" t="s">
        <v>539</v>
      </c>
      <c r="I31" s="365" t="s">
        <v>115</v>
      </c>
      <c r="J31" s="368">
        <v>20</v>
      </c>
      <c r="K31" s="360" t="str">
        <f>IF(J31&lt;=0,"",IF(J31&lt;=2,"Muy Baja",IF(J31&lt;=24,"Baja",IF(J31&lt;=500,"Media",IF(J31&lt;=5000,"Alta","Muy Alta")))))</f>
        <v>Baja</v>
      </c>
      <c r="L31" s="357">
        <f>IF(K31="","",IF(K31="Muy Baja",0.2,IF(K31="Baja",0.4,IF(K31="Media",0.6,IF(K31="Alta",0.8,IF(K31="Muy Alta",1,))))))</f>
        <v>0.4</v>
      </c>
      <c r="M31" s="363" t="s">
        <v>491</v>
      </c>
      <c r="N31" s="127" t="str">
        <f ca="1">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360" t="str">
        <f ca="1">IF(OR(N31='Tabla Impacto'!$C$11,N31='Tabla Impacto'!$D$11),"Leve",IF(OR(N31='Tabla Impacto'!$C$12,N31='Tabla Impacto'!$D$12),"Menor",IF(OR(N31='Tabla Impacto'!$C$13,N31='Tabla Impacto'!$D$13),"Moderado",IF(OR(N31='Tabla Impacto'!$C$14,N31='Tabla Impacto'!$D$14),"Mayor",IF(OR(N31='Tabla Impacto'!$C$15,N31='Tabla Impacto'!$D$15),"Catastrófico","")))))</f>
        <v>Mayor</v>
      </c>
      <c r="P31" s="357">
        <f ca="1">IF(O31="","",IF(O31="Leve",0.2,IF(O31="Menor",0.4,IF(O31="Moderado",0.6,IF(O31="Mayor",0.8,IF(O31="Catastrófico",1,))))))</f>
        <v>0.8</v>
      </c>
      <c r="Q31" s="354" t="str">
        <f ca="1">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28">
        <v>1</v>
      </c>
      <c r="S31" s="97" t="s">
        <v>571</v>
      </c>
      <c r="T31" s="129" t="str">
        <f t="shared" si="39"/>
        <v>Probabilidad</v>
      </c>
      <c r="U31" s="130" t="s">
        <v>14</v>
      </c>
      <c r="V31" s="130" t="s">
        <v>9</v>
      </c>
      <c r="W31" s="131" t="str">
        <f t="shared" si="40"/>
        <v>40%</v>
      </c>
      <c r="X31" s="130" t="s">
        <v>19</v>
      </c>
      <c r="Y31" s="130" t="s">
        <v>22</v>
      </c>
      <c r="Z31" s="130" t="s">
        <v>110</v>
      </c>
      <c r="AA31" s="132">
        <f t="shared" si="46"/>
        <v>0.24</v>
      </c>
      <c r="AB31" s="133" t="str">
        <f t="shared" si="41"/>
        <v>Baja</v>
      </c>
      <c r="AC31" s="134">
        <f t="shared" si="42"/>
        <v>0.24</v>
      </c>
      <c r="AD31" s="133" t="str">
        <f t="shared" ca="1" si="43"/>
        <v>Mayor</v>
      </c>
      <c r="AE31" s="134">
        <f t="shared" ca="1" si="44"/>
        <v>0.8</v>
      </c>
      <c r="AF31" s="135" t="str">
        <f t="shared" ca="1" si="45"/>
        <v>Alto</v>
      </c>
      <c r="AG31" s="136" t="s">
        <v>122</v>
      </c>
      <c r="AH31" s="118" t="s">
        <v>572</v>
      </c>
      <c r="AI31" s="119" t="s">
        <v>198</v>
      </c>
      <c r="AJ31" s="126" t="s">
        <v>286</v>
      </c>
      <c r="AK31" s="126" t="s">
        <v>287</v>
      </c>
      <c r="AL31" s="97" t="s">
        <v>366</v>
      </c>
      <c r="AM31" s="125"/>
      <c r="AN31" s="221" t="s">
        <v>751</v>
      </c>
      <c r="AO31" s="97" t="s">
        <v>655</v>
      </c>
      <c r="AP31" s="215">
        <v>0.33</v>
      </c>
      <c r="AQ31" s="216" t="s">
        <v>656</v>
      </c>
      <c r="AR31" s="216" t="s">
        <v>657</v>
      </c>
      <c r="AS31" s="215">
        <v>0.33</v>
      </c>
      <c r="AT31" s="137"/>
      <c r="AU31" s="137" t="s">
        <v>616</v>
      </c>
      <c r="AV31" s="137" t="s">
        <v>622</v>
      </c>
      <c r="AW31" s="137" t="s">
        <v>622</v>
      </c>
      <c r="AX31" s="137" t="s">
        <v>622</v>
      </c>
      <c r="AY31" s="137"/>
    </row>
    <row r="32" spans="1:51" s="149" customFormat="1" ht="151.5" hidden="1" customHeight="1" x14ac:dyDescent="0.25">
      <c r="A32" s="374"/>
      <c r="B32" s="343"/>
      <c r="C32" s="373"/>
      <c r="D32" s="373"/>
      <c r="E32" s="353"/>
      <c r="F32" s="353"/>
      <c r="G32" s="353"/>
      <c r="H32" s="371"/>
      <c r="I32" s="353"/>
      <c r="J32" s="369"/>
      <c r="K32" s="361"/>
      <c r="L32" s="358"/>
      <c r="M32" s="364"/>
      <c r="N32" s="138"/>
      <c r="O32" s="361"/>
      <c r="P32" s="358"/>
      <c r="Q32" s="355"/>
      <c r="R32" s="128">
        <v>2</v>
      </c>
      <c r="S32" s="97"/>
      <c r="T32" s="129" t="str">
        <f t="shared" si="39"/>
        <v/>
      </c>
      <c r="U32" s="130"/>
      <c r="V32" s="130"/>
      <c r="W32" s="131"/>
      <c r="X32" s="130"/>
      <c r="Y32" s="130"/>
      <c r="Z32" s="130"/>
      <c r="AA32" s="132" t="str">
        <f>IFERROR(IF(T32="Probabilidad",(AA31-(+AA31*W32)),IF(T32="Impacto",L32,"")),"")</f>
        <v/>
      </c>
      <c r="AB32" s="133" t="str">
        <f t="shared" si="41"/>
        <v/>
      </c>
      <c r="AC32" s="134" t="str">
        <f t="shared" si="42"/>
        <v/>
      </c>
      <c r="AD32" s="133" t="str">
        <f t="shared" si="43"/>
        <v/>
      </c>
      <c r="AE32" s="134" t="str">
        <f t="shared" si="44"/>
        <v/>
      </c>
      <c r="AF32" s="135" t="str">
        <f t="shared" si="45"/>
        <v/>
      </c>
      <c r="AG32" s="136"/>
      <c r="AH32" s="97"/>
      <c r="AI32" s="125"/>
      <c r="AJ32" s="137"/>
      <c r="AK32" s="137"/>
      <c r="AL32" s="97"/>
      <c r="AM32" s="125"/>
      <c r="AN32" s="216"/>
      <c r="AO32" s="216"/>
      <c r="AP32" s="137"/>
      <c r="AQ32" s="216"/>
      <c r="AR32" s="216"/>
      <c r="AS32" s="137"/>
      <c r="AT32" s="137"/>
      <c r="AU32" s="137" t="s">
        <v>616</v>
      </c>
      <c r="AV32" s="137" t="s">
        <v>622</v>
      </c>
      <c r="AW32" s="137" t="s">
        <v>622</v>
      </c>
      <c r="AX32" s="137" t="s">
        <v>622</v>
      </c>
      <c r="AY32" s="137"/>
    </row>
    <row r="33" spans="1:51" s="149" customFormat="1" ht="331.5" hidden="1" customHeight="1" x14ac:dyDescent="0.25">
      <c r="A33" s="374"/>
      <c r="B33" s="344"/>
      <c r="C33" s="373"/>
      <c r="D33" s="373"/>
      <c r="E33" s="353"/>
      <c r="F33" s="353"/>
      <c r="G33" s="353"/>
      <c r="H33" s="371"/>
      <c r="I33" s="353"/>
      <c r="J33" s="369"/>
      <c r="K33" s="362"/>
      <c r="L33" s="359"/>
      <c r="M33" s="364"/>
      <c r="N33" s="138"/>
      <c r="O33" s="362"/>
      <c r="P33" s="359"/>
      <c r="Q33" s="356"/>
      <c r="R33" s="128">
        <v>3</v>
      </c>
      <c r="S33" s="97"/>
      <c r="T33" s="129" t="str">
        <f t="shared" si="39"/>
        <v/>
      </c>
      <c r="U33" s="130"/>
      <c r="V33" s="130"/>
      <c r="W33" s="131"/>
      <c r="X33" s="130"/>
      <c r="Y33" s="130"/>
      <c r="Z33" s="130"/>
      <c r="AA33" s="132" t="str">
        <f>IFERROR(IF(T33="Probabilidad",(AA32-(+AA32*W33)),IF(T33="Impacto",L33,"")),"")</f>
        <v/>
      </c>
      <c r="AB33" s="133" t="str">
        <f t="shared" si="41"/>
        <v/>
      </c>
      <c r="AC33" s="134" t="str">
        <f t="shared" si="42"/>
        <v/>
      </c>
      <c r="AD33" s="133" t="str">
        <f t="shared" si="43"/>
        <v/>
      </c>
      <c r="AE33" s="134" t="str">
        <f t="shared" si="44"/>
        <v/>
      </c>
      <c r="AF33" s="135" t="str">
        <f t="shared" si="45"/>
        <v/>
      </c>
      <c r="AG33" s="136"/>
      <c r="AH33" s="97"/>
      <c r="AI33" s="125"/>
      <c r="AJ33" s="137"/>
      <c r="AK33" s="137"/>
      <c r="AL33" s="97"/>
      <c r="AM33" s="125"/>
      <c r="AN33" s="216"/>
      <c r="AO33" s="216"/>
      <c r="AP33" s="137"/>
      <c r="AQ33" s="216"/>
      <c r="AR33" s="216"/>
      <c r="AS33" s="137"/>
      <c r="AT33" s="137"/>
      <c r="AU33" s="137" t="s">
        <v>616</v>
      </c>
      <c r="AV33" s="137" t="s">
        <v>622</v>
      </c>
      <c r="AW33" s="137" t="s">
        <v>622</v>
      </c>
      <c r="AX33" s="137" t="s">
        <v>622</v>
      </c>
      <c r="AY33" s="137"/>
    </row>
    <row r="34" spans="1:51" s="149" customFormat="1" ht="176.25" customHeight="1" x14ac:dyDescent="0.25">
      <c r="A34" s="374">
        <v>11</v>
      </c>
      <c r="B34" s="342" t="s">
        <v>237</v>
      </c>
      <c r="C34" s="366" t="s">
        <v>355</v>
      </c>
      <c r="D34" s="366" t="s">
        <v>383</v>
      </c>
      <c r="E34" s="365" t="s">
        <v>120</v>
      </c>
      <c r="F34" s="352" t="s">
        <v>367</v>
      </c>
      <c r="G34" s="352" t="s">
        <v>365</v>
      </c>
      <c r="H34" s="370" t="s">
        <v>238</v>
      </c>
      <c r="I34" s="365" t="s">
        <v>115</v>
      </c>
      <c r="J34" s="368">
        <v>20</v>
      </c>
      <c r="K34" s="360" t="str">
        <f>IF(J34&lt;=0,"",IF(J34&lt;=2,"Muy Baja",IF(J34&lt;=24,"Baja",IF(J34&lt;=500,"Media",IF(J34&lt;=5000,"Alta","Muy Alta")))))</f>
        <v>Baja</v>
      </c>
      <c r="L34" s="357">
        <f>IF(K34="","",IF(K34="Muy Baja",0.2,IF(K34="Baja",0.4,IF(K34="Media",0.6,IF(K34="Alta",0.8,IF(K34="Muy Alta",1,))))))</f>
        <v>0.4</v>
      </c>
      <c r="M34" s="363" t="s">
        <v>484</v>
      </c>
      <c r="N34" s="127" t="str">
        <f ca="1">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60" t="str">
        <f ca="1">IF(OR(N34='Tabla Impacto'!$C$11,N34='Tabla Impacto'!$D$11),"Leve",IF(OR(N34='Tabla Impacto'!$C$12,N34='Tabla Impacto'!$D$12),"Menor",IF(OR(N34='Tabla Impacto'!$C$13,N34='Tabla Impacto'!$D$13),"Moderado",IF(OR(N34='Tabla Impacto'!$C$14,N34='Tabla Impacto'!$D$14),"Mayor",IF(OR(N34='Tabla Impacto'!$C$15,N34='Tabla Impacto'!$D$15),"Catastrófico","")))))</f>
        <v>Moderado</v>
      </c>
      <c r="P34" s="357">
        <f ca="1">IF(O34="","",IF(O34="Leve",0.2,IF(O34="Menor",0.4,IF(O34="Moderado",0.6,IF(O34="Mayor",0.8,IF(O34="Catastrófico",1,))))))</f>
        <v>0.6</v>
      </c>
      <c r="Q34" s="354" t="str">
        <f ca="1">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128">
        <v>1</v>
      </c>
      <c r="S34" s="97" t="s">
        <v>540</v>
      </c>
      <c r="T34" s="129" t="str">
        <f t="shared" si="39"/>
        <v>Probabilidad</v>
      </c>
      <c r="U34" s="130" t="s">
        <v>14</v>
      </c>
      <c r="V34" s="130" t="s">
        <v>9</v>
      </c>
      <c r="W34" s="131" t="str">
        <f t="shared" si="40"/>
        <v>40%</v>
      </c>
      <c r="X34" s="130" t="s">
        <v>19</v>
      </c>
      <c r="Y34" s="130" t="s">
        <v>22</v>
      </c>
      <c r="Z34" s="130" t="s">
        <v>110</v>
      </c>
      <c r="AA34" s="132">
        <f t="shared" si="46"/>
        <v>0.24</v>
      </c>
      <c r="AB34" s="133" t="str">
        <f t="shared" si="41"/>
        <v>Baja</v>
      </c>
      <c r="AC34" s="134">
        <f t="shared" si="42"/>
        <v>0.24</v>
      </c>
      <c r="AD34" s="133" t="str">
        <f t="shared" ca="1" si="43"/>
        <v>Moderado</v>
      </c>
      <c r="AE34" s="134">
        <f t="shared" ca="1" si="44"/>
        <v>0.6</v>
      </c>
      <c r="AF34" s="135" t="str">
        <f t="shared" ca="1" si="45"/>
        <v>Moderado</v>
      </c>
      <c r="AG34" s="136" t="s">
        <v>122</v>
      </c>
      <c r="AH34" s="97" t="s">
        <v>368</v>
      </c>
      <c r="AI34" s="125" t="s">
        <v>239</v>
      </c>
      <c r="AJ34" s="126">
        <v>44562</v>
      </c>
      <c r="AK34" s="126" t="s">
        <v>373</v>
      </c>
      <c r="AL34" s="97" t="s">
        <v>366</v>
      </c>
      <c r="AM34" s="125"/>
      <c r="AN34" s="216" t="s">
        <v>658</v>
      </c>
      <c r="AO34" s="216" t="s">
        <v>659</v>
      </c>
      <c r="AP34" s="215">
        <v>0.33</v>
      </c>
      <c r="AQ34" s="216" t="s">
        <v>660</v>
      </c>
      <c r="AR34" s="216" t="s">
        <v>661</v>
      </c>
      <c r="AS34" s="215">
        <v>0.33</v>
      </c>
      <c r="AT34" s="137"/>
      <c r="AU34" s="137" t="s">
        <v>616</v>
      </c>
      <c r="AV34" s="137" t="s">
        <v>622</v>
      </c>
      <c r="AW34" s="137" t="s">
        <v>622</v>
      </c>
      <c r="AX34" s="137" t="s">
        <v>622</v>
      </c>
      <c r="AY34" s="137" t="s">
        <v>748</v>
      </c>
    </row>
    <row r="35" spans="1:51" s="149" customFormat="1" ht="151.5" hidden="1" customHeight="1" x14ac:dyDescent="0.25">
      <c r="A35" s="374"/>
      <c r="B35" s="343"/>
      <c r="C35" s="373"/>
      <c r="D35" s="373"/>
      <c r="E35" s="353"/>
      <c r="F35" s="353"/>
      <c r="G35" s="353"/>
      <c r="H35" s="371"/>
      <c r="I35" s="353"/>
      <c r="J35" s="369"/>
      <c r="K35" s="361"/>
      <c r="L35" s="358"/>
      <c r="M35" s="364"/>
      <c r="N35" s="138"/>
      <c r="O35" s="361"/>
      <c r="P35" s="358"/>
      <c r="Q35" s="355"/>
      <c r="R35" s="128">
        <v>2</v>
      </c>
      <c r="S35" s="97"/>
      <c r="T35" s="129" t="str">
        <f t="shared" si="39"/>
        <v/>
      </c>
      <c r="U35" s="130"/>
      <c r="V35" s="130"/>
      <c r="W35" s="131"/>
      <c r="X35" s="130"/>
      <c r="Y35" s="130"/>
      <c r="Z35" s="130"/>
      <c r="AA35" s="132" t="str">
        <f>IFERROR(IF(T35="Probabilidad",(AA34-(+AA34*W35)),IF(T35="Impacto",L35,"")),"")</f>
        <v/>
      </c>
      <c r="AB35" s="133" t="str">
        <f t="shared" si="41"/>
        <v/>
      </c>
      <c r="AC35" s="134" t="str">
        <f t="shared" si="42"/>
        <v/>
      </c>
      <c r="AD35" s="133" t="str">
        <f t="shared" si="43"/>
        <v/>
      </c>
      <c r="AE35" s="134" t="str">
        <f t="shared" si="44"/>
        <v/>
      </c>
      <c r="AF35" s="135" t="str">
        <f t="shared" si="45"/>
        <v/>
      </c>
      <c r="AG35" s="136"/>
      <c r="AH35" s="97"/>
      <c r="AI35" s="125"/>
      <c r="AJ35" s="137"/>
      <c r="AK35" s="137"/>
      <c r="AL35" s="97"/>
      <c r="AM35" s="125"/>
      <c r="AN35" s="216"/>
      <c r="AO35" s="216"/>
      <c r="AP35" s="137"/>
      <c r="AQ35" s="216"/>
      <c r="AR35" s="216"/>
      <c r="AS35" s="137"/>
      <c r="AT35" s="137"/>
      <c r="AU35" s="137" t="s">
        <v>616</v>
      </c>
      <c r="AV35" s="137" t="s">
        <v>622</v>
      </c>
      <c r="AW35" s="137" t="s">
        <v>622</v>
      </c>
      <c r="AX35" s="137" t="s">
        <v>622</v>
      </c>
      <c r="AY35" s="137"/>
    </row>
    <row r="36" spans="1:51" s="149" customFormat="1" ht="151.5" hidden="1" customHeight="1" x14ac:dyDescent="0.25">
      <c r="A36" s="376"/>
      <c r="B36" s="344"/>
      <c r="C36" s="373"/>
      <c r="D36" s="373"/>
      <c r="E36" s="353"/>
      <c r="F36" s="353"/>
      <c r="G36" s="353"/>
      <c r="H36" s="371"/>
      <c r="I36" s="353"/>
      <c r="J36" s="369"/>
      <c r="K36" s="362"/>
      <c r="L36" s="359"/>
      <c r="M36" s="364"/>
      <c r="N36" s="138"/>
      <c r="O36" s="362"/>
      <c r="P36" s="359"/>
      <c r="Q36" s="356"/>
      <c r="R36" s="128">
        <v>3</v>
      </c>
      <c r="S36" s="97"/>
      <c r="T36" s="129" t="str">
        <f t="shared" si="39"/>
        <v/>
      </c>
      <c r="U36" s="130"/>
      <c r="V36" s="130"/>
      <c r="W36" s="131"/>
      <c r="X36" s="130"/>
      <c r="Y36" s="130"/>
      <c r="Z36" s="130"/>
      <c r="AA36" s="132" t="str">
        <f>IFERROR(IF(T36="Probabilidad",(AA35-(+AA35*W36)),IF(T36="Impacto",L36,"")),"")</f>
        <v/>
      </c>
      <c r="AB36" s="133" t="str">
        <f t="shared" si="41"/>
        <v/>
      </c>
      <c r="AC36" s="134" t="str">
        <f t="shared" si="42"/>
        <v/>
      </c>
      <c r="AD36" s="133" t="str">
        <f t="shared" si="43"/>
        <v/>
      </c>
      <c r="AE36" s="134" t="str">
        <f t="shared" si="44"/>
        <v/>
      </c>
      <c r="AF36" s="135" t="str">
        <f t="shared" si="45"/>
        <v/>
      </c>
      <c r="AG36" s="136"/>
      <c r="AH36" s="97"/>
      <c r="AI36" s="125"/>
      <c r="AJ36" s="137"/>
      <c r="AK36" s="137"/>
      <c r="AL36" s="97"/>
      <c r="AM36" s="125"/>
      <c r="AN36" s="216"/>
      <c r="AO36" s="216"/>
      <c r="AP36" s="137"/>
      <c r="AQ36" s="216"/>
      <c r="AR36" s="216"/>
      <c r="AS36" s="137"/>
      <c r="AT36" s="137"/>
      <c r="AU36" s="137" t="s">
        <v>616</v>
      </c>
      <c r="AV36" s="137" t="s">
        <v>622</v>
      </c>
      <c r="AW36" s="137" t="s">
        <v>622</v>
      </c>
      <c r="AX36" s="137" t="s">
        <v>622</v>
      </c>
      <c r="AY36" s="137"/>
    </row>
    <row r="37" spans="1:51" s="149" customFormat="1" ht="183.75" customHeight="1" x14ac:dyDescent="0.25">
      <c r="A37" s="375">
        <v>12</v>
      </c>
      <c r="B37" s="342" t="s">
        <v>237</v>
      </c>
      <c r="C37" s="366" t="s">
        <v>355</v>
      </c>
      <c r="D37" s="366" t="s">
        <v>383</v>
      </c>
      <c r="E37" s="365" t="s">
        <v>120</v>
      </c>
      <c r="F37" s="353" t="s">
        <v>438</v>
      </c>
      <c r="G37" s="353" t="s">
        <v>439</v>
      </c>
      <c r="H37" s="370" t="s">
        <v>440</v>
      </c>
      <c r="I37" s="365" t="s">
        <v>328</v>
      </c>
      <c r="J37" s="368">
        <v>2</v>
      </c>
      <c r="K37" s="360" t="str">
        <f>IF(J37&lt;=0,"",IF(J37&lt;=2,"Muy Baja",IF(J37&lt;=24,"Baja",IF(J37&lt;=500,"Media",IF(J37&lt;=5000,"Alta","Muy Alta")))))</f>
        <v>Muy Baja</v>
      </c>
      <c r="L37" s="357">
        <f>IF(K37="","",IF(K37="Muy Baja",0.2,IF(K37="Baja",0.4,IF(K37="Media",0.6,IF(K37="Alta",0.8,IF(K37="Muy Alta",1,))))))</f>
        <v>0.2</v>
      </c>
      <c r="M37" s="363" t="s">
        <v>484</v>
      </c>
      <c r="N37" s="127" t="str">
        <f ca="1">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60" t="str">
        <f ca="1">IF(OR(N37='Tabla Impacto'!$C$11,N37='Tabla Impacto'!$D$11),"Leve",IF(OR(N37='Tabla Impacto'!$C$12,N37='Tabla Impacto'!$D$12),"Menor",IF(OR(N37='Tabla Impacto'!$C$13,N37='Tabla Impacto'!$D$13),"Moderado",IF(OR(N37='Tabla Impacto'!$C$14,N37='Tabla Impacto'!$D$14),"Mayor",IF(OR(N37='Tabla Impacto'!$C$15,N37='Tabla Impacto'!$D$15),"Catastrófico","")))))</f>
        <v>Moderado</v>
      </c>
      <c r="P37" s="357">
        <f ca="1">IF(O37="","",IF(O37="Leve",0.2,IF(O37="Menor",0.4,IF(O37="Moderado",0.6,IF(O37="Mayor",0.8,IF(O37="Catastrófico",1,))))))</f>
        <v>0.6</v>
      </c>
      <c r="Q37" s="354" t="str">
        <f ca="1">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28">
        <v>1</v>
      </c>
      <c r="S37" s="97" t="s">
        <v>369</v>
      </c>
      <c r="T37" s="129" t="str">
        <f t="shared" si="39"/>
        <v>Probabilidad</v>
      </c>
      <c r="U37" s="130" t="s">
        <v>14</v>
      </c>
      <c r="V37" s="130" t="s">
        <v>9</v>
      </c>
      <c r="W37" s="131" t="str">
        <f t="shared" si="40"/>
        <v>40%</v>
      </c>
      <c r="X37" s="130" t="s">
        <v>19</v>
      </c>
      <c r="Y37" s="130" t="s">
        <v>22</v>
      </c>
      <c r="Z37" s="130" t="s">
        <v>110</v>
      </c>
      <c r="AA37" s="132">
        <f t="shared" si="46"/>
        <v>0.12</v>
      </c>
      <c r="AB37" s="133" t="str">
        <f t="shared" si="41"/>
        <v>Muy Baja</v>
      </c>
      <c r="AC37" s="134">
        <f t="shared" si="42"/>
        <v>0.12</v>
      </c>
      <c r="AD37" s="133" t="str">
        <f t="shared" ca="1" si="43"/>
        <v>Moderado</v>
      </c>
      <c r="AE37" s="134">
        <f t="shared" ca="1" si="44"/>
        <v>0.6</v>
      </c>
      <c r="AF37" s="135" t="str">
        <f t="shared" ca="1" si="45"/>
        <v>Moderado</v>
      </c>
      <c r="AG37" s="136" t="s">
        <v>122</v>
      </c>
      <c r="AH37" s="97" t="s">
        <v>370</v>
      </c>
      <c r="AI37" s="125" t="s">
        <v>239</v>
      </c>
      <c r="AJ37" s="126">
        <v>44562</v>
      </c>
      <c r="AK37" s="126" t="s">
        <v>373</v>
      </c>
      <c r="AL37" s="97" t="s">
        <v>371</v>
      </c>
      <c r="AM37" s="125"/>
      <c r="AN37" s="216" t="s">
        <v>662</v>
      </c>
      <c r="AO37" s="216" t="s">
        <v>663</v>
      </c>
      <c r="AP37" s="215">
        <v>0.33</v>
      </c>
      <c r="AQ37" s="216" t="s">
        <v>664</v>
      </c>
      <c r="AR37" s="216" t="s">
        <v>665</v>
      </c>
      <c r="AS37" s="215">
        <v>0.33</v>
      </c>
      <c r="AT37" s="137"/>
      <c r="AU37" s="137" t="s">
        <v>616</v>
      </c>
      <c r="AV37" s="137" t="s">
        <v>622</v>
      </c>
      <c r="AW37" s="137" t="s">
        <v>622</v>
      </c>
      <c r="AX37" s="137" t="s">
        <v>622</v>
      </c>
      <c r="AY37" s="137" t="s">
        <v>748</v>
      </c>
    </row>
    <row r="38" spans="1:51" s="149" customFormat="1" ht="151.5" hidden="1" customHeight="1" x14ac:dyDescent="0.25">
      <c r="A38" s="374"/>
      <c r="B38" s="343"/>
      <c r="C38" s="373"/>
      <c r="D38" s="373"/>
      <c r="E38" s="353"/>
      <c r="F38" s="353" t="s">
        <v>240</v>
      </c>
      <c r="G38" s="353" t="s">
        <v>241</v>
      </c>
      <c r="H38" s="371"/>
      <c r="I38" s="353"/>
      <c r="J38" s="369"/>
      <c r="K38" s="361"/>
      <c r="L38" s="358"/>
      <c r="M38" s="364"/>
      <c r="N38" s="138"/>
      <c r="O38" s="361"/>
      <c r="P38" s="358"/>
      <c r="Q38" s="355"/>
      <c r="R38" s="128">
        <v>2</v>
      </c>
      <c r="S38" s="97"/>
      <c r="T38" s="129" t="str">
        <f t="shared" si="39"/>
        <v/>
      </c>
      <c r="U38" s="130"/>
      <c r="V38" s="130"/>
      <c r="W38" s="131"/>
      <c r="X38" s="130"/>
      <c r="Y38" s="130"/>
      <c r="Z38" s="130"/>
      <c r="AA38" s="132"/>
      <c r="AB38" s="133"/>
      <c r="AC38" s="134"/>
      <c r="AD38" s="133"/>
      <c r="AE38" s="134"/>
      <c r="AF38" s="135"/>
      <c r="AG38" s="136"/>
      <c r="AH38" s="97"/>
      <c r="AI38" s="125"/>
      <c r="AJ38" s="137"/>
      <c r="AK38" s="137"/>
      <c r="AL38" s="97"/>
      <c r="AM38" s="125"/>
      <c r="AN38" s="216"/>
      <c r="AO38" s="216"/>
      <c r="AP38" s="137"/>
      <c r="AQ38" s="216"/>
      <c r="AR38" s="216"/>
      <c r="AS38" s="137"/>
      <c r="AT38" s="137"/>
      <c r="AU38" s="137" t="s">
        <v>616</v>
      </c>
      <c r="AV38" s="137" t="s">
        <v>622</v>
      </c>
      <c r="AW38" s="137" t="s">
        <v>622</v>
      </c>
      <c r="AX38" s="137" t="s">
        <v>622</v>
      </c>
      <c r="AY38" s="137"/>
    </row>
    <row r="39" spans="1:51" s="149" customFormat="1" ht="151.5" hidden="1" customHeight="1" x14ac:dyDescent="0.25">
      <c r="A39" s="374"/>
      <c r="B39" s="344"/>
      <c r="C39" s="373"/>
      <c r="D39" s="373"/>
      <c r="E39" s="353"/>
      <c r="F39" s="353" t="s">
        <v>240</v>
      </c>
      <c r="G39" s="353" t="s">
        <v>241</v>
      </c>
      <c r="H39" s="371"/>
      <c r="I39" s="353"/>
      <c r="J39" s="369"/>
      <c r="K39" s="362"/>
      <c r="L39" s="359"/>
      <c r="M39" s="364"/>
      <c r="N39" s="138"/>
      <c r="O39" s="362"/>
      <c r="P39" s="359"/>
      <c r="Q39" s="356"/>
      <c r="R39" s="128">
        <v>3</v>
      </c>
      <c r="S39" s="97"/>
      <c r="T39" s="129" t="str">
        <f t="shared" si="39"/>
        <v/>
      </c>
      <c r="U39" s="130"/>
      <c r="V39" s="130"/>
      <c r="W39" s="131"/>
      <c r="X39" s="130"/>
      <c r="Y39" s="130"/>
      <c r="Z39" s="130"/>
      <c r="AA39" s="132"/>
      <c r="AB39" s="133"/>
      <c r="AC39" s="134"/>
      <c r="AD39" s="133"/>
      <c r="AE39" s="134"/>
      <c r="AF39" s="135"/>
      <c r="AG39" s="136"/>
      <c r="AH39" s="97"/>
      <c r="AI39" s="125"/>
      <c r="AJ39" s="137"/>
      <c r="AK39" s="137"/>
      <c r="AL39" s="97"/>
      <c r="AM39" s="125"/>
      <c r="AN39" s="216"/>
      <c r="AO39" s="216"/>
      <c r="AP39" s="137"/>
      <c r="AQ39" s="216"/>
      <c r="AR39" s="216"/>
      <c r="AS39" s="137"/>
      <c r="AT39" s="137"/>
      <c r="AU39" s="137" t="s">
        <v>616</v>
      </c>
      <c r="AV39" s="137" t="s">
        <v>622</v>
      </c>
      <c r="AW39" s="137" t="s">
        <v>622</v>
      </c>
      <c r="AX39" s="137" t="s">
        <v>622</v>
      </c>
      <c r="AY39" s="137"/>
    </row>
    <row r="40" spans="1:51" s="149" customFormat="1" ht="151.5" customHeight="1" x14ac:dyDescent="0.25">
      <c r="A40" s="374">
        <v>13</v>
      </c>
      <c r="B40" s="342" t="s">
        <v>242</v>
      </c>
      <c r="C40" s="366" t="s">
        <v>385</v>
      </c>
      <c r="D40" s="366" t="s">
        <v>249</v>
      </c>
      <c r="E40" s="365" t="s">
        <v>120</v>
      </c>
      <c r="F40" s="352" t="s">
        <v>243</v>
      </c>
      <c r="G40" s="352" t="s">
        <v>244</v>
      </c>
      <c r="H40" s="370" t="s">
        <v>384</v>
      </c>
      <c r="I40" s="365" t="s">
        <v>328</v>
      </c>
      <c r="J40" s="368">
        <v>12</v>
      </c>
      <c r="K40" s="360" t="str">
        <f>IF(J40&lt;=0,"",IF(J40&lt;=2,"Muy Baja",IF(J40&lt;=24,"Baja",IF(J40&lt;=500,"Media",IF(J40&lt;=5000,"Alta","Muy Alta")))))</f>
        <v>Baja</v>
      </c>
      <c r="L40" s="357">
        <f>IF(K40="","",IF(K40="Muy Baja",0.2,IF(K40="Baja",0.4,IF(K40="Media",0.6,IF(K40="Alta",0.8,IF(K40="Muy Alta",1,))))))</f>
        <v>0.4</v>
      </c>
      <c r="M40" s="363" t="s">
        <v>484</v>
      </c>
      <c r="N40" s="127" t="str">
        <f ca="1">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60" t="str">
        <f ca="1">IF(OR(N40='Tabla Impacto'!$C$11,N40='Tabla Impacto'!$D$11),"Leve",IF(OR(N40='Tabla Impacto'!$C$12,N40='Tabla Impacto'!$D$12),"Menor",IF(OR(N40='Tabla Impacto'!$C$13,N40='Tabla Impacto'!$D$13),"Moderado",IF(OR(N40='Tabla Impacto'!$C$14,N40='Tabla Impacto'!$D$14),"Mayor",IF(OR(N40='Tabla Impacto'!$C$15,N40='Tabla Impacto'!$D$15),"Catastrófico","")))))</f>
        <v>Moderado</v>
      </c>
      <c r="P40" s="357">
        <f ca="1">IF(O40="","",IF(O40="Leve",0.2,IF(O40="Menor",0.4,IF(O40="Moderado",0.6,IF(O40="Mayor",0.8,IF(O40="Catastrófico",1,))))))</f>
        <v>0.6</v>
      </c>
      <c r="Q40" s="354" t="str">
        <f ca="1">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28">
        <v>1</v>
      </c>
      <c r="S40" s="97" t="s">
        <v>245</v>
      </c>
      <c r="T40" s="129" t="str">
        <f t="shared" si="39"/>
        <v>Probabilidad</v>
      </c>
      <c r="U40" s="130" t="s">
        <v>14</v>
      </c>
      <c r="V40" s="130" t="s">
        <v>9</v>
      </c>
      <c r="W40" s="131" t="str">
        <f t="shared" si="40"/>
        <v>40%</v>
      </c>
      <c r="X40" s="130" t="s">
        <v>19</v>
      </c>
      <c r="Y40" s="130" t="s">
        <v>22</v>
      </c>
      <c r="Z40" s="130" t="s">
        <v>110</v>
      </c>
      <c r="AA40" s="132">
        <f t="shared" si="46"/>
        <v>0.24</v>
      </c>
      <c r="AB40" s="133" t="str">
        <f t="shared" si="41"/>
        <v>Baja</v>
      </c>
      <c r="AC40" s="134">
        <f t="shared" si="42"/>
        <v>0.24</v>
      </c>
      <c r="AD40" s="133" t="str">
        <f t="shared" ca="1" si="43"/>
        <v>Moderado</v>
      </c>
      <c r="AE40" s="134">
        <f t="shared" ca="1" si="44"/>
        <v>0.6</v>
      </c>
      <c r="AF40" s="135" t="str">
        <f t="shared" ca="1" si="45"/>
        <v>Moderado</v>
      </c>
      <c r="AG40" s="136" t="s">
        <v>122</v>
      </c>
      <c r="AH40" s="97" t="s">
        <v>246</v>
      </c>
      <c r="AI40" s="125" t="s">
        <v>203</v>
      </c>
      <c r="AJ40" s="137">
        <v>44562</v>
      </c>
      <c r="AK40" s="137">
        <v>44926</v>
      </c>
      <c r="AL40" s="97" t="s">
        <v>247</v>
      </c>
      <c r="AM40" s="125"/>
      <c r="AN40" s="216" t="s">
        <v>703</v>
      </c>
      <c r="AO40" s="216" t="s">
        <v>704</v>
      </c>
      <c r="AP40" s="218">
        <v>0.33</v>
      </c>
      <c r="AQ40" s="216" t="s">
        <v>705</v>
      </c>
      <c r="AR40" s="216" t="s">
        <v>706</v>
      </c>
      <c r="AS40" s="218">
        <v>0.33</v>
      </c>
      <c r="AT40" s="137"/>
      <c r="AU40" s="137" t="s">
        <v>616</v>
      </c>
      <c r="AV40" s="137" t="s">
        <v>622</v>
      </c>
      <c r="AW40" s="137" t="s">
        <v>622</v>
      </c>
      <c r="AX40" s="137" t="s">
        <v>622</v>
      </c>
      <c r="AY40" s="137" t="s">
        <v>748</v>
      </c>
    </row>
    <row r="41" spans="1:51" s="149" customFormat="1" ht="151.5" customHeight="1" x14ac:dyDescent="0.25">
      <c r="A41" s="374"/>
      <c r="B41" s="343"/>
      <c r="C41" s="373"/>
      <c r="D41" s="367"/>
      <c r="E41" s="353"/>
      <c r="F41" s="353"/>
      <c r="G41" s="353"/>
      <c r="H41" s="371"/>
      <c r="I41" s="353"/>
      <c r="J41" s="369"/>
      <c r="K41" s="361"/>
      <c r="L41" s="358"/>
      <c r="M41" s="364"/>
      <c r="N41" s="138"/>
      <c r="O41" s="361"/>
      <c r="P41" s="358"/>
      <c r="Q41" s="355"/>
      <c r="R41" s="128">
        <v>2</v>
      </c>
      <c r="S41" s="97" t="s">
        <v>205</v>
      </c>
      <c r="T41" s="129" t="str">
        <f t="shared" si="39"/>
        <v>Probabilidad</v>
      </c>
      <c r="U41" s="130" t="s">
        <v>14</v>
      </c>
      <c r="V41" s="130" t="s">
        <v>9</v>
      </c>
      <c r="W41" s="131" t="str">
        <f t="shared" si="40"/>
        <v>40%</v>
      </c>
      <c r="X41" s="130" t="s">
        <v>19</v>
      </c>
      <c r="Y41" s="130" t="s">
        <v>22</v>
      </c>
      <c r="Z41" s="130" t="s">
        <v>110</v>
      </c>
      <c r="AA41" s="143">
        <f>IFERROR(IF(T41="Probabilidad",(AA40-(+AA40*W41)),IF(T41="Impacto",L41,"")),"")</f>
        <v>0.14399999999999999</v>
      </c>
      <c r="AB41" s="133" t="str">
        <f t="shared" si="41"/>
        <v>Muy Baja</v>
      </c>
      <c r="AC41" s="134">
        <f t="shared" si="42"/>
        <v>0.14399999999999999</v>
      </c>
      <c r="AD41" s="133" t="str">
        <f t="shared" si="43"/>
        <v>Moderado</v>
      </c>
      <c r="AE41" s="134">
        <v>0.6</v>
      </c>
      <c r="AF41" s="135" t="str">
        <f t="shared" si="45"/>
        <v>Moderado</v>
      </c>
      <c r="AG41" s="136" t="s">
        <v>122</v>
      </c>
      <c r="AH41" s="97" t="s">
        <v>248</v>
      </c>
      <c r="AI41" s="125" t="s">
        <v>203</v>
      </c>
      <c r="AJ41" s="137">
        <v>44562</v>
      </c>
      <c r="AK41" s="137">
        <v>44926</v>
      </c>
      <c r="AL41" s="97" t="s">
        <v>247</v>
      </c>
      <c r="AM41" s="125"/>
      <c r="AN41" s="216" t="s">
        <v>703</v>
      </c>
      <c r="AO41" s="216" t="s">
        <v>704</v>
      </c>
      <c r="AP41" s="218">
        <v>0.33</v>
      </c>
      <c r="AQ41" s="216" t="s">
        <v>707</v>
      </c>
      <c r="AR41" s="216" t="s">
        <v>706</v>
      </c>
      <c r="AS41" s="218">
        <v>0.33</v>
      </c>
      <c r="AT41" s="137"/>
      <c r="AU41" s="137" t="s">
        <v>616</v>
      </c>
      <c r="AV41" s="137" t="s">
        <v>622</v>
      </c>
      <c r="AW41" s="137" t="s">
        <v>622</v>
      </c>
      <c r="AX41" s="137" t="s">
        <v>622</v>
      </c>
      <c r="AY41" s="137" t="s">
        <v>748</v>
      </c>
    </row>
    <row r="42" spans="1:51" s="149" customFormat="1" ht="151.5" hidden="1" customHeight="1" x14ac:dyDescent="0.25">
      <c r="A42" s="374"/>
      <c r="B42" s="344"/>
      <c r="C42" s="373"/>
      <c r="D42" s="367"/>
      <c r="E42" s="353"/>
      <c r="F42" s="353"/>
      <c r="G42" s="353"/>
      <c r="H42" s="371"/>
      <c r="I42" s="353"/>
      <c r="J42" s="369"/>
      <c r="K42" s="362"/>
      <c r="L42" s="359"/>
      <c r="M42" s="364"/>
      <c r="N42" s="138"/>
      <c r="O42" s="362"/>
      <c r="P42" s="359"/>
      <c r="Q42" s="356"/>
      <c r="R42" s="128">
        <v>3</v>
      </c>
      <c r="S42" s="97"/>
      <c r="T42" s="129" t="str">
        <f t="shared" si="39"/>
        <v/>
      </c>
      <c r="U42" s="130"/>
      <c r="V42" s="130"/>
      <c r="W42" s="131"/>
      <c r="X42" s="130"/>
      <c r="Y42" s="130"/>
      <c r="Z42" s="130"/>
      <c r="AA42" s="132" t="str">
        <f>IFERROR(IF(T42="Probabilidad",(AA41-(+AA41*W42)),IF(T42="Impacto",L42,"")),"")</f>
        <v/>
      </c>
      <c r="AB42" s="133" t="str">
        <f t="shared" si="41"/>
        <v/>
      </c>
      <c r="AC42" s="134" t="str">
        <f t="shared" si="42"/>
        <v/>
      </c>
      <c r="AD42" s="133" t="str">
        <f t="shared" si="43"/>
        <v/>
      </c>
      <c r="AE42" s="134" t="str">
        <f t="shared" si="44"/>
        <v/>
      </c>
      <c r="AF42" s="135" t="str">
        <f t="shared" si="45"/>
        <v/>
      </c>
      <c r="AG42" s="136"/>
      <c r="AH42" s="97"/>
      <c r="AI42" s="125"/>
      <c r="AJ42" s="137"/>
      <c r="AK42" s="137"/>
      <c r="AL42" s="97"/>
      <c r="AM42" s="125"/>
      <c r="AN42" s="216"/>
      <c r="AO42" s="216"/>
      <c r="AP42" s="218"/>
      <c r="AQ42" s="216"/>
      <c r="AR42" s="216"/>
      <c r="AS42" s="218"/>
      <c r="AT42" s="137"/>
      <c r="AU42" s="137" t="s">
        <v>616</v>
      </c>
      <c r="AV42" s="137" t="s">
        <v>622</v>
      </c>
      <c r="AW42" s="137" t="s">
        <v>622</v>
      </c>
      <c r="AX42" s="137" t="s">
        <v>622</v>
      </c>
      <c r="AY42" s="137"/>
    </row>
    <row r="43" spans="1:51" s="149" customFormat="1" ht="151.5" customHeight="1" x14ac:dyDescent="0.25">
      <c r="A43" s="374">
        <v>14</v>
      </c>
      <c r="B43" s="342" t="s">
        <v>242</v>
      </c>
      <c r="C43" s="366" t="s">
        <v>385</v>
      </c>
      <c r="D43" s="366" t="s">
        <v>249</v>
      </c>
      <c r="E43" s="365" t="s">
        <v>120</v>
      </c>
      <c r="F43" s="365" t="s">
        <v>250</v>
      </c>
      <c r="G43" s="352" t="s">
        <v>251</v>
      </c>
      <c r="H43" s="370" t="s">
        <v>252</v>
      </c>
      <c r="I43" s="365" t="s">
        <v>328</v>
      </c>
      <c r="J43" s="368">
        <v>900</v>
      </c>
      <c r="K43" s="360" t="str">
        <f>IF(J43&lt;=0,"",IF(J43&lt;=2,"Muy Baja",IF(J43&lt;=24,"Baja",IF(J43&lt;=500,"Media",IF(J43&lt;=5000,"Alta","Muy Alta")))))</f>
        <v>Alta</v>
      </c>
      <c r="L43" s="357">
        <f>IF(K43="","",IF(K43="Muy Baja",0.2,IF(K43="Baja",0.4,IF(K43="Media",0.6,IF(K43="Alta",0.8,IF(K43="Muy Alta",1,))))))</f>
        <v>0.8</v>
      </c>
      <c r="M43" s="363" t="s">
        <v>484</v>
      </c>
      <c r="N43" s="127" t="str">
        <f ca="1">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60" t="str">
        <f ca="1">IF(OR(N43='Tabla Impacto'!$C$11,N43='Tabla Impacto'!$D$11),"Leve",IF(OR(N43='Tabla Impacto'!$C$12,N43='Tabla Impacto'!$D$12),"Menor",IF(OR(N43='Tabla Impacto'!$C$13,N43='Tabla Impacto'!$D$13),"Moderado",IF(OR(N43='Tabla Impacto'!$C$14,N43='Tabla Impacto'!$D$14),"Mayor",IF(OR(N43='Tabla Impacto'!$C$15,N43='Tabla Impacto'!$D$15),"Catastrófico","")))))</f>
        <v>Moderado</v>
      </c>
      <c r="P43" s="357">
        <f ca="1">IF(O43="","",IF(O43="Leve",0.2,IF(O43="Menor",0.4,IF(O43="Moderado",0.6,IF(O43="Mayor",0.8,IF(O43="Catastrófico",1,))))))</f>
        <v>0.6</v>
      </c>
      <c r="Q43" s="354" t="str">
        <f ca="1">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Alto</v>
      </c>
      <c r="R43" s="128">
        <v>1</v>
      </c>
      <c r="S43" s="97" t="s">
        <v>253</v>
      </c>
      <c r="T43" s="129" t="str">
        <f t="shared" ref="T43:T45" si="47">IF(OR(U43="Preventivo",U43="Detectivo"),"Probabilidad",IF(U43="Correctivo","Impacto",""))</f>
        <v>Probabilidad</v>
      </c>
      <c r="U43" s="130" t="s">
        <v>14</v>
      </c>
      <c r="V43" s="130" t="s">
        <v>9</v>
      </c>
      <c r="W43" s="131" t="str">
        <f t="shared" ref="W43" si="48">IF(AND(U43="Preventivo",V43="Automático"),"50%",IF(AND(U43="Preventivo",V43="Manual"),"40%",IF(AND(U43="Detectivo",V43="Automático"),"40%",IF(AND(U43="Detectivo",V43="Manual"),"30%",IF(AND(U43="Correctivo",V43="Automático"),"35%",IF(AND(U43="Correctivo",V43="Manual"),"25%",""))))))</f>
        <v>40%</v>
      </c>
      <c r="X43" s="130" t="s">
        <v>19</v>
      </c>
      <c r="Y43" s="130" t="s">
        <v>22</v>
      </c>
      <c r="Z43" s="130" t="s">
        <v>110</v>
      </c>
      <c r="AA43" s="132">
        <f t="shared" ref="AA43" si="49">IFERROR(IF(T43="Probabilidad",(L43-(+L43*W43)),IF(T43="Impacto",L43,"")),"")</f>
        <v>0.48</v>
      </c>
      <c r="AB43" s="133" t="str">
        <f t="shared" ref="AB43:AB45" si="50">IFERROR(IF(AA43="","",IF(AA43&lt;=0.2,"Muy Baja",IF(AA43&lt;=0.4,"Baja",IF(AA43&lt;=0.6,"Media",IF(AA43&lt;=0.8,"Alta","Muy Alta"))))),"")</f>
        <v>Media</v>
      </c>
      <c r="AC43" s="134">
        <f t="shared" ref="AC43:AC45" si="51">+AA43</f>
        <v>0.48</v>
      </c>
      <c r="AD43" s="133" t="str">
        <f t="shared" ref="AD43:AD45" ca="1" si="52">IFERROR(IF(AE43="","",IF(AE43&lt;=0.2,"Leve",IF(AE43&lt;=0.4,"Menor",IF(AE43&lt;=0.6,"Moderado",IF(AE43&lt;=0.8,"Mayor","Catastrófico"))))),"")</f>
        <v>Moderado</v>
      </c>
      <c r="AE43" s="134">
        <f t="shared" ref="AE43:AE45" ca="1" si="53">IFERROR(IF(T43="Impacto",(P43-(+P43*W43)),IF(T43="Probabilidad",P43,"")),"")</f>
        <v>0.6</v>
      </c>
      <c r="AF43" s="135" t="str">
        <f t="shared" ref="AF43:AF45" ca="1" si="54">IFERROR(IF(OR(AND(AB43="Muy Baja",AD43="Leve"),AND(AB43="Muy Baja",AD43="Menor"),AND(AB43="Baja",AD43="Leve")),"Bajo",IF(OR(AND(AB43="Muy baja",AD43="Moderado"),AND(AB43="Baja",AD43="Menor"),AND(AB43="Baja",AD43="Moderado"),AND(AB43="Media",AD43="Leve"),AND(AB43="Media",AD43="Menor"),AND(AB43="Media",AD43="Moderado"),AND(AB43="Alta",AD43="Leve"),AND(AB43="Alta",AD43="Menor")),"Moderado",IF(OR(AND(AB43="Muy Baja",AD43="Mayor"),AND(AB43="Baja",AD43="Mayor"),AND(AB43="Media",AD43="Mayor"),AND(AB43="Alta",AD43="Moderado"),AND(AB43="Alta",AD43="Mayor"),AND(AB43="Muy Alta",AD43="Leve"),AND(AB43="Muy Alta",AD43="Menor"),AND(AB43="Muy Alta",AD43="Moderado"),AND(AB43="Muy Alta",AD43="Mayor")),"Alto",IF(OR(AND(AB43="Muy Baja",AD43="Catastrófico"),AND(AB43="Baja",AD43="Catastrófico"),AND(AB43="Media",AD43="Catastrófico"),AND(AB43="Alta",AD43="Catastrófico"),AND(AB43="Muy Alta",AD43="Catastrófico")),"Extremo","")))),"")</f>
        <v>Moderado</v>
      </c>
      <c r="AG43" s="136" t="s">
        <v>122</v>
      </c>
      <c r="AH43" s="97" t="s">
        <v>254</v>
      </c>
      <c r="AI43" s="125" t="s">
        <v>203</v>
      </c>
      <c r="AJ43" s="137">
        <v>44562</v>
      </c>
      <c r="AK43" s="137">
        <v>44926</v>
      </c>
      <c r="AL43" s="97" t="s">
        <v>255</v>
      </c>
      <c r="AM43" s="125"/>
      <c r="AN43" s="216" t="s">
        <v>708</v>
      </c>
      <c r="AO43" s="216" t="s">
        <v>709</v>
      </c>
      <c r="AP43" s="218">
        <v>0.33</v>
      </c>
      <c r="AQ43" s="216" t="s">
        <v>710</v>
      </c>
      <c r="AR43" s="216" t="s">
        <v>711</v>
      </c>
      <c r="AS43" s="218" t="s">
        <v>617</v>
      </c>
      <c r="AT43" s="137"/>
      <c r="AU43" s="137" t="s">
        <v>616</v>
      </c>
      <c r="AV43" s="137" t="s">
        <v>622</v>
      </c>
      <c r="AW43" s="137" t="s">
        <v>622</v>
      </c>
      <c r="AX43" s="137" t="s">
        <v>622</v>
      </c>
      <c r="AY43" s="137" t="s">
        <v>798</v>
      </c>
    </row>
    <row r="44" spans="1:51" s="149" customFormat="1" ht="151.5" hidden="1" customHeight="1" x14ac:dyDescent="0.25">
      <c r="A44" s="374"/>
      <c r="B44" s="343"/>
      <c r="C44" s="373"/>
      <c r="D44" s="367"/>
      <c r="E44" s="353"/>
      <c r="F44" s="353"/>
      <c r="G44" s="353"/>
      <c r="H44" s="371"/>
      <c r="I44" s="353"/>
      <c r="J44" s="369"/>
      <c r="K44" s="361"/>
      <c r="L44" s="358"/>
      <c r="M44" s="364"/>
      <c r="N44" s="138"/>
      <c r="O44" s="361"/>
      <c r="P44" s="358"/>
      <c r="Q44" s="355"/>
      <c r="R44" s="128">
        <v>2</v>
      </c>
      <c r="S44" s="97"/>
      <c r="T44" s="129" t="str">
        <f t="shared" si="47"/>
        <v/>
      </c>
      <c r="U44" s="130"/>
      <c r="V44" s="130"/>
      <c r="W44" s="131"/>
      <c r="X44" s="130"/>
      <c r="Y44" s="130"/>
      <c r="Z44" s="130"/>
      <c r="AA44" s="132" t="str">
        <f>IFERROR(IF(T44="Probabilidad",(AA43-(+AA43*W44)),IF(T44="Impacto",L44,"")),"")</f>
        <v/>
      </c>
      <c r="AB44" s="133" t="str">
        <f t="shared" si="50"/>
        <v/>
      </c>
      <c r="AC44" s="134" t="str">
        <f t="shared" si="51"/>
        <v/>
      </c>
      <c r="AD44" s="133" t="str">
        <f t="shared" si="52"/>
        <v/>
      </c>
      <c r="AE44" s="134" t="str">
        <f t="shared" si="53"/>
        <v/>
      </c>
      <c r="AF44" s="135" t="str">
        <f t="shared" si="54"/>
        <v/>
      </c>
      <c r="AG44" s="136"/>
      <c r="AH44" s="97"/>
      <c r="AI44" s="125"/>
      <c r="AJ44" s="137"/>
      <c r="AK44" s="137"/>
      <c r="AL44" s="97"/>
      <c r="AM44" s="125"/>
      <c r="AN44" s="216"/>
      <c r="AO44" s="216"/>
      <c r="AP44" s="218"/>
      <c r="AQ44" s="216"/>
      <c r="AR44" s="216"/>
      <c r="AS44" s="218"/>
      <c r="AT44" s="137"/>
      <c r="AU44" s="137" t="s">
        <v>616</v>
      </c>
      <c r="AV44" s="137" t="s">
        <v>622</v>
      </c>
      <c r="AW44" s="137" t="s">
        <v>622</v>
      </c>
      <c r="AX44" s="137" t="s">
        <v>622</v>
      </c>
      <c r="AY44" s="137"/>
    </row>
    <row r="45" spans="1:51" s="149" customFormat="1" ht="151.5" hidden="1" customHeight="1" x14ac:dyDescent="0.25">
      <c r="A45" s="374"/>
      <c r="B45" s="344"/>
      <c r="C45" s="373"/>
      <c r="D45" s="367"/>
      <c r="E45" s="353"/>
      <c r="F45" s="353"/>
      <c r="G45" s="353"/>
      <c r="H45" s="371"/>
      <c r="I45" s="353"/>
      <c r="J45" s="369"/>
      <c r="K45" s="362"/>
      <c r="L45" s="359"/>
      <c r="M45" s="364"/>
      <c r="N45" s="138"/>
      <c r="O45" s="362"/>
      <c r="P45" s="359"/>
      <c r="Q45" s="356"/>
      <c r="R45" s="128">
        <v>3</v>
      </c>
      <c r="S45" s="97"/>
      <c r="T45" s="129" t="str">
        <f t="shared" si="47"/>
        <v/>
      </c>
      <c r="U45" s="130"/>
      <c r="V45" s="130"/>
      <c r="W45" s="131"/>
      <c r="X45" s="130"/>
      <c r="Y45" s="130"/>
      <c r="Z45" s="130"/>
      <c r="AA45" s="132" t="str">
        <f>IFERROR(IF(T45="Probabilidad",(AA44-(+AA44*W45)),IF(T45="Impacto",L45,"")),"")</f>
        <v/>
      </c>
      <c r="AB45" s="133" t="str">
        <f t="shared" si="50"/>
        <v/>
      </c>
      <c r="AC45" s="134" t="str">
        <f t="shared" si="51"/>
        <v/>
      </c>
      <c r="AD45" s="133" t="str">
        <f t="shared" si="52"/>
        <v/>
      </c>
      <c r="AE45" s="134" t="str">
        <f t="shared" si="53"/>
        <v/>
      </c>
      <c r="AF45" s="135" t="str">
        <f t="shared" si="54"/>
        <v/>
      </c>
      <c r="AG45" s="136"/>
      <c r="AH45" s="97"/>
      <c r="AI45" s="125"/>
      <c r="AJ45" s="137"/>
      <c r="AK45" s="137"/>
      <c r="AL45" s="97"/>
      <c r="AM45" s="125"/>
      <c r="AN45" s="216"/>
      <c r="AO45" s="216"/>
      <c r="AP45" s="218"/>
      <c r="AQ45" s="216"/>
      <c r="AR45" s="216"/>
      <c r="AS45" s="218"/>
      <c r="AT45" s="137"/>
      <c r="AU45" s="137" t="s">
        <v>616</v>
      </c>
      <c r="AV45" s="137" t="s">
        <v>622</v>
      </c>
      <c r="AW45" s="137" t="s">
        <v>622</v>
      </c>
      <c r="AX45" s="137" t="s">
        <v>622</v>
      </c>
      <c r="AY45" s="137"/>
    </row>
    <row r="46" spans="1:51" s="149" customFormat="1" ht="151.5" customHeight="1" x14ac:dyDescent="0.25">
      <c r="A46" s="374">
        <v>15</v>
      </c>
      <c r="B46" s="342" t="s">
        <v>242</v>
      </c>
      <c r="C46" s="366" t="s">
        <v>385</v>
      </c>
      <c r="D46" s="366" t="s">
        <v>249</v>
      </c>
      <c r="E46" s="365" t="s">
        <v>118</v>
      </c>
      <c r="F46" s="365" t="s">
        <v>256</v>
      </c>
      <c r="G46" s="365" t="s">
        <v>257</v>
      </c>
      <c r="H46" s="370" t="s">
        <v>544</v>
      </c>
      <c r="I46" s="365" t="s">
        <v>115</v>
      </c>
      <c r="J46" s="368">
        <v>40</v>
      </c>
      <c r="K46" s="360" t="str">
        <f>IF(J46&lt;=0,"",IF(J46&lt;=2,"Muy Baja",IF(J46&lt;=24,"Baja",IF(J46&lt;=500,"Media",IF(J46&lt;=5000,"Alta","Muy Alta")))))</f>
        <v>Media</v>
      </c>
      <c r="L46" s="357">
        <f>IF(K46="","",IF(K46="Muy Baja",0.2,IF(K46="Baja",0.4,IF(K46="Media",0.6,IF(K46="Alta",0.8,IF(K46="Muy Alta",1,))))))</f>
        <v>0.6</v>
      </c>
      <c r="M46" s="363" t="s">
        <v>484</v>
      </c>
      <c r="N46" s="127" t="str">
        <f ca="1">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60" t="str">
        <f ca="1">IF(OR(N46='Tabla Impacto'!$C$11,N46='Tabla Impacto'!$D$11),"Leve",IF(OR(N46='Tabla Impacto'!$C$12,N46='Tabla Impacto'!$D$12),"Menor",IF(OR(N46='Tabla Impacto'!$C$13,N46='Tabla Impacto'!$D$13),"Moderado",IF(OR(N46='Tabla Impacto'!$C$14,N46='Tabla Impacto'!$D$14),"Mayor",IF(OR(N46='Tabla Impacto'!$C$15,N46='Tabla Impacto'!$D$15),"Catastrófico","")))))</f>
        <v>Moderado</v>
      </c>
      <c r="P46" s="357">
        <f ca="1">IF(O46="","",IF(O46="Leve",0.2,IF(O46="Menor",0.4,IF(O46="Moderado",0.6,IF(O46="Mayor",0.8,IF(O46="Catastrófico",1,))))))</f>
        <v>0.6</v>
      </c>
      <c r="Q46" s="354" t="str">
        <f ca="1">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28">
        <v>1</v>
      </c>
      <c r="S46" s="97" t="s">
        <v>545</v>
      </c>
      <c r="T46" s="129" t="str">
        <f t="shared" si="25"/>
        <v>Probabilidad</v>
      </c>
      <c r="U46" s="130" t="s">
        <v>14</v>
      </c>
      <c r="V46" s="130" t="s">
        <v>9</v>
      </c>
      <c r="W46" s="131" t="str">
        <f t="shared" si="26"/>
        <v>40%</v>
      </c>
      <c r="X46" s="130" t="s">
        <v>19</v>
      </c>
      <c r="Y46" s="130" t="s">
        <v>22</v>
      </c>
      <c r="Z46" s="130" t="s">
        <v>110</v>
      </c>
      <c r="AA46" s="132">
        <f t="shared" si="27"/>
        <v>0.36</v>
      </c>
      <c r="AB46" s="133" t="str">
        <f t="shared" si="28"/>
        <v>Baja</v>
      </c>
      <c r="AC46" s="134">
        <f t="shared" si="29"/>
        <v>0.36</v>
      </c>
      <c r="AD46" s="133" t="str">
        <f t="shared" ca="1" si="30"/>
        <v>Moderado</v>
      </c>
      <c r="AE46" s="134">
        <f t="shared" ca="1" si="31"/>
        <v>0.6</v>
      </c>
      <c r="AF46" s="135" t="str">
        <f t="shared" ca="1" si="32"/>
        <v>Moderado</v>
      </c>
      <c r="AG46" s="136" t="s">
        <v>122</v>
      </c>
      <c r="AH46" s="124" t="s">
        <v>259</v>
      </c>
      <c r="AI46" s="125" t="s">
        <v>260</v>
      </c>
      <c r="AJ46" s="137">
        <v>44562</v>
      </c>
      <c r="AK46" s="137">
        <v>44926</v>
      </c>
      <c r="AL46" s="97" t="s">
        <v>255</v>
      </c>
      <c r="AM46" s="125"/>
      <c r="AN46" s="216" t="s">
        <v>799</v>
      </c>
      <c r="AO46" s="216" t="s">
        <v>712</v>
      </c>
      <c r="AP46" s="218">
        <v>0.33</v>
      </c>
      <c r="AQ46" s="216" t="s">
        <v>713</v>
      </c>
      <c r="AR46" s="216" t="s">
        <v>747</v>
      </c>
      <c r="AS46" s="218">
        <v>0.33</v>
      </c>
      <c r="AT46" s="137"/>
      <c r="AU46" s="137" t="s">
        <v>616</v>
      </c>
      <c r="AV46" s="137" t="s">
        <v>622</v>
      </c>
      <c r="AW46" s="137" t="s">
        <v>622</v>
      </c>
      <c r="AX46" s="137" t="s">
        <v>622</v>
      </c>
      <c r="AY46" s="137" t="s">
        <v>748</v>
      </c>
    </row>
    <row r="47" spans="1:51" s="149" customFormat="1" ht="151.5" hidden="1" customHeight="1" x14ac:dyDescent="0.25">
      <c r="A47" s="374"/>
      <c r="B47" s="343"/>
      <c r="C47" s="373"/>
      <c r="D47" s="367"/>
      <c r="E47" s="353"/>
      <c r="F47" s="353"/>
      <c r="G47" s="353"/>
      <c r="H47" s="371"/>
      <c r="I47" s="353"/>
      <c r="J47" s="369"/>
      <c r="K47" s="361"/>
      <c r="L47" s="358"/>
      <c r="M47" s="364"/>
      <c r="N47" s="138"/>
      <c r="O47" s="361"/>
      <c r="P47" s="358"/>
      <c r="Q47" s="355"/>
      <c r="R47" s="128">
        <v>2</v>
      </c>
      <c r="S47" s="97"/>
      <c r="T47" s="129" t="str">
        <f t="shared" ref="T47:T48" si="55">IF(OR(U47="Preventivo",U47="Detectivo"),"Probabilidad",IF(U47="Correctivo","Impacto",""))</f>
        <v/>
      </c>
      <c r="U47" s="130"/>
      <c r="V47" s="130"/>
      <c r="W47" s="131"/>
      <c r="X47" s="130"/>
      <c r="Y47" s="130"/>
      <c r="Z47" s="130"/>
      <c r="AA47" s="132" t="str">
        <f>IFERROR(IF(T47="Probabilidad",(AA46-(+AA46*W47)),IF(T47="Impacto",L47,"")),"")</f>
        <v/>
      </c>
      <c r="AB47" s="133" t="str">
        <f t="shared" ref="AB47:AB48" si="56">IFERROR(IF(AA47="","",IF(AA47&lt;=0.2,"Muy Baja",IF(AA47&lt;=0.4,"Baja",IF(AA47&lt;=0.6,"Media",IF(AA47&lt;=0.8,"Alta","Muy Alta"))))),"")</f>
        <v/>
      </c>
      <c r="AC47" s="134" t="str">
        <f t="shared" ref="AC47:AC48" si="57">+AA47</f>
        <v/>
      </c>
      <c r="AD47" s="133" t="str">
        <f t="shared" ref="AD47:AD48" si="58">IFERROR(IF(AE47="","",IF(AE47&lt;=0.2,"Leve",IF(AE47&lt;=0.4,"Menor",IF(AE47&lt;=0.6,"Moderado",IF(AE47&lt;=0.8,"Mayor","Catastrófico"))))),"")</f>
        <v/>
      </c>
      <c r="AE47" s="134" t="str">
        <f t="shared" ref="AE47:AE48" si="59">IFERROR(IF(T47="Impacto",(P47-(+P47*W47)),IF(T47="Probabilidad",P47,"")),"")</f>
        <v/>
      </c>
      <c r="AF47" s="135" t="str">
        <f t="shared" ref="AF47:AF48" si="60">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
      </c>
      <c r="AG47" s="136"/>
      <c r="AH47" s="97"/>
      <c r="AI47" s="125"/>
      <c r="AJ47" s="137"/>
      <c r="AK47" s="137"/>
      <c r="AL47" s="97"/>
      <c r="AM47" s="125"/>
      <c r="AN47" s="216"/>
      <c r="AO47" s="216"/>
      <c r="AP47" s="218"/>
      <c r="AQ47" s="216"/>
      <c r="AR47" s="216"/>
      <c r="AS47" s="218"/>
      <c r="AT47" s="137"/>
      <c r="AU47" s="137" t="s">
        <v>616</v>
      </c>
      <c r="AV47" s="137" t="s">
        <v>622</v>
      </c>
      <c r="AW47" s="137" t="s">
        <v>622</v>
      </c>
      <c r="AX47" s="137" t="s">
        <v>622</v>
      </c>
      <c r="AY47" s="137"/>
    </row>
    <row r="48" spans="1:51" s="149" customFormat="1" ht="151.5" hidden="1" customHeight="1" x14ac:dyDescent="0.25">
      <c r="A48" s="374"/>
      <c r="B48" s="344"/>
      <c r="C48" s="373"/>
      <c r="D48" s="367"/>
      <c r="E48" s="353"/>
      <c r="F48" s="353"/>
      <c r="G48" s="353"/>
      <c r="H48" s="371"/>
      <c r="I48" s="353"/>
      <c r="J48" s="369"/>
      <c r="K48" s="362"/>
      <c r="L48" s="359"/>
      <c r="M48" s="364"/>
      <c r="N48" s="138"/>
      <c r="O48" s="362"/>
      <c r="P48" s="359"/>
      <c r="Q48" s="356"/>
      <c r="R48" s="128">
        <v>3</v>
      </c>
      <c r="S48" s="97"/>
      <c r="T48" s="129" t="str">
        <f t="shared" si="55"/>
        <v/>
      </c>
      <c r="U48" s="130"/>
      <c r="V48" s="130"/>
      <c r="W48" s="131"/>
      <c r="X48" s="130"/>
      <c r="Y48" s="130"/>
      <c r="Z48" s="130"/>
      <c r="AA48" s="132" t="str">
        <f>IFERROR(IF(T48="Probabilidad",(AA47-(+AA47*W48)),IF(T48="Impacto",L48,"")),"")</f>
        <v/>
      </c>
      <c r="AB48" s="133" t="str">
        <f t="shared" si="56"/>
        <v/>
      </c>
      <c r="AC48" s="134" t="str">
        <f t="shared" si="57"/>
        <v/>
      </c>
      <c r="AD48" s="133" t="str">
        <f t="shared" si="58"/>
        <v/>
      </c>
      <c r="AE48" s="134" t="str">
        <f t="shared" si="59"/>
        <v/>
      </c>
      <c r="AF48" s="135" t="str">
        <f t="shared" si="60"/>
        <v/>
      </c>
      <c r="AG48" s="136"/>
      <c r="AH48" s="97"/>
      <c r="AI48" s="125"/>
      <c r="AJ48" s="137"/>
      <c r="AK48" s="137"/>
      <c r="AL48" s="97"/>
      <c r="AM48" s="125"/>
      <c r="AN48" s="216"/>
      <c r="AO48" s="216"/>
      <c r="AP48" s="218"/>
      <c r="AQ48" s="216"/>
      <c r="AR48" s="216"/>
      <c r="AS48" s="218"/>
      <c r="AT48" s="137"/>
      <c r="AU48" s="137" t="s">
        <v>616</v>
      </c>
      <c r="AV48" s="137" t="s">
        <v>622</v>
      </c>
      <c r="AW48" s="137" t="s">
        <v>622</v>
      </c>
      <c r="AX48" s="137" t="s">
        <v>622</v>
      </c>
      <c r="AY48" s="137"/>
    </row>
    <row r="49" spans="1:51" s="149" customFormat="1" ht="151.5" customHeight="1" x14ac:dyDescent="0.25">
      <c r="A49" s="374">
        <v>16</v>
      </c>
      <c r="B49" s="342" t="s">
        <v>242</v>
      </c>
      <c r="C49" s="366" t="s">
        <v>385</v>
      </c>
      <c r="D49" s="366" t="s">
        <v>249</v>
      </c>
      <c r="E49" s="365" t="s">
        <v>120</v>
      </c>
      <c r="F49" s="365" t="s">
        <v>441</v>
      </c>
      <c r="G49" s="365" t="s">
        <v>262</v>
      </c>
      <c r="H49" s="370" t="s">
        <v>261</v>
      </c>
      <c r="I49" s="365" t="s">
        <v>328</v>
      </c>
      <c r="J49" s="368" t="s">
        <v>258</v>
      </c>
      <c r="K49" s="360" t="str">
        <f>IF(J49&lt;=0,"",IF(J49&lt;=2,"Muy Baja",IF(J49&lt;=24,"Baja",IF(J49&lt;=500,"Media",IF(J49&lt;=5000,"Alta","Muy Alta")))))</f>
        <v>Muy Alta</v>
      </c>
      <c r="L49" s="357">
        <f>IF(K49="","",IF(K49="Muy Baja",0.2,IF(K49="Baja",0.4,IF(K49="Media",0.6,IF(K49="Alta",0.8,IF(K49="Muy Alta",1,))))))</f>
        <v>1</v>
      </c>
      <c r="M49" s="363" t="s">
        <v>491</v>
      </c>
      <c r="N49" s="127" t="str">
        <f ca="1">IF(NOT(ISERROR(MATCH(M49,'Tabla Impacto'!$B$221:$B$223,0))),'Tabla Impacto'!$F$223&amp;"Por favor no seleccionar los criterios de impacto(Afectación Económica o presupuestal y Pérdida Reputacional)",M49)</f>
        <v xml:space="preserve"> El riesgo afecta la imagen de la entidad con efecto publicitario sostenido a nivel de sector administrativo, nivel departamental o municipal</v>
      </c>
      <c r="O49" s="360" t="str">
        <f ca="1">IF(OR(N49='Tabla Impacto'!$C$11,N49='Tabla Impacto'!$D$11),"Leve",IF(OR(N49='Tabla Impacto'!$C$12,N49='Tabla Impacto'!$D$12),"Menor",IF(OR(N49='Tabla Impacto'!$C$13,N49='Tabla Impacto'!$D$13),"Moderado",IF(OR(N49='Tabla Impacto'!$C$14,N49='Tabla Impacto'!$D$14),"Mayor",IF(OR(N49='Tabla Impacto'!$C$15,N49='Tabla Impacto'!$D$15),"Catastrófico","")))))</f>
        <v>Mayor</v>
      </c>
      <c r="P49" s="357">
        <f ca="1">IF(O49="","",IF(O49="Leve",0.2,IF(O49="Menor",0.4,IF(O49="Moderado",0.6,IF(O49="Mayor",0.8,IF(O49="Catastrófico",1,))))))</f>
        <v>0.8</v>
      </c>
      <c r="Q49" s="354" t="str">
        <f ca="1">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28">
        <v>1</v>
      </c>
      <c r="S49" s="97" t="s">
        <v>263</v>
      </c>
      <c r="T49" s="129" t="str">
        <f t="shared" ref="T49:T51" si="61">IF(OR(U49="Preventivo",U49="Detectivo"),"Probabilidad",IF(U49="Correctivo","Impacto",""))</f>
        <v>Probabilidad</v>
      </c>
      <c r="U49" s="130" t="s">
        <v>14</v>
      </c>
      <c r="V49" s="130" t="s">
        <v>9</v>
      </c>
      <c r="W49" s="131" t="str">
        <f t="shared" ref="W49" si="62">IF(AND(U49="Preventivo",V49="Automático"),"50%",IF(AND(U49="Preventivo",V49="Manual"),"40%",IF(AND(U49="Detectivo",V49="Automático"),"40%",IF(AND(U49="Detectivo",V49="Manual"),"30%",IF(AND(U49="Correctivo",V49="Automático"),"35%",IF(AND(U49="Correctivo",V49="Manual"),"25%",""))))))</f>
        <v>40%</v>
      </c>
      <c r="X49" s="130" t="s">
        <v>19</v>
      </c>
      <c r="Y49" s="130" t="s">
        <v>22</v>
      </c>
      <c r="Z49" s="130" t="s">
        <v>110</v>
      </c>
      <c r="AA49" s="132">
        <f t="shared" ref="AA49" si="63">IFERROR(IF(T49="Probabilidad",(L49-(+L49*W49)),IF(T49="Impacto",L49,"")),"")</f>
        <v>0.6</v>
      </c>
      <c r="AB49" s="133" t="str">
        <f t="shared" ref="AB49:AB51" si="64">IFERROR(IF(AA49="","",IF(AA49&lt;=0.2,"Muy Baja",IF(AA49&lt;=0.4,"Baja",IF(AA49&lt;=0.6,"Media",IF(AA49&lt;=0.8,"Alta","Muy Alta"))))),"")</f>
        <v>Media</v>
      </c>
      <c r="AC49" s="134">
        <f t="shared" ref="AC49:AC51" si="65">+AA49</f>
        <v>0.6</v>
      </c>
      <c r="AD49" s="133" t="str">
        <f t="shared" ref="AD49:AD51" ca="1" si="66">IFERROR(IF(AE49="","",IF(AE49&lt;=0.2,"Leve",IF(AE49&lt;=0.4,"Menor",IF(AE49&lt;=0.6,"Moderado",IF(AE49&lt;=0.8,"Mayor","Catastrófico"))))),"")</f>
        <v>Mayor</v>
      </c>
      <c r="AE49" s="134">
        <f t="shared" ref="AE49:AE51" ca="1" si="67">IFERROR(IF(T49="Impacto",(P49-(+P49*W49)),IF(T49="Probabilidad",P49,"")),"")</f>
        <v>0.8</v>
      </c>
      <c r="AF49" s="135" t="str">
        <f t="shared" ref="AF49:AF51" ca="1" si="68">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Alto</v>
      </c>
      <c r="AG49" s="136" t="s">
        <v>122</v>
      </c>
      <c r="AH49" s="97" t="s">
        <v>517</v>
      </c>
      <c r="AI49" s="125" t="s">
        <v>203</v>
      </c>
      <c r="AJ49" s="137">
        <v>44562</v>
      </c>
      <c r="AK49" s="137">
        <v>44926</v>
      </c>
      <c r="AL49" s="124" t="s">
        <v>264</v>
      </c>
      <c r="AM49" s="125"/>
      <c r="AN49" s="216" t="s">
        <v>714</v>
      </c>
      <c r="AO49" s="216" t="s">
        <v>715</v>
      </c>
      <c r="AP49" s="218">
        <v>0.33</v>
      </c>
      <c r="AQ49" s="216" t="s">
        <v>800</v>
      </c>
      <c r="AR49" s="216" t="s">
        <v>716</v>
      </c>
      <c r="AS49" s="218" t="s">
        <v>617</v>
      </c>
      <c r="AT49" s="137"/>
      <c r="AU49" s="137" t="s">
        <v>616</v>
      </c>
      <c r="AV49" s="137" t="s">
        <v>622</v>
      </c>
      <c r="AW49" s="137" t="s">
        <v>622</v>
      </c>
      <c r="AX49" s="137" t="s">
        <v>622</v>
      </c>
      <c r="AY49" s="137" t="s">
        <v>798</v>
      </c>
    </row>
    <row r="50" spans="1:51" s="149" customFormat="1" ht="151.5" hidden="1" customHeight="1" x14ac:dyDescent="0.25">
      <c r="A50" s="374"/>
      <c r="B50" s="343"/>
      <c r="C50" s="373"/>
      <c r="D50" s="367"/>
      <c r="E50" s="353"/>
      <c r="F50" s="353"/>
      <c r="G50" s="353"/>
      <c r="H50" s="371"/>
      <c r="I50" s="353"/>
      <c r="J50" s="369"/>
      <c r="K50" s="361"/>
      <c r="L50" s="358"/>
      <c r="M50" s="364"/>
      <c r="N50" s="138"/>
      <c r="O50" s="361"/>
      <c r="P50" s="358"/>
      <c r="Q50" s="355"/>
      <c r="R50" s="128">
        <v>2</v>
      </c>
      <c r="S50" s="97"/>
      <c r="T50" s="129" t="str">
        <f t="shared" si="61"/>
        <v/>
      </c>
      <c r="U50" s="130"/>
      <c r="V50" s="130"/>
      <c r="W50" s="131"/>
      <c r="X50" s="130"/>
      <c r="Y50" s="130"/>
      <c r="Z50" s="130"/>
      <c r="AA50" s="132" t="str">
        <f>IFERROR(IF(T50="Probabilidad",(AA49-(+AA49*W50)),IF(T50="Impacto",L50,"")),"")</f>
        <v/>
      </c>
      <c r="AB50" s="133" t="str">
        <f t="shared" si="64"/>
        <v/>
      </c>
      <c r="AC50" s="134" t="str">
        <f t="shared" si="65"/>
        <v/>
      </c>
      <c r="AD50" s="133" t="str">
        <f t="shared" si="66"/>
        <v/>
      </c>
      <c r="AE50" s="134" t="str">
        <f t="shared" si="67"/>
        <v/>
      </c>
      <c r="AF50" s="135" t="str">
        <f t="shared" si="68"/>
        <v/>
      </c>
      <c r="AG50" s="136"/>
      <c r="AH50" s="97"/>
      <c r="AI50" s="125"/>
      <c r="AJ50" s="137"/>
      <c r="AK50" s="137"/>
      <c r="AL50" s="97"/>
      <c r="AM50" s="125"/>
      <c r="AN50" s="216"/>
      <c r="AO50" s="216"/>
      <c r="AP50" s="218"/>
      <c r="AQ50" s="216"/>
      <c r="AR50" s="216"/>
      <c r="AS50" s="218"/>
      <c r="AT50" s="137"/>
      <c r="AU50" s="137" t="s">
        <v>616</v>
      </c>
      <c r="AV50" s="137" t="s">
        <v>622</v>
      </c>
      <c r="AW50" s="137" t="s">
        <v>622</v>
      </c>
      <c r="AX50" s="137" t="s">
        <v>622</v>
      </c>
      <c r="AY50" s="137"/>
    </row>
    <row r="51" spans="1:51" s="149" customFormat="1" ht="151.5" hidden="1" customHeight="1" x14ac:dyDescent="0.25">
      <c r="A51" s="376"/>
      <c r="B51" s="344"/>
      <c r="C51" s="373"/>
      <c r="D51" s="367"/>
      <c r="E51" s="353"/>
      <c r="F51" s="353"/>
      <c r="G51" s="353"/>
      <c r="H51" s="371"/>
      <c r="I51" s="353"/>
      <c r="J51" s="369"/>
      <c r="K51" s="362"/>
      <c r="L51" s="359"/>
      <c r="M51" s="364"/>
      <c r="N51" s="138"/>
      <c r="O51" s="362"/>
      <c r="P51" s="359"/>
      <c r="Q51" s="356"/>
      <c r="R51" s="128">
        <v>3</v>
      </c>
      <c r="S51" s="97"/>
      <c r="T51" s="129" t="str">
        <f t="shared" si="61"/>
        <v/>
      </c>
      <c r="U51" s="130"/>
      <c r="V51" s="130"/>
      <c r="W51" s="131"/>
      <c r="X51" s="130"/>
      <c r="Y51" s="130"/>
      <c r="Z51" s="130"/>
      <c r="AA51" s="132" t="str">
        <f>IFERROR(IF(T51="Probabilidad",(AA50-(+AA50*W51)),IF(T51="Impacto",L51,"")),"")</f>
        <v/>
      </c>
      <c r="AB51" s="133" t="str">
        <f t="shared" si="64"/>
        <v/>
      </c>
      <c r="AC51" s="134" t="str">
        <f t="shared" si="65"/>
        <v/>
      </c>
      <c r="AD51" s="133" t="str">
        <f t="shared" si="66"/>
        <v/>
      </c>
      <c r="AE51" s="134" t="str">
        <f t="shared" si="67"/>
        <v/>
      </c>
      <c r="AF51" s="135" t="str">
        <f t="shared" si="68"/>
        <v/>
      </c>
      <c r="AG51" s="136"/>
      <c r="AH51" s="97"/>
      <c r="AI51" s="125"/>
      <c r="AJ51" s="137"/>
      <c r="AK51" s="137"/>
      <c r="AL51" s="97"/>
      <c r="AM51" s="125"/>
      <c r="AN51" s="216"/>
      <c r="AO51" s="216"/>
      <c r="AP51" s="218"/>
      <c r="AQ51" s="216"/>
      <c r="AR51" s="216"/>
      <c r="AS51" s="218"/>
      <c r="AT51" s="137"/>
      <c r="AU51" s="137" t="s">
        <v>616</v>
      </c>
      <c r="AV51" s="137" t="s">
        <v>622</v>
      </c>
      <c r="AW51" s="137" t="s">
        <v>622</v>
      </c>
      <c r="AX51" s="137" t="s">
        <v>622</v>
      </c>
      <c r="AY51" s="137"/>
    </row>
    <row r="52" spans="1:51" s="149" customFormat="1" ht="168.75" customHeight="1" x14ac:dyDescent="0.25">
      <c r="A52" s="375">
        <v>17</v>
      </c>
      <c r="B52" s="342" t="s">
        <v>242</v>
      </c>
      <c r="C52" s="366" t="s">
        <v>385</v>
      </c>
      <c r="D52" s="366" t="s">
        <v>249</v>
      </c>
      <c r="E52" s="365" t="s">
        <v>120</v>
      </c>
      <c r="F52" s="365" t="s">
        <v>442</v>
      </c>
      <c r="G52" s="365" t="s">
        <v>266</v>
      </c>
      <c r="H52" s="370" t="s">
        <v>265</v>
      </c>
      <c r="I52" s="365" t="s">
        <v>328</v>
      </c>
      <c r="J52" s="368">
        <v>60</v>
      </c>
      <c r="K52" s="360" t="str">
        <f>IF(J52&lt;=0,"",IF(J52&lt;=2,"Muy Baja",IF(J52&lt;=24,"Baja",IF(J52&lt;=500,"Media",IF(J52&lt;=5000,"Alta","Muy Alta")))))</f>
        <v>Media</v>
      </c>
      <c r="L52" s="357">
        <f>IF(K52="","",IF(K52="Muy Baja",0.2,IF(K52="Baja",0.4,IF(K52="Media",0.6,IF(K52="Alta",0.8,IF(K52="Muy Alta",1,))))))</f>
        <v>0.6</v>
      </c>
      <c r="M52" s="363" t="s">
        <v>484</v>
      </c>
      <c r="N52" s="127" t="str">
        <f ca="1">IF(NOT(ISERROR(MATCH(M52,'Tabla Impacto'!$B$221:$B$223,0))),'Tabla Impacto'!$F$223&amp;"Por favor no seleccionar los criterios de impacto(Afectación Económica o presupuestal y Pérdida Reputacional)",M52)</f>
        <v xml:space="preserve"> El riesgo afecta la imagen de la entidad con algunos usuarios de relevancia frente al logro de los objetivos</v>
      </c>
      <c r="O52" s="360" t="str">
        <f ca="1">IF(OR(N52='Tabla Impacto'!$C$11,N52='Tabla Impacto'!$D$11),"Leve",IF(OR(N52='Tabla Impacto'!$C$12,N52='Tabla Impacto'!$D$12),"Menor",IF(OR(N52='Tabla Impacto'!$C$13,N52='Tabla Impacto'!$D$13),"Moderado",IF(OR(N52='Tabla Impacto'!$C$14,N52='Tabla Impacto'!$D$14),"Mayor",IF(OR(N52='Tabla Impacto'!$C$15,N52='Tabla Impacto'!$D$15),"Catastrófico","")))))</f>
        <v>Moderado</v>
      </c>
      <c r="P52" s="357">
        <f ca="1">IF(O52="","",IF(O52="Leve",0.2,IF(O52="Menor",0.4,IF(O52="Moderado",0.6,IF(O52="Mayor",0.8,IF(O52="Catastrófico",1,))))))</f>
        <v>0.6</v>
      </c>
      <c r="Q52" s="354" t="str">
        <f ca="1">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Moderado</v>
      </c>
      <c r="R52" s="128">
        <v>1</v>
      </c>
      <c r="S52" s="97" t="s">
        <v>267</v>
      </c>
      <c r="T52" s="129" t="str">
        <f t="shared" si="25"/>
        <v>Probabilidad</v>
      </c>
      <c r="U52" s="130" t="s">
        <v>15</v>
      </c>
      <c r="V52" s="130" t="s">
        <v>9</v>
      </c>
      <c r="W52" s="131" t="str">
        <f t="shared" si="26"/>
        <v>30%</v>
      </c>
      <c r="X52" s="130" t="s">
        <v>19</v>
      </c>
      <c r="Y52" s="130" t="s">
        <v>22</v>
      </c>
      <c r="Z52" s="130" t="s">
        <v>110</v>
      </c>
      <c r="AA52" s="132">
        <f t="shared" si="27"/>
        <v>0.42</v>
      </c>
      <c r="AB52" s="133" t="str">
        <f t="shared" si="28"/>
        <v>Media</v>
      </c>
      <c r="AC52" s="134">
        <f t="shared" si="29"/>
        <v>0.42</v>
      </c>
      <c r="AD52" s="133" t="str">
        <f t="shared" ca="1" si="30"/>
        <v>Moderado</v>
      </c>
      <c r="AE52" s="134">
        <f t="shared" ca="1" si="31"/>
        <v>0.6</v>
      </c>
      <c r="AF52" s="135" t="str">
        <f t="shared" ca="1" si="32"/>
        <v>Moderado</v>
      </c>
      <c r="AG52" s="136" t="s">
        <v>122</v>
      </c>
      <c r="AH52" s="97" t="s">
        <v>269</v>
      </c>
      <c r="AI52" s="139" t="s">
        <v>270</v>
      </c>
      <c r="AJ52" s="137">
        <v>44562</v>
      </c>
      <c r="AK52" s="137">
        <v>44926</v>
      </c>
      <c r="AL52" s="97" t="s">
        <v>271</v>
      </c>
      <c r="AM52" s="125"/>
      <c r="AN52" s="216" t="s">
        <v>714</v>
      </c>
      <c r="AO52" s="216" t="s">
        <v>715</v>
      </c>
      <c r="AP52" s="218">
        <v>0</v>
      </c>
      <c r="AQ52" s="216" t="s">
        <v>717</v>
      </c>
      <c r="AR52" s="216" t="s">
        <v>718</v>
      </c>
      <c r="AS52" s="218">
        <v>0.33</v>
      </c>
      <c r="AT52" s="137"/>
      <c r="AU52" s="137" t="s">
        <v>616</v>
      </c>
      <c r="AV52" s="137" t="s">
        <v>622</v>
      </c>
      <c r="AW52" s="137" t="s">
        <v>622</v>
      </c>
      <c r="AX52" s="137" t="s">
        <v>622</v>
      </c>
      <c r="AY52" s="97" t="s">
        <v>749</v>
      </c>
    </row>
    <row r="53" spans="1:51" s="149" customFormat="1" ht="151.5" customHeight="1" x14ac:dyDescent="0.25">
      <c r="A53" s="374"/>
      <c r="B53" s="343"/>
      <c r="C53" s="373"/>
      <c r="D53" s="367"/>
      <c r="E53" s="353"/>
      <c r="F53" s="353"/>
      <c r="G53" s="353"/>
      <c r="H53" s="371"/>
      <c r="I53" s="353"/>
      <c r="J53" s="369"/>
      <c r="K53" s="361"/>
      <c r="L53" s="358"/>
      <c r="M53" s="364"/>
      <c r="N53" s="138"/>
      <c r="O53" s="361"/>
      <c r="P53" s="358"/>
      <c r="Q53" s="355"/>
      <c r="R53" s="128">
        <v>2</v>
      </c>
      <c r="S53" s="97" t="s">
        <v>268</v>
      </c>
      <c r="T53" s="129" t="str">
        <f t="shared" ref="T53:T54" si="69">IF(OR(U53="Preventivo",U53="Detectivo"),"Probabilidad",IF(U53="Correctivo","Impacto",""))</f>
        <v>Probabilidad</v>
      </c>
      <c r="U53" s="130" t="s">
        <v>15</v>
      </c>
      <c r="V53" s="130" t="s">
        <v>9</v>
      </c>
      <c r="W53" s="131" t="str">
        <f t="shared" ref="W53" si="70">IF(AND(U53="Preventivo",V53="Automático"),"50%",IF(AND(U53="Preventivo",V53="Manual"),"40%",IF(AND(U53="Detectivo",V53="Automático"),"40%",IF(AND(U53="Detectivo",V53="Manual"),"30%",IF(AND(U53="Correctivo",V53="Automático"),"35%",IF(AND(U53="Correctivo",V53="Manual"),"25%",""))))))</f>
        <v>30%</v>
      </c>
      <c r="X53" s="130" t="s">
        <v>19</v>
      </c>
      <c r="Y53" s="130" t="s">
        <v>22</v>
      </c>
      <c r="Z53" s="130" t="s">
        <v>110</v>
      </c>
      <c r="AA53" s="132">
        <f>IFERROR(IF(T53="Probabilidad",(AA52-(+AA52*W53)),IF(T53="Impacto",L53,"")),"")</f>
        <v>0.29399999999999998</v>
      </c>
      <c r="AB53" s="133" t="str">
        <f t="shared" ref="AB53:AB54" si="71">IFERROR(IF(AA53="","",IF(AA53&lt;=0.2,"Muy Baja",IF(AA53&lt;=0.4,"Baja",IF(AA53&lt;=0.6,"Media",IF(AA53&lt;=0.8,"Alta","Muy Alta"))))),"")</f>
        <v>Baja</v>
      </c>
      <c r="AC53" s="134">
        <f t="shared" ref="AC53:AC54" si="72">+AA53</f>
        <v>0.29399999999999998</v>
      </c>
      <c r="AD53" s="133" t="str">
        <f t="shared" ref="AD53:AD54" si="73">IFERROR(IF(AE53="","",IF(AE53&lt;=0.2,"Leve",IF(AE53&lt;=0.4,"Menor",IF(AE53&lt;=0.6,"Moderado",IF(AE53&lt;=0.8,"Mayor","Catastrófico"))))),"")</f>
        <v>Moderado</v>
      </c>
      <c r="AE53" s="134">
        <v>0.6</v>
      </c>
      <c r="AF53" s="135" t="str">
        <f t="shared" ref="AF53:AF54" si="74">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Moderado</v>
      </c>
      <c r="AG53" s="136" t="s">
        <v>122</v>
      </c>
      <c r="AH53" s="97" t="s">
        <v>269</v>
      </c>
      <c r="AI53" s="139" t="s">
        <v>270</v>
      </c>
      <c r="AJ53" s="137">
        <v>44562</v>
      </c>
      <c r="AK53" s="137">
        <v>44926</v>
      </c>
      <c r="AL53" s="97" t="s">
        <v>271</v>
      </c>
      <c r="AM53" s="125"/>
      <c r="AN53" s="216" t="s">
        <v>719</v>
      </c>
      <c r="AO53" s="216" t="s">
        <v>720</v>
      </c>
      <c r="AP53" s="218">
        <v>0</v>
      </c>
      <c r="AQ53" s="216" t="s">
        <v>717</v>
      </c>
      <c r="AR53" s="216" t="s">
        <v>718</v>
      </c>
      <c r="AS53" s="218">
        <v>0.33</v>
      </c>
      <c r="AT53" s="137"/>
      <c r="AU53" s="137" t="s">
        <v>616</v>
      </c>
      <c r="AV53" s="137" t="s">
        <v>622</v>
      </c>
      <c r="AW53" s="137" t="s">
        <v>622</v>
      </c>
      <c r="AX53" s="137" t="s">
        <v>622</v>
      </c>
      <c r="AY53" s="97" t="s">
        <v>801</v>
      </c>
    </row>
    <row r="54" spans="1:51" s="149" customFormat="1" ht="151.5" hidden="1" customHeight="1" x14ac:dyDescent="0.25">
      <c r="A54" s="374"/>
      <c r="B54" s="344"/>
      <c r="C54" s="373"/>
      <c r="D54" s="367"/>
      <c r="E54" s="353"/>
      <c r="F54" s="353"/>
      <c r="G54" s="353"/>
      <c r="H54" s="371"/>
      <c r="I54" s="353"/>
      <c r="J54" s="369"/>
      <c r="K54" s="362"/>
      <c r="L54" s="359"/>
      <c r="M54" s="364"/>
      <c r="N54" s="138"/>
      <c r="O54" s="362"/>
      <c r="P54" s="359"/>
      <c r="Q54" s="356"/>
      <c r="R54" s="128">
        <v>3</v>
      </c>
      <c r="S54" s="97"/>
      <c r="T54" s="129" t="str">
        <f t="shared" si="69"/>
        <v/>
      </c>
      <c r="U54" s="130"/>
      <c r="V54" s="130"/>
      <c r="W54" s="131"/>
      <c r="X54" s="130"/>
      <c r="Y54" s="130"/>
      <c r="Z54" s="130"/>
      <c r="AA54" s="132" t="str">
        <f>IFERROR(IF(T54="Probabilidad",(AA53-(+AA53*W54)),IF(T54="Impacto",L54,"")),"")</f>
        <v/>
      </c>
      <c r="AB54" s="133" t="str">
        <f t="shared" si="71"/>
        <v/>
      </c>
      <c r="AC54" s="134" t="str">
        <f t="shared" si="72"/>
        <v/>
      </c>
      <c r="AD54" s="133" t="str">
        <f t="shared" si="73"/>
        <v/>
      </c>
      <c r="AE54" s="134" t="str">
        <f t="shared" ref="AE54" si="75">IFERROR(IF(T54="Impacto",(P54-(+P54*W54)),IF(T54="Probabilidad",P54,"")),"")</f>
        <v/>
      </c>
      <c r="AF54" s="135" t="str">
        <f t="shared" si="74"/>
        <v/>
      </c>
      <c r="AG54" s="136"/>
      <c r="AH54" s="97"/>
      <c r="AI54" s="125"/>
      <c r="AJ54" s="137"/>
      <c r="AK54" s="137"/>
      <c r="AL54" s="97"/>
      <c r="AM54" s="125"/>
      <c r="AN54" s="216"/>
      <c r="AO54" s="216"/>
      <c r="AP54" s="137"/>
      <c r="AQ54" s="216"/>
      <c r="AR54" s="216"/>
      <c r="AS54" s="137"/>
      <c r="AT54" s="137"/>
      <c r="AU54" s="137" t="s">
        <v>616</v>
      </c>
      <c r="AV54" s="137" t="s">
        <v>622</v>
      </c>
      <c r="AW54" s="137" t="s">
        <v>622</v>
      </c>
      <c r="AX54" s="137" t="s">
        <v>622</v>
      </c>
      <c r="AY54" s="137"/>
    </row>
    <row r="55" spans="1:51" s="149" customFormat="1" ht="151.5" customHeight="1" x14ac:dyDescent="0.25">
      <c r="A55" s="374">
        <v>18</v>
      </c>
      <c r="B55" s="342" t="s">
        <v>272</v>
      </c>
      <c r="C55" s="366" t="s">
        <v>273</v>
      </c>
      <c r="D55" s="366" t="s">
        <v>387</v>
      </c>
      <c r="E55" s="365" t="s">
        <v>120</v>
      </c>
      <c r="F55" s="365" t="s">
        <v>274</v>
      </c>
      <c r="G55" s="365" t="s">
        <v>275</v>
      </c>
      <c r="H55" s="370" t="s">
        <v>443</v>
      </c>
      <c r="I55" s="365" t="s">
        <v>117</v>
      </c>
      <c r="J55" s="368">
        <v>360</v>
      </c>
      <c r="K55" s="360" t="str">
        <f>IF(J55&lt;=0,"",IF(J55&lt;=2,"Muy Baja",IF(J55&lt;=24,"Baja",IF(J55&lt;=500,"Media",IF(J55&lt;=5000,"Alta","Muy Alta")))))</f>
        <v>Media</v>
      </c>
      <c r="L55" s="357">
        <f>IF(K55="","",IF(K55="Muy Baja",0.2,IF(K55="Baja",0.4,IF(K55="Media",0.6,IF(K55="Alta",0.8,IF(K55="Muy Alta",1,))))))</f>
        <v>0.6</v>
      </c>
      <c r="M55" s="363" t="s">
        <v>484</v>
      </c>
      <c r="N55" s="127" t="str">
        <f ca="1">IF(NOT(ISERROR(MATCH(M55,'Tabla Impacto'!$B$221:$B$223,0))),'Tabla Impacto'!$F$223&amp;"Por favor no seleccionar los criterios de impacto(Afectación Económica o presupuestal y Pérdida Reputacional)",M55)</f>
        <v xml:space="preserve"> El riesgo afecta la imagen de la entidad con algunos usuarios de relevancia frente al logro de los objetivos</v>
      </c>
      <c r="O55" s="360" t="str">
        <f ca="1">IF(OR(N55='Tabla Impacto'!$C$11,N55='Tabla Impacto'!$D$11),"Leve",IF(OR(N55='Tabla Impacto'!$C$12,N55='Tabla Impacto'!$D$12),"Menor",IF(OR(N55='Tabla Impacto'!$C$13,N55='Tabla Impacto'!$D$13),"Moderado",IF(OR(N55='Tabla Impacto'!$C$14,N55='Tabla Impacto'!$D$14),"Mayor",IF(OR(N55='Tabla Impacto'!$C$15,N55='Tabla Impacto'!$D$15),"Catastrófico","")))))</f>
        <v>Moderado</v>
      </c>
      <c r="P55" s="357">
        <f ca="1">IF(O55="","",IF(O55="Leve",0.2,IF(O55="Menor",0.4,IF(O55="Moderado",0.6,IF(O55="Mayor",0.8,IF(O55="Catastrófico",1,))))))</f>
        <v>0.6</v>
      </c>
      <c r="Q55" s="354" t="str">
        <f ca="1">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28">
        <v>1</v>
      </c>
      <c r="S55" s="97" t="s">
        <v>276</v>
      </c>
      <c r="T55" s="129" t="str">
        <f t="shared" si="25"/>
        <v>Probabilidad</v>
      </c>
      <c r="U55" s="130" t="s">
        <v>15</v>
      </c>
      <c r="V55" s="130" t="s">
        <v>9</v>
      </c>
      <c r="W55" s="131" t="str">
        <f t="shared" si="26"/>
        <v>30%</v>
      </c>
      <c r="X55" s="130" t="s">
        <v>20</v>
      </c>
      <c r="Y55" s="130" t="s">
        <v>22</v>
      </c>
      <c r="Z55" s="130" t="s">
        <v>110</v>
      </c>
      <c r="AA55" s="132">
        <f t="shared" si="27"/>
        <v>0.42</v>
      </c>
      <c r="AB55" s="133" t="str">
        <f t="shared" si="28"/>
        <v>Media</v>
      </c>
      <c r="AC55" s="134">
        <f t="shared" si="29"/>
        <v>0.42</v>
      </c>
      <c r="AD55" s="133" t="str">
        <f t="shared" ca="1" si="30"/>
        <v>Moderado</v>
      </c>
      <c r="AE55" s="134">
        <f t="shared" ca="1" si="31"/>
        <v>0.6</v>
      </c>
      <c r="AF55" s="135" t="str">
        <f t="shared" ca="1" si="32"/>
        <v>Moderado</v>
      </c>
      <c r="AG55" s="136" t="s">
        <v>122</v>
      </c>
      <c r="AH55" s="97" t="s">
        <v>386</v>
      </c>
      <c r="AI55" s="125" t="s">
        <v>198</v>
      </c>
      <c r="AJ55" s="137">
        <v>44562</v>
      </c>
      <c r="AK55" s="137">
        <v>44926</v>
      </c>
      <c r="AL55" s="97" t="s">
        <v>277</v>
      </c>
      <c r="AM55" s="125"/>
      <c r="AN55" s="216" t="s">
        <v>802</v>
      </c>
      <c r="AO55" s="216" t="s">
        <v>615</v>
      </c>
      <c r="AP55" s="215">
        <v>0.33</v>
      </c>
      <c r="AQ55" s="216" t="s">
        <v>803</v>
      </c>
      <c r="AR55" s="216" t="s">
        <v>752</v>
      </c>
      <c r="AS55" s="215">
        <v>0.33</v>
      </c>
      <c r="AT55" s="137"/>
      <c r="AU55" s="137" t="s">
        <v>616</v>
      </c>
      <c r="AV55" s="137" t="s">
        <v>622</v>
      </c>
      <c r="AW55" s="137" t="s">
        <v>622</v>
      </c>
      <c r="AX55" s="137" t="s">
        <v>622</v>
      </c>
      <c r="AY55" s="137" t="s">
        <v>750</v>
      </c>
    </row>
    <row r="56" spans="1:51" s="149" customFormat="1" ht="151.5" hidden="1" customHeight="1" x14ac:dyDescent="0.25">
      <c r="A56" s="374"/>
      <c r="B56" s="343"/>
      <c r="C56" s="367"/>
      <c r="D56" s="373"/>
      <c r="E56" s="353"/>
      <c r="F56" s="353"/>
      <c r="G56" s="353"/>
      <c r="H56" s="371"/>
      <c r="I56" s="353"/>
      <c r="J56" s="369"/>
      <c r="K56" s="361"/>
      <c r="L56" s="358"/>
      <c r="M56" s="364"/>
      <c r="N56" s="138"/>
      <c r="O56" s="361"/>
      <c r="P56" s="358"/>
      <c r="Q56" s="355"/>
      <c r="R56" s="128">
        <v>2</v>
      </c>
      <c r="S56" s="97"/>
      <c r="T56" s="129" t="str">
        <f t="shared" ref="T56:T57" si="76">IF(OR(U56="Preventivo",U56="Detectivo"),"Probabilidad",IF(U56="Correctivo","Impacto",""))</f>
        <v/>
      </c>
      <c r="U56" s="130"/>
      <c r="V56" s="130"/>
      <c r="W56" s="131"/>
      <c r="X56" s="130"/>
      <c r="Y56" s="130"/>
      <c r="Z56" s="130"/>
      <c r="AA56" s="132" t="str">
        <f>IFERROR(IF(T56="Probabilidad",(AA55-(+AA55*W56)),IF(T56="Impacto",L56,"")),"")</f>
        <v/>
      </c>
      <c r="AB56" s="133" t="str">
        <f t="shared" ref="AB56:AB57" si="77">IFERROR(IF(AA56="","",IF(AA56&lt;=0.2,"Muy Baja",IF(AA56&lt;=0.4,"Baja",IF(AA56&lt;=0.6,"Media",IF(AA56&lt;=0.8,"Alta","Muy Alta"))))),"")</f>
        <v/>
      </c>
      <c r="AC56" s="134" t="str">
        <f t="shared" ref="AC56:AC57" si="78">+AA56</f>
        <v/>
      </c>
      <c r="AD56" s="133" t="str">
        <f t="shared" ref="AD56:AD57" si="79">IFERROR(IF(AE56="","",IF(AE56&lt;=0.2,"Leve",IF(AE56&lt;=0.4,"Menor",IF(AE56&lt;=0.6,"Moderado",IF(AE56&lt;=0.8,"Mayor","Catastrófico"))))),"")</f>
        <v/>
      </c>
      <c r="AE56" s="134" t="str">
        <f t="shared" ref="AE56:AE57" si="80">IFERROR(IF(T56="Impacto",(P56-(+P56*W56)),IF(T56="Probabilidad",P56,"")),"")</f>
        <v/>
      </c>
      <c r="AF56" s="135" t="str">
        <f t="shared" ref="AF56:AF57" si="81">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
      </c>
      <c r="AG56" s="136"/>
      <c r="AH56" s="97"/>
      <c r="AI56" s="125"/>
      <c r="AJ56" s="137"/>
      <c r="AK56" s="137"/>
      <c r="AL56" s="97"/>
      <c r="AM56" s="125"/>
      <c r="AN56" s="216"/>
      <c r="AO56" s="216"/>
      <c r="AP56" s="137"/>
      <c r="AQ56" s="216"/>
      <c r="AR56" s="216"/>
      <c r="AS56" s="137"/>
      <c r="AT56" s="137"/>
      <c r="AU56" s="137" t="s">
        <v>616</v>
      </c>
      <c r="AV56" s="137" t="s">
        <v>622</v>
      </c>
      <c r="AW56" s="137" t="s">
        <v>622</v>
      </c>
      <c r="AX56" s="137" t="s">
        <v>622</v>
      </c>
      <c r="AY56" s="137"/>
    </row>
    <row r="57" spans="1:51" s="149" customFormat="1" ht="151.5" hidden="1" customHeight="1" x14ac:dyDescent="0.25">
      <c r="A57" s="374"/>
      <c r="B57" s="344"/>
      <c r="C57" s="367"/>
      <c r="D57" s="373"/>
      <c r="E57" s="353"/>
      <c r="F57" s="353"/>
      <c r="G57" s="353"/>
      <c r="H57" s="371"/>
      <c r="I57" s="353"/>
      <c r="J57" s="369"/>
      <c r="K57" s="362"/>
      <c r="L57" s="359"/>
      <c r="M57" s="377"/>
      <c r="N57" s="138"/>
      <c r="O57" s="362"/>
      <c r="P57" s="359"/>
      <c r="Q57" s="356"/>
      <c r="R57" s="128">
        <v>3</v>
      </c>
      <c r="S57" s="97"/>
      <c r="T57" s="129" t="str">
        <f t="shared" si="76"/>
        <v/>
      </c>
      <c r="U57" s="130"/>
      <c r="V57" s="130"/>
      <c r="W57" s="131"/>
      <c r="X57" s="130"/>
      <c r="Y57" s="130"/>
      <c r="Z57" s="130"/>
      <c r="AA57" s="132" t="str">
        <f>IFERROR(IF(T57="Probabilidad",(AA56-(+AA56*W57)),IF(T57="Impacto",L57,"")),"")</f>
        <v/>
      </c>
      <c r="AB57" s="133" t="str">
        <f t="shared" si="77"/>
        <v/>
      </c>
      <c r="AC57" s="134" t="str">
        <f t="shared" si="78"/>
        <v/>
      </c>
      <c r="AD57" s="133" t="str">
        <f t="shared" si="79"/>
        <v/>
      </c>
      <c r="AE57" s="134" t="str">
        <f t="shared" si="80"/>
        <v/>
      </c>
      <c r="AF57" s="135" t="str">
        <f t="shared" si="81"/>
        <v/>
      </c>
      <c r="AG57" s="136"/>
      <c r="AH57" s="97"/>
      <c r="AI57" s="125"/>
      <c r="AJ57" s="137"/>
      <c r="AK57" s="137"/>
      <c r="AL57" s="97"/>
      <c r="AM57" s="125"/>
      <c r="AN57" s="216"/>
      <c r="AO57" s="216"/>
      <c r="AP57" s="137"/>
      <c r="AQ57" s="216"/>
      <c r="AR57" s="216"/>
      <c r="AS57" s="137"/>
      <c r="AT57" s="137"/>
      <c r="AU57" s="137" t="s">
        <v>616</v>
      </c>
      <c r="AV57" s="137" t="s">
        <v>622</v>
      </c>
      <c r="AW57" s="137" t="s">
        <v>622</v>
      </c>
      <c r="AX57" s="137" t="s">
        <v>622</v>
      </c>
      <c r="AY57" s="137"/>
    </row>
    <row r="58" spans="1:51" s="149" customFormat="1" ht="190.5" customHeight="1" x14ac:dyDescent="0.25">
      <c r="A58" s="374">
        <v>19</v>
      </c>
      <c r="B58" s="342" t="s">
        <v>272</v>
      </c>
      <c r="C58" s="366" t="s">
        <v>273</v>
      </c>
      <c r="D58" s="366" t="s">
        <v>387</v>
      </c>
      <c r="E58" s="365" t="s">
        <v>120</v>
      </c>
      <c r="F58" s="352" t="s">
        <v>278</v>
      </c>
      <c r="G58" s="365" t="s">
        <v>279</v>
      </c>
      <c r="H58" s="370" t="s">
        <v>570</v>
      </c>
      <c r="I58" s="365" t="s">
        <v>115</v>
      </c>
      <c r="J58" s="368">
        <v>246</v>
      </c>
      <c r="K58" s="360" t="str">
        <f>IF(J58&lt;=0,"",IF(J58&lt;=2,"Muy Baja",IF(J58&lt;=24,"Baja",IF(J58&lt;=500,"Media",IF(J58&lt;=5000,"Alta","Muy Alta")))))</f>
        <v>Media</v>
      </c>
      <c r="L58" s="357">
        <f>IF(K58="","",IF(K58="Muy Baja",0.2,IF(K58="Baja",0.4,IF(K58="Media",0.6,IF(K58="Alta",0.8,IF(K58="Muy Alta",1,))))))</f>
        <v>0.6</v>
      </c>
      <c r="M58" s="363" t="s">
        <v>491</v>
      </c>
      <c r="N58" s="127" t="str">
        <f ca="1">IF(NOT(ISERROR(MATCH(M58,'Tabla Impacto'!$B$221:$B$223,0))),'Tabla Impacto'!$F$223&amp;"Por favor no seleccionar los criterios de impacto(Afectación Económica o presupuestal y Pérdida Reputacional)",M58)</f>
        <v xml:space="preserve"> El riesgo afecta la imagen de la entidad con efecto publicitario sostenido a nivel de sector administrativo, nivel departamental o municipal</v>
      </c>
      <c r="O58" s="360" t="str">
        <f ca="1">IF(OR(N58='Tabla Impacto'!$C$11,N58='Tabla Impacto'!$D$11),"Leve",IF(OR(N58='Tabla Impacto'!$C$12,N58='Tabla Impacto'!$D$12),"Menor",IF(OR(N58='Tabla Impacto'!$C$13,N58='Tabla Impacto'!$D$13),"Moderado",IF(OR(N58='Tabla Impacto'!$C$14,N58='Tabla Impacto'!$D$14),"Mayor",IF(OR(N58='Tabla Impacto'!$C$15,N58='Tabla Impacto'!$D$15),"Catastrófico","")))))</f>
        <v>Mayor</v>
      </c>
      <c r="P58" s="357">
        <f ca="1">IF(O58="","",IF(O58="Leve",0.2,IF(O58="Menor",0.4,IF(O58="Moderado",0.6,IF(O58="Mayor",0.8,IF(O58="Catastrófico",1,))))))</f>
        <v>0.8</v>
      </c>
      <c r="Q58" s="354" t="str">
        <f ca="1">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Alto</v>
      </c>
      <c r="R58" s="128">
        <v>1</v>
      </c>
      <c r="S58" s="97" t="s">
        <v>541</v>
      </c>
      <c r="T58" s="129" t="str">
        <f t="shared" si="25"/>
        <v>Probabilidad</v>
      </c>
      <c r="U58" s="130" t="s">
        <v>14</v>
      </c>
      <c r="V58" s="130" t="s">
        <v>9</v>
      </c>
      <c r="W58" s="131" t="str">
        <f t="shared" si="26"/>
        <v>40%</v>
      </c>
      <c r="X58" s="130" t="s">
        <v>20</v>
      </c>
      <c r="Y58" s="130" t="s">
        <v>22</v>
      </c>
      <c r="Z58" s="130" t="s">
        <v>110</v>
      </c>
      <c r="AA58" s="132">
        <f t="shared" si="27"/>
        <v>0.36</v>
      </c>
      <c r="AB58" s="133" t="str">
        <f t="shared" si="28"/>
        <v>Baja</v>
      </c>
      <c r="AC58" s="134">
        <f t="shared" si="29"/>
        <v>0.36</v>
      </c>
      <c r="AD58" s="133" t="str">
        <f t="shared" ca="1" si="30"/>
        <v>Mayor</v>
      </c>
      <c r="AE58" s="134">
        <f t="shared" ca="1" si="31"/>
        <v>0.8</v>
      </c>
      <c r="AF58" s="135" t="str">
        <f t="shared" ca="1" si="32"/>
        <v>Alto</v>
      </c>
      <c r="AG58" s="136" t="s">
        <v>122</v>
      </c>
      <c r="AH58" s="124" t="s">
        <v>372</v>
      </c>
      <c r="AI58" s="119" t="s">
        <v>212</v>
      </c>
      <c r="AJ58" s="126">
        <v>44562</v>
      </c>
      <c r="AK58" s="144" t="s">
        <v>373</v>
      </c>
      <c r="AL58" s="97" t="s">
        <v>280</v>
      </c>
      <c r="AM58" s="125"/>
      <c r="AN58" s="216" t="s">
        <v>697</v>
      </c>
      <c r="AO58" s="216" t="s">
        <v>698</v>
      </c>
      <c r="AP58" s="215">
        <v>0.33</v>
      </c>
      <c r="AQ58" s="216" t="s">
        <v>631</v>
      </c>
      <c r="AR58" s="216" t="s">
        <v>804</v>
      </c>
      <c r="AS58" s="215">
        <v>0.33</v>
      </c>
      <c r="AT58" s="137"/>
      <c r="AU58" s="137" t="s">
        <v>616</v>
      </c>
      <c r="AV58" s="137" t="s">
        <v>622</v>
      </c>
      <c r="AW58" s="137" t="s">
        <v>622</v>
      </c>
      <c r="AX58" s="137" t="s">
        <v>622</v>
      </c>
      <c r="AY58" s="137" t="s">
        <v>748</v>
      </c>
    </row>
    <row r="59" spans="1:51" s="149" customFormat="1" ht="151.5" hidden="1" customHeight="1" x14ac:dyDescent="0.25">
      <c r="A59" s="374"/>
      <c r="B59" s="343"/>
      <c r="C59" s="367"/>
      <c r="D59" s="373"/>
      <c r="E59" s="353"/>
      <c r="F59" s="353"/>
      <c r="G59" s="353"/>
      <c r="H59" s="371"/>
      <c r="I59" s="353"/>
      <c r="J59" s="369"/>
      <c r="K59" s="361"/>
      <c r="L59" s="358"/>
      <c r="M59" s="364"/>
      <c r="N59" s="138"/>
      <c r="O59" s="361"/>
      <c r="P59" s="358"/>
      <c r="Q59" s="355"/>
      <c r="R59" s="128">
        <v>2</v>
      </c>
      <c r="S59" s="97"/>
      <c r="T59" s="129" t="str">
        <f t="shared" ref="T59:T60" si="82">IF(OR(U59="Preventivo",U59="Detectivo"),"Probabilidad",IF(U59="Correctivo","Impacto",""))</f>
        <v/>
      </c>
      <c r="U59" s="130"/>
      <c r="V59" s="130"/>
      <c r="W59" s="131"/>
      <c r="X59" s="130"/>
      <c r="Y59" s="130"/>
      <c r="Z59" s="130"/>
      <c r="AA59" s="132" t="str">
        <f>IFERROR(IF(T59="Probabilidad",(AA58-(+AA58*W59)),IF(T59="Impacto",L59,"")),"")</f>
        <v/>
      </c>
      <c r="AB59" s="133" t="str">
        <f t="shared" ref="AB59:AB60" si="83">IFERROR(IF(AA59="","",IF(AA59&lt;=0.2,"Muy Baja",IF(AA59&lt;=0.4,"Baja",IF(AA59&lt;=0.6,"Media",IF(AA59&lt;=0.8,"Alta","Muy Alta"))))),"")</f>
        <v/>
      </c>
      <c r="AC59" s="134" t="str">
        <f t="shared" ref="AC59:AC60" si="84">+AA59</f>
        <v/>
      </c>
      <c r="AD59" s="133" t="str">
        <f t="shared" ref="AD59:AD60" si="85">IFERROR(IF(AE59="","",IF(AE59&lt;=0.2,"Leve",IF(AE59&lt;=0.4,"Menor",IF(AE59&lt;=0.6,"Moderado",IF(AE59&lt;=0.8,"Mayor","Catastrófico"))))),"")</f>
        <v/>
      </c>
      <c r="AE59" s="134" t="str">
        <f t="shared" ref="AE59:AE60" si="86">IFERROR(IF(T59="Impacto",(P59-(+P59*W59)),IF(T59="Probabilidad",P59,"")),"")</f>
        <v/>
      </c>
      <c r="AF59" s="135" t="str">
        <f t="shared" ref="AF59:AF60" si="87">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36"/>
      <c r="AH59" s="97"/>
      <c r="AI59" s="125"/>
      <c r="AJ59" s="137"/>
      <c r="AK59" s="137"/>
      <c r="AL59" s="97"/>
      <c r="AM59" s="125"/>
      <c r="AN59" s="216"/>
      <c r="AO59" s="216"/>
      <c r="AP59" s="215"/>
      <c r="AQ59" s="216"/>
      <c r="AR59" s="216"/>
      <c r="AS59" s="215"/>
      <c r="AT59" s="137"/>
      <c r="AU59" s="137" t="s">
        <v>616</v>
      </c>
      <c r="AV59" s="137" t="s">
        <v>622</v>
      </c>
      <c r="AW59" s="137" t="s">
        <v>622</v>
      </c>
      <c r="AX59" s="137" t="s">
        <v>622</v>
      </c>
      <c r="AY59" s="137"/>
    </row>
    <row r="60" spans="1:51" s="149" customFormat="1" ht="151.5" hidden="1" customHeight="1" x14ac:dyDescent="0.25">
      <c r="A60" s="374"/>
      <c r="B60" s="344"/>
      <c r="C60" s="367"/>
      <c r="D60" s="373"/>
      <c r="E60" s="353"/>
      <c r="F60" s="353"/>
      <c r="G60" s="353"/>
      <c r="H60" s="371"/>
      <c r="I60" s="353"/>
      <c r="J60" s="369"/>
      <c r="K60" s="362"/>
      <c r="L60" s="359"/>
      <c r="M60" s="364"/>
      <c r="N60" s="138"/>
      <c r="O60" s="362"/>
      <c r="P60" s="359"/>
      <c r="Q60" s="356"/>
      <c r="R60" s="128">
        <v>3</v>
      </c>
      <c r="S60" s="97"/>
      <c r="T60" s="129" t="str">
        <f t="shared" si="82"/>
        <v/>
      </c>
      <c r="U60" s="130"/>
      <c r="V60" s="130"/>
      <c r="W60" s="131"/>
      <c r="X60" s="130"/>
      <c r="Y60" s="130"/>
      <c r="Z60" s="130"/>
      <c r="AA60" s="132" t="str">
        <f>IFERROR(IF(T60="Probabilidad",(AA59-(+AA59*W60)),IF(T60="Impacto",L60,"")),"")</f>
        <v/>
      </c>
      <c r="AB60" s="133" t="str">
        <f t="shared" si="83"/>
        <v/>
      </c>
      <c r="AC60" s="134" t="str">
        <f t="shared" si="84"/>
        <v/>
      </c>
      <c r="AD60" s="133" t="str">
        <f t="shared" si="85"/>
        <v/>
      </c>
      <c r="AE60" s="134" t="str">
        <f t="shared" si="86"/>
        <v/>
      </c>
      <c r="AF60" s="135" t="str">
        <f t="shared" si="87"/>
        <v/>
      </c>
      <c r="AG60" s="136"/>
      <c r="AH60" s="97"/>
      <c r="AI60" s="125"/>
      <c r="AJ60" s="137"/>
      <c r="AK60" s="137"/>
      <c r="AL60" s="97"/>
      <c r="AM60" s="125"/>
      <c r="AN60" s="216"/>
      <c r="AO60" s="216"/>
      <c r="AP60" s="215"/>
      <c r="AQ60" s="216"/>
      <c r="AR60" s="216"/>
      <c r="AS60" s="215"/>
      <c r="AT60" s="137"/>
      <c r="AU60" s="137" t="s">
        <v>616</v>
      </c>
      <c r="AV60" s="137" t="s">
        <v>622</v>
      </c>
      <c r="AW60" s="137" t="s">
        <v>622</v>
      </c>
      <c r="AX60" s="137" t="s">
        <v>622</v>
      </c>
      <c r="AY60" s="137"/>
    </row>
    <row r="61" spans="1:51" s="149" customFormat="1" ht="151.5" customHeight="1" x14ac:dyDescent="0.25">
      <c r="A61" s="374">
        <v>20</v>
      </c>
      <c r="B61" s="342" t="s">
        <v>281</v>
      </c>
      <c r="C61" s="366" t="s">
        <v>356</v>
      </c>
      <c r="D61" s="366" t="s">
        <v>388</v>
      </c>
      <c r="E61" s="365" t="s">
        <v>120</v>
      </c>
      <c r="F61" s="352" t="s">
        <v>524</v>
      </c>
      <c r="G61" s="352" t="s">
        <v>525</v>
      </c>
      <c r="H61" s="370" t="s">
        <v>523</v>
      </c>
      <c r="I61" s="365" t="s">
        <v>330</v>
      </c>
      <c r="J61" s="368">
        <v>4</v>
      </c>
      <c r="K61" s="360" t="str">
        <f>IF(J61&lt;=0,"",IF(J61&lt;=2,"Muy Baja",IF(J61&lt;=24,"Baja",IF(J61&lt;=500,"Media",IF(J61&lt;=5000,"Alta","Muy Alta")))))</f>
        <v>Baja</v>
      </c>
      <c r="L61" s="357">
        <f>IF(K61="","",IF(K61="Muy Baja",0.2,IF(K61="Baja",0.4,IF(K61="Media",0.6,IF(K61="Alta",0.8,IF(K61="Muy Alta",1,))))))</f>
        <v>0.4</v>
      </c>
      <c r="M61" s="363" t="s">
        <v>480</v>
      </c>
      <c r="N61" s="127" t="str">
        <f ca="1">IF(NOT(ISERROR(MATCH(M61,'Tabla Impacto'!$B$221:$B$223,0))),'Tabla Impacto'!$F$223&amp;"Por favor no seleccionar los criterios de impacto(Afectación Económica o presupuestal y Pérdida Reputacional)",M61)</f>
        <v xml:space="preserve"> Afectación menor a 10 SMLMV .</v>
      </c>
      <c r="O61" s="360" t="str">
        <f ca="1">IF(OR(N61='Tabla Impacto'!$C$11,N61='Tabla Impacto'!$D$11),"Leve",IF(OR(N61='Tabla Impacto'!$C$12,N61='Tabla Impacto'!$D$12),"Menor",IF(OR(N61='Tabla Impacto'!$C$13,N61='Tabla Impacto'!$D$13),"Moderado",IF(OR(N61='Tabla Impacto'!$C$14,N61='Tabla Impacto'!$D$14),"Mayor",IF(OR(N61='Tabla Impacto'!$C$15,N61='Tabla Impacto'!$D$15),"Catastrófico","")))))</f>
        <v>Leve</v>
      </c>
      <c r="P61" s="357">
        <f ca="1">IF(O61="","",IF(O61="Leve",0.2,IF(O61="Menor",0.4,IF(O61="Moderado",0.6,IF(O61="Mayor",0.8,IF(O61="Catastrófico",1,))))))</f>
        <v>0.2</v>
      </c>
      <c r="Q61" s="354" t="str">
        <f ca="1">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Bajo</v>
      </c>
      <c r="R61" s="128">
        <v>1</v>
      </c>
      <c r="S61" s="97" t="s">
        <v>526</v>
      </c>
      <c r="T61" s="129" t="str">
        <f t="shared" si="25"/>
        <v>Probabilidad</v>
      </c>
      <c r="U61" s="130" t="s">
        <v>14</v>
      </c>
      <c r="V61" s="130" t="s">
        <v>9</v>
      </c>
      <c r="W61" s="131" t="str">
        <f t="shared" si="26"/>
        <v>40%</v>
      </c>
      <c r="X61" s="130" t="s">
        <v>19</v>
      </c>
      <c r="Y61" s="130" t="s">
        <v>22</v>
      </c>
      <c r="Z61" s="130" t="s">
        <v>110</v>
      </c>
      <c r="AA61" s="132">
        <f t="shared" si="27"/>
        <v>0.24</v>
      </c>
      <c r="AB61" s="133" t="str">
        <f t="shared" si="28"/>
        <v>Baja</v>
      </c>
      <c r="AC61" s="134">
        <f t="shared" si="29"/>
        <v>0.24</v>
      </c>
      <c r="AD61" s="133" t="str">
        <f t="shared" ca="1" si="30"/>
        <v>Leve</v>
      </c>
      <c r="AE61" s="134">
        <f t="shared" ca="1" si="31"/>
        <v>0.2</v>
      </c>
      <c r="AF61" s="135" t="str">
        <f t="shared" ca="1" si="32"/>
        <v>Bajo</v>
      </c>
      <c r="AG61" s="136" t="s">
        <v>122</v>
      </c>
      <c r="AH61" s="97" t="s">
        <v>527</v>
      </c>
      <c r="AI61" s="125" t="s">
        <v>212</v>
      </c>
      <c r="AJ61" s="137" t="s">
        <v>286</v>
      </c>
      <c r="AK61" s="137" t="s">
        <v>287</v>
      </c>
      <c r="AL61" s="145" t="s">
        <v>536</v>
      </c>
      <c r="AM61" s="125"/>
      <c r="AN61" s="216" t="s">
        <v>666</v>
      </c>
      <c r="AO61" s="216" t="s">
        <v>753</v>
      </c>
      <c r="AP61" s="215">
        <v>0.33</v>
      </c>
      <c r="AQ61" s="216" t="s">
        <v>667</v>
      </c>
      <c r="AR61" s="216" t="s">
        <v>754</v>
      </c>
      <c r="AS61" s="215">
        <v>0.33</v>
      </c>
      <c r="AT61" s="137"/>
      <c r="AU61" s="137" t="s">
        <v>616</v>
      </c>
      <c r="AV61" s="137" t="s">
        <v>622</v>
      </c>
      <c r="AW61" s="137" t="s">
        <v>622</v>
      </c>
      <c r="AX61" s="137" t="s">
        <v>622</v>
      </c>
      <c r="AY61" s="137"/>
    </row>
    <row r="62" spans="1:51" s="149" customFormat="1" ht="151.5" hidden="1" customHeight="1" x14ac:dyDescent="0.25">
      <c r="A62" s="374"/>
      <c r="B62" s="343"/>
      <c r="C62" s="373"/>
      <c r="D62" s="373"/>
      <c r="E62" s="353"/>
      <c r="F62" s="353"/>
      <c r="G62" s="353"/>
      <c r="H62" s="371"/>
      <c r="I62" s="353"/>
      <c r="J62" s="369"/>
      <c r="K62" s="361"/>
      <c r="L62" s="358"/>
      <c r="M62" s="364"/>
      <c r="N62" s="138"/>
      <c r="O62" s="361"/>
      <c r="P62" s="358"/>
      <c r="Q62" s="355"/>
      <c r="R62" s="128">
        <v>2</v>
      </c>
      <c r="S62" s="97"/>
      <c r="T62" s="129"/>
      <c r="U62" s="130"/>
      <c r="V62" s="130"/>
      <c r="W62" s="131"/>
      <c r="X62" s="130"/>
      <c r="Y62" s="130"/>
      <c r="Z62" s="130"/>
      <c r="AA62" s="132"/>
      <c r="AB62" s="133"/>
      <c r="AC62" s="134"/>
      <c r="AD62" s="133"/>
      <c r="AE62" s="134"/>
      <c r="AF62" s="135"/>
      <c r="AG62" s="136"/>
      <c r="AH62" s="97"/>
      <c r="AI62" s="125"/>
      <c r="AJ62" s="137"/>
      <c r="AK62" s="137"/>
      <c r="AL62" s="145"/>
      <c r="AM62" s="125"/>
      <c r="AN62" s="216"/>
      <c r="AO62" s="216"/>
      <c r="AP62" s="215"/>
      <c r="AQ62" s="216"/>
      <c r="AR62" s="216"/>
      <c r="AS62" s="215"/>
      <c r="AT62" s="137"/>
      <c r="AU62" s="137" t="s">
        <v>616</v>
      </c>
      <c r="AV62" s="137" t="s">
        <v>622</v>
      </c>
      <c r="AW62" s="137" t="s">
        <v>622</v>
      </c>
      <c r="AX62" s="137" t="s">
        <v>622</v>
      </c>
      <c r="AY62" s="137"/>
    </row>
    <row r="63" spans="1:51" s="149" customFormat="1" ht="151.5" hidden="1" customHeight="1" x14ac:dyDescent="0.25">
      <c r="A63" s="374"/>
      <c r="B63" s="344"/>
      <c r="C63" s="373"/>
      <c r="D63" s="373"/>
      <c r="E63" s="353"/>
      <c r="F63" s="353"/>
      <c r="G63" s="353"/>
      <c r="H63" s="371"/>
      <c r="I63" s="353"/>
      <c r="J63" s="369"/>
      <c r="K63" s="362"/>
      <c r="L63" s="359"/>
      <c r="M63" s="364"/>
      <c r="N63" s="138"/>
      <c r="O63" s="362"/>
      <c r="P63" s="359"/>
      <c r="Q63" s="356"/>
      <c r="R63" s="128">
        <v>3</v>
      </c>
      <c r="S63" s="97"/>
      <c r="T63" s="129" t="str">
        <f t="shared" ref="T63" si="88">IF(OR(U63="Preventivo",U63="Detectivo"),"Probabilidad",IF(U63="Correctivo","Impacto",""))</f>
        <v/>
      </c>
      <c r="U63" s="130"/>
      <c r="V63" s="130"/>
      <c r="W63" s="131"/>
      <c r="X63" s="130"/>
      <c r="Y63" s="130"/>
      <c r="Z63" s="130"/>
      <c r="AA63" s="132"/>
      <c r="AB63" s="133"/>
      <c r="AC63" s="134"/>
      <c r="AD63" s="133"/>
      <c r="AE63" s="134"/>
      <c r="AF63" s="135"/>
      <c r="AG63" s="136"/>
      <c r="AH63" s="97"/>
      <c r="AI63" s="125"/>
      <c r="AJ63" s="137"/>
      <c r="AK63" s="137"/>
      <c r="AL63" s="97"/>
      <c r="AM63" s="125"/>
      <c r="AN63" s="216"/>
      <c r="AO63" s="216"/>
      <c r="AP63" s="215"/>
      <c r="AQ63" s="216"/>
      <c r="AR63" s="216"/>
      <c r="AS63" s="215"/>
      <c r="AT63" s="137"/>
      <c r="AU63" s="137" t="s">
        <v>616</v>
      </c>
      <c r="AV63" s="137" t="s">
        <v>622</v>
      </c>
      <c r="AW63" s="137" t="s">
        <v>622</v>
      </c>
      <c r="AX63" s="137" t="s">
        <v>622</v>
      </c>
      <c r="AY63" s="137"/>
    </row>
    <row r="64" spans="1:51" s="149" customFormat="1" ht="151.5" customHeight="1" x14ac:dyDescent="0.25">
      <c r="A64" s="374">
        <v>21</v>
      </c>
      <c r="B64" s="342" t="s">
        <v>281</v>
      </c>
      <c r="C64" s="366" t="s">
        <v>356</v>
      </c>
      <c r="D64" s="366" t="s">
        <v>388</v>
      </c>
      <c r="E64" s="365" t="s">
        <v>118</v>
      </c>
      <c r="F64" s="365" t="s">
        <v>444</v>
      </c>
      <c r="G64" s="365" t="s">
        <v>284</v>
      </c>
      <c r="H64" s="370" t="s">
        <v>283</v>
      </c>
      <c r="I64" s="365" t="s">
        <v>328</v>
      </c>
      <c r="J64" s="368">
        <v>12</v>
      </c>
      <c r="K64" s="360" t="str">
        <f>IF(J64&lt;=0,"",IF(J64&lt;=2,"Muy Baja",IF(J64&lt;=24,"Baja",IF(J64&lt;=500,"Media",IF(J64&lt;=5000,"Alta","Muy Alta")))))</f>
        <v>Baja</v>
      </c>
      <c r="L64" s="357">
        <f>IF(K64="","",IF(K64="Muy Baja",0.2,IF(K64="Baja",0.4,IF(K64="Media",0.6,IF(K64="Alta",0.8,IF(K64="Muy Alta",1,))))))</f>
        <v>0.4</v>
      </c>
      <c r="M64" s="363" t="s">
        <v>489</v>
      </c>
      <c r="N64" s="127" t="str">
        <f ca="1">IF(NOT(ISERROR(MATCH(M64,'Tabla Impacto'!$B$221:$B$223,0))),'Tabla Impacto'!$F$223&amp;"Por favor no seleccionar los criterios de impacto(Afectación Económica o presupuestal y Pérdida Reputacional)",M64)</f>
        <v xml:space="preserve"> El riesgo afecta la imagen de la entidad internamente, de conocimiento general, nivel interno, de junta directiva y accionistas y/o de proveedores</v>
      </c>
      <c r="O64" s="360" t="str">
        <f ca="1">IF(OR(N64='Tabla Impacto'!$C$11,N64='Tabla Impacto'!$D$11),"Leve",IF(OR(N64='Tabla Impacto'!$C$12,N64='Tabla Impacto'!$D$12),"Menor",IF(OR(N64='Tabla Impacto'!$C$13,N64='Tabla Impacto'!$D$13),"Moderado",IF(OR(N64='Tabla Impacto'!$C$14,N64='Tabla Impacto'!$D$14),"Mayor",IF(OR(N64='Tabla Impacto'!$C$15,N64='Tabla Impacto'!$D$15),"Catastrófico","")))))</f>
        <v>Menor</v>
      </c>
      <c r="P64" s="357">
        <f ca="1">IF(O64="","",IF(O64="Leve",0.2,IF(O64="Menor",0.4,IF(O64="Moderado",0.6,IF(O64="Mayor",0.8,IF(O64="Catastrófico",1,))))))</f>
        <v>0.4</v>
      </c>
      <c r="Q64" s="354" t="str">
        <f ca="1">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Moderado</v>
      </c>
      <c r="R64" s="128">
        <v>1</v>
      </c>
      <c r="S64" s="97" t="s">
        <v>528</v>
      </c>
      <c r="T64" s="129" t="str">
        <f t="shared" si="25"/>
        <v>Probabilidad</v>
      </c>
      <c r="U64" s="130" t="s">
        <v>15</v>
      </c>
      <c r="V64" s="130" t="s">
        <v>9</v>
      </c>
      <c r="W64" s="131" t="str">
        <f t="shared" si="26"/>
        <v>30%</v>
      </c>
      <c r="X64" s="130" t="s">
        <v>19</v>
      </c>
      <c r="Y64" s="130" t="s">
        <v>22</v>
      </c>
      <c r="Z64" s="130" t="s">
        <v>110</v>
      </c>
      <c r="AA64" s="132">
        <f t="shared" si="27"/>
        <v>0.28000000000000003</v>
      </c>
      <c r="AB64" s="133" t="str">
        <f t="shared" si="28"/>
        <v>Baja</v>
      </c>
      <c r="AC64" s="134">
        <f t="shared" si="29"/>
        <v>0.28000000000000003</v>
      </c>
      <c r="AD64" s="133" t="str">
        <f t="shared" ca="1" si="30"/>
        <v>Menor</v>
      </c>
      <c r="AE64" s="134">
        <f t="shared" ca="1" si="31"/>
        <v>0.4</v>
      </c>
      <c r="AF64" s="135" t="str">
        <f t="shared" ca="1" si="32"/>
        <v>Moderado</v>
      </c>
      <c r="AG64" s="136" t="s">
        <v>122</v>
      </c>
      <c r="AH64" s="97" t="s">
        <v>529</v>
      </c>
      <c r="AI64" s="125" t="s">
        <v>260</v>
      </c>
      <c r="AJ64" s="137" t="s">
        <v>286</v>
      </c>
      <c r="AK64" s="137" t="s">
        <v>287</v>
      </c>
      <c r="AL64" s="97" t="s">
        <v>530</v>
      </c>
      <c r="AM64" s="125"/>
      <c r="AN64" s="216" t="s">
        <v>668</v>
      </c>
      <c r="AO64" s="216" t="s">
        <v>755</v>
      </c>
      <c r="AP64" s="215">
        <v>0.33</v>
      </c>
      <c r="AQ64" s="216" t="s">
        <v>669</v>
      </c>
      <c r="AR64" s="216" t="s">
        <v>756</v>
      </c>
      <c r="AS64" s="215">
        <v>0.33</v>
      </c>
      <c r="AT64" s="137"/>
      <c r="AU64" s="137" t="s">
        <v>616</v>
      </c>
      <c r="AV64" s="137" t="s">
        <v>622</v>
      </c>
      <c r="AW64" s="137" t="s">
        <v>622</v>
      </c>
      <c r="AX64" s="137" t="s">
        <v>622</v>
      </c>
      <c r="AY64" s="137"/>
    </row>
    <row r="65" spans="1:51" s="149" customFormat="1" ht="151.5" hidden="1" customHeight="1" x14ac:dyDescent="0.25">
      <c r="A65" s="374"/>
      <c r="B65" s="343"/>
      <c r="C65" s="373"/>
      <c r="D65" s="373"/>
      <c r="E65" s="353"/>
      <c r="F65" s="353"/>
      <c r="G65" s="353"/>
      <c r="H65" s="371"/>
      <c r="I65" s="353"/>
      <c r="J65" s="369"/>
      <c r="K65" s="361"/>
      <c r="L65" s="358"/>
      <c r="M65" s="364"/>
      <c r="N65" s="138"/>
      <c r="O65" s="361"/>
      <c r="P65" s="358"/>
      <c r="Q65" s="355"/>
      <c r="R65" s="128">
        <v>2</v>
      </c>
      <c r="S65" s="97"/>
      <c r="T65" s="129"/>
      <c r="U65" s="130"/>
      <c r="V65" s="130"/>
      <c r="W65" s="131"/>
      <c r="X65" s="130"/>
      <c r="Y65" s="130"/>
      <c r="Z65" s="130"/>
      <c r="AA65" s="132"/>
      <c r="AB65" s="133"/>
      <c r="AC65" s="134"/>
      <c r="AD65" s="133"/>
      <c r="AE65" s="134"/>
      <c r="AF65" s="135"/>
      <c r="AG65" s="136"/>
      <c r="AH65" s="97"/>
      <c r="AI65" s="125"/>
      <c r="AJ65" s="137"/>
      <c r="AK65" s="137"/>
      <c r="AL65" s="97"/>
      <c r="AM65" s="125"/>
      <c r="AN65" s="216"/>
      <c r="AO65" s="216"/>
      <c r="AP65" s="215"/>
      <c r="AQ65" s="216"/>
      <c r="AR65" s="216"/>
      <c r="AS65" s="215"/>
      <c r="AT65" s="137"/>
      <c r="AU65" s="137" t="s">
        <v>616</v>
      </c>
      <c r="AV65" s="137" t="s">
        <v>622</v>
      </c>
      <c r="AW65" s="137" t="s">
        <v>622</v>
      </c>
      <c r="AX65" s="137" t="s">
        <v>622</v>
      </c>
      <c r="AY65" s="137"/>
    </row>
    <row r="66" spans="1:51" s="149" customFormat="1" ht="151.5" hidden="1" customHeight="1" x14ac:dyDescent="0.25">
      <c r="A66" s="374"/>
      <c r="B66" s="344"/>
      <c r="C66" s="373"/>
      <c r="D66" s="373"/>
      <c r="E66" s="353"/>
      <c r="F66" s="353"/>
      <c r="G66" s="353"/>
      <c r="H66" s="371"/>
      <c r="I66" s="353"/>
      <c r="J66" s="369"/>
      <c r="K66" s="362"/>
      <c r="L66" s="359"/>
      <c r="M66" s="364"/>
      <c r="N66" s="138"/>
      <c r="O66" s="362"/>
      <c r="P66" s="359"/>
      <c r="Q66" s="356"/>
      <c r="R66" s="128">
        <v>3</v>
      </c>
      <c r="S66" s="97"/>
      <c r="T66" s="129"/>
      <c r="U66" s="130"/>
      <c r="V66" s="130"/>
      <c r="W66" s="131"/>
      <c r="X66" s="130"/>
      <c r="Y66" s="130"/>
      <c r="Z66" s="130"/>
      <c r="AA66" s="132"/>
      <c r="AB66" s="133"/>
      <c r="AC66" s="134"/>
      <c r="AD66" s="133"/>
      <c r="AE66" s="134"/>
      <c r="AF66" s="135"/>
      <c r="AG66" s="136"/>
      <c r="AH66" s="97"/>
      <c r="AI66" s="125"/>
      <c r="AJ66" s="137"/>
      <c r="AK66" s="137"/>
      <c r="AL66" s="97"/>
      <c r="AM66" s="125"/>
      <c r="AN66" s="216"/>
      <c r="AO66" s="216"/>
      <c r="AP66" s="215"/>
      <c r="AQ66" s="216"/>
      <c r="AR66" s="216"/>
      <c r="AS66" s="215"/>
      <c r="AT66" s="137"/>
      <c r="AU66" s="137" t="s">
        <v>616</v>
      </c>
      <c r="AV66" s="137" t="s">
        <v>622</v>
      </c>
      <c r="AW66" s="137" t="s">
        <v>622</v>
      </c>
      <c r="AX66" s="137" t="s">
        <v>622</v>
      </c>
      <c r="AY66" s="137"/>
    </row>
    <row r="67" spans="1:51" s="201" customFormat="1" ht="151.5" customHeight="1" x14ac:dyDescent="0.25">
      <c r="A67" s="407">
        <v>22</v>
      </c>
      <c r="B67" s="408" t="s">
        <v>281</v>
      </c>
      <c r="C67" s="411" t="s">
        <v>356</v>
      </c>
      <c r="D67" s="411" t="s">
        <v>388</v>
      </c>
      <c r="E67" s="370" t="s">
        <v>120</v>
      </c>
      <c r="F67" s="370" t="s">
        <v>532</v>
      </c>
      <c r="G67" s="370" t="s">
        <v>365</v>
      </c>
      <c r="H67" s="370" t="s">
        <v>531</v>
      </c>
      <c r="I67" s="370" t="s">
        <v>115</v>
      </c>
      <c r="J67" s="413">
        <v>20</v>
      </c>
      <c r="K67" s="415" t="str">
        <f>IF(J67&lt;=0,"",IF(J67&lt;=2,"Muy Baja",IF(J67&lt;=24,"Baja",IF(J67&lt;=500,"Media",IF(J67&lt;=5000,"Alta","Muy Alta")))))</f>
        <v>Baja</v>
      </c>
      <c r="L67" s="418">
        <f>IF(K67="","",IF(K67="Muy Baja",0.2,IF(K67="Baja",0.4,IF(K67="Media",0.6,IF(K67="Alta",0.8,IF(K67="Muy Alta",1,))))))</f>
        <v>0.4</v>
      </c>
      <c r="M67" s="421" t="s">
        <v>484</v>
      </c>
      <c r="N67" s="189" t="str">
        <f ca="1">IF(NOT(ISERROR(MATCH(M67,'Tabla Impacto'!$B$221:$B$223,0))),'Tabla Impacto'!$F$223&amp;"Por favor no seleccionar los criterios de impacto(Afectación Económica o presupuestal y Pérdida Reputacional)",M67)</f>
        <v xml:space="preserve"> El riesgo afecta la imagen de la entidad con algunos usuarios de relevancia frente al logro de los objetivos</v>
      </c>
      <c r="O67" s="415" t="str">
        <f ca="1">IF(OR(N67='Tabla Impacto'!$C$11,N67='Tabla Impacto'!$D$11),"Leve",IF(OR(N67='Tabla Impacto'!$C$12,N67='Tabla Impacto'!$D$12),"Menor",IF(OR(N67='Tabla Impacto'!$C$13,N67='Tabla Impacto'!$D$13),"Moderado",IF(OR(N67='Tabla Impacto'!$C$14,N67='Tabla Impacto'!$D$14),"Mayor",IF(OR(N67='Tabla Impacto'!$C$15,N67='Tabla Impacto'!$D$15),"Catastrófico","")))))</f>
        <v>Moderado</v>
      </c>
      <c r="P67" s="418">
        <f ca="1">IF(O67="","",IF(O67="Leve",0.2,IF(O67="Menor",0.4,IF(O67="Moderado",0.6,IF(O67="Mayor",0.8,IF(O67="Catastrófico",1,))))))</f>
        <v>0.6</v>
      </c>
      <c r="Q67" s="432" t="str">
        <f ca="1">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91">
        <v>1</v>
      </c>
      <c r="S67" s="124" t="s">
        <v>533</v>
      </c>
      <c r="T67" s="192" t="str">
        <f t="shared" ref="T67:T73" si="89">IF(OR(U67="Preventivo",U67="Detectivo"),"Probabilidad",IF(U67="Correctivo","Impacto",""))</f>
        <v>Probabilidad</v>
      </c>
      <c r="U67" s="193" t="s">
        <v>15</v>
      </c>
      <c r="V67" s="193" t="s">
        <v>9</v>
      </c>
      <c r="W67" s="194" t="str">
        <f t="shared" ref="W67:W73" si="90">IF(AND(U67="Preventivo",V67="Automático"),"50%",IF(AND(U67="Preventivo",V67="Manual"),"40%",IF(AND(U67="Detectivo",V67="Automático"),"40%",IF(AND(U67="Detectivo",V67="Manual"),"30%",IF(AND(U67="Correctivo",V67="Automático"),"35%",IF(AND(U67="Correctivo",V67="Manual"),"25%",""))))))</f>
        <v>30%</v>
      </c>
      <c r="X67" s="193" t="s">
        <v>19</v>
      </c>
      <c r="Y67" s="193" t="s">
        <v>22</v>
      </c>
      <c r="Z67" s="193" t="s">
        <v>110</v>
      </c>
      <c r="AA67" s="146">
        <f t="shared" ref="AA67" si="91">IFERROR(IF(T67="Probabilidad",(L67-(+L67*W67)),IF(T67="Impacto",L67,"")),"")</f>
        <v>0.28000000000000003</v>
      </c>
      <c r="AB67" s="195" t="str">
        <f t="shared" ref="AB67:AB73" si="92">IFERROR(IF(AA67="","",IF(AA67&lt;=0.2,"Muy Baja",IF(AA67&lt;=0.4,"Baja",IF(AA67&lt;=0.6,"Media",IF(AA67&lt;=0.8,"Alta","Muy Alta"))))),"")</f>
        <v>Baja</v>
      </c>
      <c r="AC67" s="196">
        <f t="shared" ref="AC67:AC73" si="93">+AA67</f>
        <v>0.28000000000000003</v>
      </c>
      <c r="AD67" s="195" t="str">
        <f t="shared" ref="AD67:AD73" ca="1" si="94">IFERROR(IF(AE67="","",IF(AE67&lt;=0.2,"Leve",IF(AE67&lt;=0.4,"Menor",IF(AE67&lt;=0.6,"Moderado",IF(AE67&lt;=0.8,"Mayor","Catastrófico"))))),"")</f>
        <v>Moderado</v>
      </c>
      <c r="AE67" s="196">
        <f t="shared" ref="AE67" ca="1" si="95">IFERROR(IF(T67="Impacto",(P67-(+P67*W67)),IF(T67="Probabilidad",P67,"")),"")</f>
        <v>0.6</v>
      </c>
      <c r="AF67" s="197" t="str">
        <f t="shared" ref="AF67:AF73" ca="1" si="96">IFERROR(IF(OR(AND(AB67="Muy Baja",AD67="Leve"),AND(AB67="Muy Baja",AD67="Menor"),AND(AB67="Baja",AD67="Leve")),"Bajo",IF(OR(AND(AB67="Muy baja",AD67="Moderado"),AND(AB67="Baja",AD67="Menor"),AND(AB67="Baja",AD67="Moderado"),AND(AB67="Media",AD67="Leve"),AND(AB67="Media",AD67="Menor"),AND(AB67="Media",AD67="Moderado"),AND(AB67="Alta",AD67="Leve"),AND(AB67="Alta",AD67="Menor")),"Moderado",IF(OR(AND(AB67="Muy Baja",AD67="Mayor"),AND(AB67="Baja",AD67="Mayor"),AND(AB67="Media",AD67="Mayor"),AND(AB67="Alta",AD67="Moderado"),AND(AB67="Alta",AD67="Mayor"),AND(AB67="Muy Alta",AD67="Leve"),AND(AB67="Muy Alta",AD67="Menor"),AND(AB67="Muy Alta",AD67="Moderado"),AND(AB67="Muy Alta",AD67="Mayor")),"Alto",IF(OR(AND(AB67="Muy Baja",AD67="Catastrófico"),AND(AB67="Baja",AD67="Catastrófico"),AND(AB67="Media",AD67="Catastrófico"),AND(AB67="Alta",AD67="Catastrófico"),AND(AB67="Muy Alta",AD67="Catastrófico")),"Extremo","")))),"")</f>
        <v>Moderado</v>
      </c>
      <c r="AG67" s="198" t="s">
        <v>122</v>
      </c>
      <c r="AH67" s="124" t="s">
        <v>534</v>
      </c>
      <c r="AI67" s="119" t="s">
        <v>212</v>
      </c>
      <c r="AJ67" s="126" t="s">
        <v>286</v>
      </c>
      <c r="AK67" s="126" t="s">
        <v>287</v>
      </c>
      <c r="AL67" s="124" t="s">
        <v>535</v>
      </c>
      <c r="AM67" s="187"/>
      <c r="AN67" s="216" t="s">
        <v>670</v>
      </c>
      <c r="AO67" s="216" t="s">
        <v>757</v>
      </c>
      <c r="AP67" s="215">
        <v>0.33</v>
      </c>
      <c r="AQ67" s="216" t="s">
        <v>671</v>
      </c>
      <c r="AR67" s="216" t="s">
        <v>617</v>
      </c>
      <c r="AS67" s="215">
        <v>0</v>
      </c>
      <c r="AT67" s="137"/>
      <c r="AU67" s="137" t="s">
        <v>616</v>
      </c>
      <c r="AV67" s="137" t="s">
        <v>622</v>
      </c>
      <c r="AW67" s="137" t="s">
        <v>622</v>
      </c>
      <c r="AX67" s="137" t="s">
        <v>622</v>
      </c>
      <c r="AY67" s="137" t="s">
        <v>758</v>
      </c>
    </row>
    <row r="68" spans="1:51" s="201" customFormat="1" ht="151.5" hidden="1" customHeight="1" x14ac:dyDescent="0.25">
      <c r="A68" s="407"/>
      <c r="B68" s="409"/>
      <c r="C68" s="412"/>
      <c r="D68" s="412"/>
      <c r="E68" s="371"/>
      <c r="F68" s="371"/>
      <c r="G68" s="371"/>
      <c r="H68" s="371"/>
      <c r="I68" s="371"/>
      <c r="J68" s="414"/>
      <c r="K68" s="416"/>
      <c r="L68" s="419"/>
      <c r="M68" s="422"/>
      <c r="N68" s="190"/>
      <c r="O68" s="416"/>
      <c r="P68" s="419"/>
      <c r="Q68" s="433"/>
      <c r="R68" s="191">
        <v>2</v>
      </c>
      <c r="S68" s="186"/>
      <c r="T68" s="178"/>
      <c r="U68" s="179"/>
      <c r="V68" s="179"/>
      <c r="W68" s="180"/>
      <c r="X68" s="179"/>
      <c r="Y68" s="179"/>
      <c r="Z68" s="179"/>
      <c r="AA68" s="181"/>
      <c r="AB68" s="182"/>
      <c r="AC68" s="183"/>
      <c r="AD68" s="182"/>
      <c r="AE68" s="183"/>
      <c r="AF68" s="184"/>
      <c r="AG68" s="185"/>
      <c r="AH68" s="186"/>
      <c r="AI68" s="187"/>
      <c r="AJ68" s="188"/>
      <c r="AK68" s="188"/>
      <c r="AL68" s="186"/>
      <c r="AM68" s="187"/>
      <c r="AN68" s="216"/>
      <c r="AO68" s="216"/>
      <c r="AP68" s="215"/>
      <c r="AQ68" s="216"/>
      <c r="AR68" s="216"/>
      <c r="AS68" s="215"/>
      <c r="AT68" s="137"/>
      <c r="AU68" s="137" t="s">
        <v>616</v>
      </c>
      <c r="AV68" s="137" t="s">
        <v>622</v>
      </c>
      <c r="AW68" s="137" t="s">
        <v>622</v>
      </c>
      <c r="AX68" s="137" t="s">
        <v>622</v>
      </c>
      <c r="AY68" s="137"/>
    </row>
    <row r="69" spans="1:51" s="201" customFormat="1" ht="151.5" hidden="1" customHeight="1" x14ac:dyDescent="0.25">
      <c r="A69" s="407"/>
      <c r="B69" s="410"/>
      <c r="C69" s="412"/>
      <c r="D69" s="412"/>
      <c r="E69" s="371"/>
      <c r="F69" s="371"/>
      <c r="G69" s="371"/>
      <c r="H69" s="371"/>
      <c r="I69" s="371"/>
      <c r="J69" s="414"/>
      <c r="K69" s="417"/>
      <c r="L69" s="420"/>
      <c r="M69" s="422"/>
      <c r="N69" s="190"/>
      <c r="O69" s="417"/>
      <c r="P69" s="420"/>
      <c r="Q69" s="434"/>
      <c r="R69" s="191">
        <v>3</v>
      </c>
      <c r="S69" s="186"/>
      <c r="T69" s="178"/>
      <c r="U69" s="179"/>
      <c r="V69" s="179"/>
      <c r="W69" s="180"/>
      <c r="X69" s="179"/>
      <c r="Y69" s="179"/>
      <c r="Z69" s="179"/>
      <c r="AA69" s="181"/>
      <c r="AB69" s="182"/>
      <c r="AC69" s="183"/>
      <c r="AD69" s="182"/>
      <c r="AE69" s="183"/>
      <c r="AF69" s="184"/>
      <c r="AG69" s="185"/>
      <c r="AH69" s="186"/>
      <c r="AI69" s="187"/>
      <c r="AJ69" s="188"/>
      <c r="AK69" s="188"/>
      <c r="AL69" s="186"/>
      <c r="AM69" s="187"/>
      <c r="AN69" s="216"/>
      <c r="AO69" s="216"/>
      <c r="AP69" s="215"/>
      <c r="AQ69" s="216"/>
      <c r="AR69" s="216"/>
      <c r="AS69" s="215"/>
      <c r="AT69" s="137"/>
      <c r="AU69" s="137" t="s">
        <v>616</v>
      </c>
      <c r="AV69" s="137" t="s">
        <v>622</v>
      </c>
      <c r="AW69" s="137" t="s">
        <v>622</v>
      </c>
      <c r="AX69" s="137" t="s">
        <v>622</v>
      </c>
      <c r="AY69" s="137"/>
    </row>
    <row r="70" spans="1:51" s="149" customFormat="1" ht="151.5" customHeight="1" x14ac:dyDescent="0.25">
      <c r="A70" s="374">
        <v>23</v>
      </c>
      <c r="B70" s="342" t="s">
        <v>285</v>
      </c>
      <c r="C70" s="366" t="s">
        <v>389</v>
      </c>
      <c r="D70" s="366" t="s">
        <v>390</v>
      </c>
      <c r="E70" s="365" t="s">
        <v>118</v>
      </c>
      <c r="F70" s="365" t="s">
        <v>331</v>
      </c>
      <c r="G70" s="365" t="s">
        <v>445</v>
      </c>
      <c r="H70" s="370" t="s">
        <v>555</v>
      </c>
      <c r="I70" s="365" t="s">
        <v>115</v>
      </c>
      <c r="J70" s="368">
        <v>30</v>
      </c>
      <c r="K70" s="360" t="str">
        <f>IF(J70&lt;=0,"",IF(J70&lt;=2,"Muy Baja",IF(J70&lt;=24,"Baja",IF(J70&lt;=500,"Media",IF(J70&lt;=5000,"Alta","Muy Alta")))))</f>
        <v>Media</v>
      </c>
      <c r="L70" s="357">
        <f>IF(K70="","",IF(K70="Muy Baja",0.2,IF(K70="Baja",0.4,IF(K70="Media",0.6,IF(K70="Alta",0.8,IF(K70="Muy Alta",1,))))))</f>
        <v>0.6</v>
      </c>
      <c r="M70" s="363" t="s">
        <v>491</v>
      </c>
      <c r="N70" s="127" t="str">
        <f ca="1">IF(NOT(ISERROR(MATCH(M70,'Tabla Impacto'!$B$221:$B$223,0))),'Tabla Impacto'!$F$223&amp;"Por favor no seleccionar los criterios de impacto(Afectación Económica o presupuestal y Pérdida Reputacional)",M70)</f>
        <v xml:space="preserve"> El riesgo afecta la imagen de la entidad con efecto publicitario sostenido a nivel de sector administrativo, nivel departamental o municipal</v>
      </c>
      <c r="O70" s="360" t="str">
        <f ca="1">IF(OR(N70='Tabla Impacto'!$C$11,N70='Tabla Impacto'!$D$11),"Leve",IF(OR(N70='Tabla Impacto'!$C$12,N70='Tabla Impacto'!$D$12),"Menor",IF(OR(N70='Tabla Impacto'!$C$13,N70='Tabla Impacto'!$D$13),"Moderado",IF(OR(N70='Tabla Impacto'!$C$14,N70='Tabla Impacto'!$D$14),"Mayor",IF(OR(N70='Tabla Impacto'!$C$15,N70='Tabla Impacto'!$D$15),"Catastrófico","")))))</f>
        <v>Mayor</v>
      </c>
      <c r="P70" s="357">
        <f ca="1">IF(O70="","",IF(O70="Leve",0.2,IF(O70="Menor",0.4,IF(O70="Moderado",0.6,IF(O70="Mayor",0.8,IF(O70="Catastrófico",1,))))))</f>
        <v>0.8</v>
      </c>
      <c r="Q70" s="354" t="str">
        <f ca="1">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Alto</v>
      </c>
      <c r="R70" s="128">
        <v>1</v>
      </c>
      <c r="S70" s="97" t="s">
        <v>576</v>
      </c>
      <c r="T70" s="129" t="str">
        <f t="shared" si="89"/>
        <v>Probabilidad</v>
      </c>
      <c r="U70" s="130" t="s">
        <v>14</v>
      </c>
      <c r="V70" s="130" t="s">
        <v>9</v>
      </c>
      <c r="W70" s="131" t="str">
        <f t="shared" si="90"/>
        <v>40%</v>
      </c>
      <c r="X70" s="130" t="s">
        <v>19</v>
      </c>
      <c r="Y70" s="130" t="s">
        <v>22</v>
      </c>
      <c r="Z70" s="130" t="s">
        <v>110</v>
      </c>
      <c r="AA70" s="132">
        <f t="shared" ref="AA70:AA73" si="97">IFERROR(IF(T70="Probabilidad",(L70-(+L70*W70)),IF(T70="Impacto",L70,"")),"")</f>
        <v>0.36</v>
      </c>
      <c r="AB70" s="133" t="str">
        <f t="shared" si="92"/>
        <v>Baja</v>
      </c>
      <c r="AC70" s="134">
        <f t="shared" si="93"/>
        <v>0.36</v>
      </c>
      <c r="AD70" s="133" t="str">
        <f t="shared" ca="1" si="94"/>
        <v>Mayor</v>
      </c>
      <c r="AE70" s="134">
        <f t="shared" ref="AE70:AE73" ca="1" si="98">IFERROR(IF(T70="Impacto",(P70-(+P70*W70)),IF(T70="Probabilidad",P70,"")),"")</f>
        <v>0.8</v>
      </c>
      <c r="AF70" s="135" t="str">
        <f t="shared" ca="1" si="96"/>
        <v>Alto</v>
      </c>
      <c r="AG70" s="136" t="s">
        <v>122</v>
      </c>
      <c r="AH70" s="124" t="s">
        <v>556</v>
      </c>
      <c r="AI70" s="119" t="s">
        <v>212</v>
      </c>
      <c r="AJ70" s="126" t="s">
        <v>286</v>
      </c>
      <c r="AK70" s="126" t="s">
        <v>287</v>
      </c>
      <c r="AL70" s="124" t="s">
        <v>391</v>
      </c>
      <c r="AM70" s="125"/>
      <c r="AN70" s="216" t="s">
        <v>805</v>
      </c>
      <c r="AO70" s="216" t="s">
        <v>759</v>
      </c>
      <c r="AP70" s="215">
        <v>0.33</v>
      </c>
      <c r="AQ70" s="216" t="s">
        <v>806</v>
      </c>
      <c r="AR70" s="216" t="s">
        <v>807</v>
      </c>
      <c r="AS70" s="215">
        <v>0.33</v>
      </c>
      <c r="AT70" s="137"/>
      <c r="AU70" s="137" t="s">
        <v>616</v>
      </c>
      <c r="AV70" s="137" t="s">
        <v>622</v>
      </c>
      <c r="AW70" s="137" t="s">
        <v>622</v>
      </c>
      <c r="AX70" s="137" t="s">
        <v>622</v>
      </c>
      <c r="AY70" s="137"/>
    </row>
    <row r="71" spans="1:51" s="149" customFormat="1" ht="151.5" hidden="1" customHeight="1" x14ac:dyDescent="0.25">
      <c r="A71" s="374"/>
      <c r="B71" s="343"/>
      <c r="C71" s="367"/>
      <c r="D71" s="373"/>
      <c r="E71" s="353"/>
      <c r="F71" s="353"/>
      <c r="G71" s="353"/>
      <c r="H71" s="371"/>
      <c r="I71" s="353"/>
      <c r="J71" s="369"/>
      <c r="K71" s="361"/>
      <c r="L71" s="358"/>
      <c r="M71" s="364"/>
      <c r="N71" s="138"/>
      <c r="O71" s="361"/>
      <c r="P71" s="358"/>
      <c r="Q71" s="355"/>
      <c r="R71" s="128">
        <v>2</v>
      </c>
      <c r="S71" s="97"/>
      <c r="T71" s="129"/>
      <c r="U71" s="130"/>
      <c r="V71" s="130"/>
      <c r="W71" s="131"/>
      <c r="X71" s="130"/>
      <c r="Y71" s="130"/>
      <c r="Z71" s="130"/>
      <c r="AA71" s="132"/>
      <c r="AB71" s="133"/>
      <c r="AC71" s="134"/>
      <c r="AD71" s="133"/>
      <c r="AE71" s="134"/>
      <c r="AF71" s="135"/>
      <c r="AG71" s="136"/>
      <c r="AH71" s="124"/>
      <c r="AI71" s="119"/>
      <c r="AJ71" s="126"/>
      <c r="AK71" s="126"/>
      <c r="AL71" s="124"/>
      <c r="AM71" s="125"/>
      <c r="AN71" s="216"/>
      <c r="AO71" s="216"/>
      <c r="AP71" s="215"/>
      <c r="AQ71" s="216"/>
      <c r="AR71" s="216"/>
      <c r="AS71" s="215"/>
      <c r="AT71" s="137"/>
      <c r="AU71" s="137" t="s">
        <v>616</v>
      </c>
      <c r="AV71" s="137" t="s">
        <v>622</v>
      </c>
      <c r="AW71" s="137" t="s">
        <v>622</v>
      </c>
      <c r="AX71" s="137" t="s">
        <v>622</v>
      </c>
      <c r="AY71" s="137"/>
    </row>
    <row r="72" spans="1:51" s="149" customFormat="1" ht="151.5" hidden="1" customHeight="1" x14ac:dyDescent="0.25">
      <c r="A72" s="376"/>
      <c r="B72" s="344"/>
      <c r="C72" s="367"/>
      <c r="D72" s="373"/>
      <c r="E72" s="353"/>
      <c r="F72" s="353"/>
      <c r="G72" s="353"/>
      <c r="H72" s="371"/>
      <c r="I72" s="353"/>
      <c r="J72" s="369"/>
      <c r="K72" s="362"/>
      <c r="L72" s="359"/>
      <c r="M72" s="364"/>
      <c r="N72" s="138"/>
      <c r="O72" s="362"/>
      <c r="P72" s="359"/>
      <c r="Q72" s="356"/>
      <c r="R72" s="128">
        <v>3</v>
      </c>
      <c r="S72" s="97"/>
      <c r="T72" s="129"/>
      <c r="U72" s="130"/>
      <c r="V72" s="130"/>
      <c r="W72" s="131"/>
      <c r="X72" s="130"/>
      <c r="Y72" s="130"/>
      <c r="Z72" s="130"/>
      <c r="AA72" s="132"/>
      <c r="AB72" s="133"/>
      <c r="AC72" s="134"/>
      <c r="AD72" s="133"/>
      <c r="AE72" s="134"/>
      <c r="AF72" s="135"/>
      <c r="AG72" s="136"/>
      <c r="AH72" s="124"/>
      <c r="AI72" s="119"/>
      <c r="AJ72" s="126"/>
      <c r="AK72" s="126"/>
      <c r="AL72" s="124"/>
      <c r="AM72" s="125"/>
      <c r="AN72" s="216"/>
      <c r="AO72" s="216"/>
      <c r="AP72" s="215"/>
      <c r="AQ72" s="216"/>
      <c r="AR72" s="216"/>
      <c r="AS72" s="215"/>
      <c r="AT72" s="137"/>
      <c r="AU72" s="137" t="s">
        <v>616</v>
      </c>
      <c r="AV72" s="137" t="s">
        <v>622</v>
      </c>
      <c r="AW72" s="137" t="s">
        <v>622</v>
      </c>
      <c r="AX72" s="137" t="s">
        <v>622</v>
      </c>
      <c r="AY72" s="137"/>
    </row>
    <row r="73" spans="1:51" s="149" customFormat="1" ht="151.5" customHeight="1" x14ac:dyDescent="0.25">
      <c r="A73" s="375">
        <v>24</v>
      </c>
      <c r="B73" s="342" t="s">
        <v>285</v>
      </c>
      <c r="C73" s="366" t="s">
        <v>389</v>
      </c>
      <c r="D73" s="366" t="s">
        <v>390</v>
      </c>
      <c r="E73" s="365" t="s">
        <v>118</v>
      </c>
      <c r="F73" s="365" t="s">
        <v>288</v>
      </c>
      <c r="G73" s="365" t="s">
        <v>446</v>
      </c>
      <c r="H73" s="370" t="s">
        <v>392</v>
      </c>
      <c r="I73" s="365" t="s">
        <v>328</v>
      </c>
      <c r="J73" s="368">
        <v>12</v>
      </c>
      <c r="K73" s="360" t="str">
        <f>IF(J73&lt;=0,"",IF(J73&lt;=2,"Muy Baja",IF(J73&lt;=24,"Baja",IF(J73&lt;=500,"Media",IF(J73&lt;=5000,"Alta","Muy Alta")))))</f>
        <v>Baja</v>
      </c>
      <c r="L73" s="357">
        <f>IF(K73="","",IF(K73="Muy Baja",0.2,IF(K73="Baja",0.4,IF(K73="Media",0.6,IF(K73="Alta",0.8,IF(K73="Muy Alta",1,))))))</f>
        <v>0.4</v>
      </c>
      <c r="M73" s="363" t="s">
        <v>484</v>
      </c>
      <c r="N73" s="127" t="str">
        <f ca="1">IF(NOT(ISERROR(MATCH(M73,'Tabla Impacto'!$B$221:$B$223,0))),'Tabla Impacto'!$F$223&amp;"Por favor no seleccionar los criterios de impacto(Afectación Económica o presupuestal y Pérdida Reputacional)",M73)</f>
        <v xml:space="preserve"> El riesgo afecta la imagen de la entidad con algunos usuarios de relevancia frente al logro de los objetivos</v>
      </c>
      <c r="O73" s="360" t="str">
        <f ca="1">IF(OR(N73='Tabla Impacto'!$C$11,N73='Tabla Impacto'!$D$11),"Leve",IF(OR(N73='Tabla Impacto'!$C$12,N73='Tabla Impacto'!$D$12),"Menor",IF(OR(N73='Tabla Impacto'!$C$13,N73='Tabla Impacto'!$D$13),"Moderado",IF(OR(N73='Tabla Impacto'!$C$14,N73='Tabla Impacto'!$D$14),"Mayor",IF(OR(N73='Tabla Impacto'!$C$15,N73='Tabla Impacto'!$D$15),"Catastrófico","")))))</f>
        <v>Moderado</v>
      </c>
      <c r="P73" s="357">
        <f ca="1">IF(O73="","",IF(O73="Leve",0.2,IF(O73="Menor",0.4,IF(O73="Moderado",0.6,IF(O73="Mayor",0.8,IF(O73="Catastrófico",1,))))))</f>
        <v>0.6</v>
      </c>
      <c r="Q73" s="354" t="str">
        <f ca="1">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128">
        <v>1</v>
      </c>
      <c r="S73" s="97" t="s">
        <v>557</v>
      </c>
      <c r="T73" s="129" t="str">
        <f t="shared" si="89"/>
        <v>Probabilidad</v>
      </c>
      <c r="U73" s="130" t="s">
        <v>14</v>
      </c>
      <c r="V73" s="130" t="s">
        <v>9</v>
      </c>
      <c r="W73" s="131" t="str">
        <f t="shared" si="90"/>
        <v>40%</v>
      </c>
      <c r="X73" s="130" t="s">
        <v>19</v>
      </c>
      <c r="Y73" s="130" t="s">
        <v>22</v>
      </c>
      <c r="Z73" s="130" t="s">
        <v>110</v>
      </c>
      <c r="AA73" s="132">
        <f t="shared" si="97"/>
        <v>0.24</v>
      </c>
      <c r="AB73" s="133" t="str">
        <f t="shared" si="92"/>
        <v>Baja</v>
      </c>
      <c r="AC73" s="134">
        <f t="shared" si="93"/>
        <v>0.24</v>
      </c>
      <c r="AD73" s="133" t="str">
        <f t="shared" ca="1" si="94"/>
        <v>Moderado</v>
      </c>
      <c r="AE73" s="134">
        <f t="shared" ca="1" si="98"/>
        <v>0.6</v>
      </c>
      <c r="AF73" s="135" t="str">
        <f t="shared" ca="1" si="96"/>
        <v>Moderado</v>
      </c>
      <c r="AG73" s="136" t="s">
        <v>122</v>
      </c>
      <c r="AH73" s="97" t="s">
        <v>393</v>
      </c>
      <c r="AI73" s="125" t="s">
        <v>198</v>
      </c>
      <c r="AJ73" s="137" t="s">
        <v>199</v>
      </c>
      <c r="AK73" s="137" t="s">
        <v>199</v>
      </c>
      <c r="AL73" s="97" t="s">
        <v>289</v>
      </c>
      <c r="AM73" s="125"/>
      <c r="AN73" s="216" t="s">
        <v>672</v>
      </c>
      <c r="AO73" s="216" t="s">
        <v>808</v>
      </c>
      <c r="AP73" s="215">
        <v>0.33</v>
      </c>
      <c r="AQ73" s="216" t="s">
        <v>809</v>
      </c>
      <c r="AR73" s="216" t="s">
        <v>760</v>
      </c>
      <c r="AS73" s="215">
        <v>0.33</v>
      </c>
      <c r="AT73" s="137"/>
      <c r="AU73" s="137" t="s">
        <v>616</v>
      </c>
      <c r="AV73" s="137" t="s">
        <v>622</v>
      </c>
      <c r="AW73" s="137" t="s">
        <v>622</v>
      </c>
      <c r="AX73" s="137" t="s">
        <v>622</v>
      </c>
      <c r="AY73" s="137"/>
    </row>
    <row r="74" spans="1:51" s="149" customFormat="1" ht="151.5" hidden="1" customHeight="1" x14ac:dyDescent="0.25">
      <c r="A74" s="374"/>
      <c r="B74" s="343"/>
      <c r="C74" s="367"/>
      <c r="D74" s="373"/>
      <c r="E74" s="353"/>
      <c r="F74" s="353"/>
      <c r="G74" s="353"/>
      <c r="H74" s="371"/>
      <c r="I74" s="353"/>
      <c r="J74" s="369"/>
      <c r="K74" s="361"/>
      <c r="L74" s="358"/>
      <c r="M74" s="364"/>
      <c r="N74" s="138"/>
      <c r="O74" s="361"/>
      <c r="P74" s="358"/>
      <c r="Q74" s="355"/>
      <c r="R74" s="128">
        <v>2</v>
      </c>
      <c r="S74" s="97"/>
      <c r="T74" s="129" t="str">
        <f t="shared" ref="T74:T75" si="99">IF(OR(U74="Preventivo",U74="Detectivo"),"Probabilidad",IF(U74="Correctivo","Impacto",""))</f>
        <v/>
      </c>
      <c r="U74" s="130"/>
      <c r="V74" s="130"/>
      <c r="W74" s="131"/>
      <c r="X74" s="130"/>
      <c r="Y74" s="130"/>
      <c r="Z74" s="130"/>
      <c r="AA74" s="132" t="str">
        <f>IFERROR(IF(T74="Probabilidad",(AA73-(+AA73*W74)),IF(T74="Impacto",L74,"")),"")</f>
        <v/>
      </c>
      <c r="AB74" s="133" t="str">
        <f t="shared" ref="AB74:AB75" si="100">IFERROR(IF(AA74="","",IF(AA74&lt;=0.2,"Muy Baja",IF(AA74&lt;=0.4,"Baja",IF(AA74&lt;=0.6,"Media",IF(AA74&lt;=0.8,"Alta","Muy Alta"))))),"")</f>
        <v/>
      </c>
      <c r="AC74" s="134" t="str">
        <f t="shared" ref="AC74:AC75" si="101">+AA74</f>
        <v/>
      </c>
      <c r="AD74" s="133" t="str">
        <f t="shared" ref="AD74:AD75" si="102">IFERROR(IF(AE74="","",IF(AE74&lt;=0.2,"Leve",IF(AE74&lt;=0.4,"Menor",IF(AE74&lt;=0.6,"Moderado",IF(AE74&lt;=0.8,"Mayor","Catastrófico"))))),"")</f>
        <v/>
      </c>
      <c r="AE74" s="134" t="str">
        <f t="shared" ref="AE74:AE75" si="103">IFERROR(IF(T74="Impacto",(P74-(+P74*W74)),IF(T74="Probabilidad",P74,"")),"")</f>
        <v/>
      </c>
      <c r="AF74" s="135" t="str">
        <f t="shared" ref="AF74:AF75" si="104">IFERROR(IF(OR(AND(AB74="Muy Baja",AD74="Leve"),AND(AB74="Muy Baja",AD74="Menor"),AND(AB74="Baja",AD74="Leve")),"Bajo",IF(OR(AND(AB74="Muy baja",AD74="Moderado"),AND(AB74="Baja",AD74="Menor"),AND(AB74="Baja",AD74="Moderado"),AND(AB74="Media",AD74="Leve"),AND(AB74="Media",AD74="Menor"),AND(AB74="Media",AD74="Moderado"),AND(AB74="Alta",AD74="Leve"),AND(AB74="Alta",AD74="Menor")),"Moderado",IF(OR(AND(AB74="Muy Baja",AD74="Mayor"),AND(AB74="Baja",AD74="Mayor"),AND(AB74="Media",AD74="Mayor"),AND(AB74="Alta",AD74="Moderado"),AND(AB74="Alta",AD74="Mayor"),AND(AB74="Muy Alta",AD74="Leve"),AND(AB74="Muy Alta",AD74="Menor"),AND(AB74="Muy Alta",AD74="Moderado"),AND(AB74="Muy Alta",AD74="Mayor")),"Alto",IF(OR(AND(AB74="Muy Baja",AD74="Catastrófico"),AND(AB74="Baja",AD74="Catastrófico"),AND(AB74="Media",AD74="Catastrófico"),AND(AB74="Alta",AD74="Catastrófico"),AND(AB74="Muy Alta",AD74="Catastrófico")),"Extremo","")))),"")</f>
        <v/>
      </c>
      <c r="AG74" s="136"/>
      <c r="AH74" s="97"/>
      <c r="AI74" s="125"/>
      <c r="AJ74" s="137"/>
      <c r="AK74" s="137"/>
      <c r="AL74" s="97"/>
      <c r="AM74" s="125"/>
      <c r="AN74" s="216"/>
      <c r="AO74" s="216"/>
      <c r="AP74" s="215"/>
      <c r="AQ74" s="216"/>
      <c r="AR74" s="216"/>
      <c r="AS74" s="215"/>
      <c r="AT74" s="137"/>
      <c r="AU74" s="137" t="s">
        <v>616</v>
      </c>
      <c r="AV74" s="137" t="s">
        <v>622</v>
      </c>
      <c r="AW74" s="137" t="s">
        <v>622</v>
      </c>
      <c r="AX74" s="137" t="s">
        <v>622</v>
      </c>
      <c r="AY74" s="137"/>
    </row>
    <row r="75" spans="1:51" s="149" customFormat="1" ht="151.5" hidden="1" customHeight="1" x14ac:dyDescent="0.25">
      <c r="A75" s="374"/>
      <c r="B75" s="344"/>
      <c r="C75" s="367"/>
      <c r="D75" s="373"/>
      <c r="E75" s="353"/>
      <c r="F75" s="353"/>
      <c r="G75" s="353"/>
      <c r="H75" s="371"/>
      <c r="I75" s="353"/>
      <c r="J75" s="369"/>
      <c r="K75" s="362"/>
      <c r="L75" s="359"/>
      <c r="M75" s="364"/>
      <c r="N75" s="138"/>
      <c r="O75" s="362"/>
      <c r="P75" s="359"/>
      <c r="Q75" s="356"/>
      <c r="R75" s="128">
        <v>3</v>
      </c>
      <c r="S75" s="97"/>
      <c r="T75" s="129" t="str">
        <f t="shared" si="99"/>
        <v/>
      </c>
      <c r="U75" s="130"/>
      <c r="V75" s="130"/>
      <c r="W75" s="131"/>
      <c r="X75" s="130"/>
      <c r="Y75" s="130"/>
      <c r="Z75" s="130"/>
      <c r="AA75" s="132" t="str">
        <f>IFERROR(IF(T75="Probabilidad",(AA74-(+AA74*W75)),IF(T75="Impacto",L75,"")),"")</f>
        <v/>
      </c>
      <c r="AB75" s="133" t="str">
        <f t="shared" si="100"/>
        <v/>
      </c>
      <c r="AC75" s="134" t="str">
        <f t="shared" si="101"/>
        <v/>
      </c>
      <c r="AD75" s="133" t="str">
        <f t="shared" si="102"/>
        <v/>
      </c>
      <c r="AE75" s="134" t="str">
        <f t="shared" si="103"/>
        <v/>
      </c>
      <c r="AF75" s="135" t="str">
        <f t="shared" si="104"/>
        <v/>
      </c>
      <c r="AG75" s="136"/>
      <c r="AH75" s="97"/>
      <c r="AI75" s="125"/>
      <c r="AJ75" s="137"/>
      <c r="AK75" s="137"/>
      <c r="AL75" s="97"/>
      <c r="AM75" s="125"/>
      <c r="AN75" s="216"/>
      <c r="AO75" s="216"/>
      <c r="AP75" s="215"/>
      <c r="AQ75" s="216"/>
      <c r="AR75" s="216"/>
      <c r="AS75" s="215"/>
      <c r="AT75" s="137"/>
      <c r="AU75" s="137" t="s">
        <v>616</v>
      </c>
      <c r="AV75" s="137" t="s">
        <v>622</v>
      </c>
      <c r="AW75" s="137" t="s">
        <v>622</v>
      </c>
      <c r="AX75" s="137" t="s">
        <v>622</v>
      </c>
      <c r="AY75" s="137"/>
    </row>
    <row r="76" spans="1:51" s="149" customFormat="1" ht="151.5" customHeight="1" x14ac:dyDescent="0.25">
      <c r="A76" s="374">
        <v>25</v>
      </c>
      <c r="B76" s="342" t="s">
        <v>285</v>
      </c>
      <c r="C76" s="366" t="s">
        <v>389</v>
      </c>
      <c r="D76" s="366" t="s">
        <v>390</v>
      </c>
      <c r="E76" s="365" t="s">
        <v>120</v>
      </c>
      <c r="F76" s="365" t="s">
        <v>448</v>
      </c>
      <c r="G76" s="365" t="s">
        <v>447</v>
      </c>
      <c r="H76" s="370" t="s">
        <v>397</v>
      </c>
      <c r="I76" s="365" t="s">
        <v>328</v>
      </c>
      <c r="J76" s="368">
        <v>12</v>
      </c>
      <c r="K76" s="360" t="str">
        <f>IF(J76&lt;=0,"",IF(J76&lt;=2,"Muy Baja",IF(J76&lt;=24,"Baja",IF(J76&lt;=500,"Media",IF(J76&lt;=5000,"Alta","Muy Alta")))))</f>
        <v>Baja</v>
      </c>
      <c r="L76" s="357">
        <f>IF(K76="","",IF(K76="Muy Baja",0.2,IF(K76="Baja",0.4,IF(K76="Media",0.6,IF(K76="Alta",0.8,IF(K76="Muy Alta",1,))))))</f>
        <v>0.4</v>
      </c>
      <c r="M76" s="363" t="s">
        <v>484</v>
      </c>
      <c r="N76" s="127" t="str">
        <f ca="1">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360" t="str">
        <f ca="1">IF(OR(N76='Tabla Impacto'!$C$11,N76='Tabla Impacto'!$D$11),"Leve",IF(OR(N76='Tabla Impacto'!$C$12,N76='Tabla Impacto'!$D$12),"Menor",IF(OR(N76='Tabla Impacto'!$C$13,N76='Tabla Impacto'!$D$13),"Moderado",IF(OR(N76='Tabla Impacto'!$C$14,N76='Tabla Impacto'!$D$14),"Mayor",IF(OR(N76='Tabla Impacto'!$C$15,N76='Tabla Impacto'!$D$15),"Catastrófico","")))))</f>
        <v>Moderado</v>
      </c>
      <c r="P76" s="357">
        <f ca="1">IF(O76="","",IF(O76="Leve",0.2,IF(O76="Menor",0.4,IF(O76="Moderado",0.6,IF(O76="Mayor",0.8,IF(O76="Catastrófico",1,))))))</f>
        <v>0.6</v>
      </c>
      <c r="Q76" s="354" t="str">
        <f ca="1">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28">
        <v>1</v>
      </c>
      <c r="S76" s="97" t="s">
        <v>340</v>
      </c>
      <c r="T76" s="129" t="str">
        <f t="shared" si="25"/>
        <v>Probabilidad</v>
      </c>
      <c r="U76" s="130" t="s">
        <v>14</v>
      </c>
      <c r="V76" s="130" t="s">
        <v>9</v>
      </c>
      <c r="W76" s="131" t="str">
        <f t="shared" si="26"/>
        <v>40%</v>
      </c>
      <c r="X76" s="130" t="s">
        <v>19</v>
      </c>
      <c r="Y76" s="130" t="s">
        <v>22</v>
      </c>
      <c r="Z76" s="130" t="s">
        <v>110</v>
      </c>
      <c r="AA76" s="132">
        <f t="shared" si="27"/>
        <v>0.24</v>
      </c>
      <c r="AB76" s="133" t="str">
        <f t="shared" si="28"/>
        <v>Baja</v>
      </c>
      <c r="AC76" s="134">
        <f t="shared" si="29"/>
        <v>0.24</v>
      </c>
      <c r="AD76" s="133" t="str">
        <f t="shared" ca="1" si="30"/>
        <v>Moderado</v>
      </c>
      <c r="AE76" s="134">
        <f t="shared" ca="1" si="31"/>
        <v>0.6</v>
      </c>
      <c r="AF76" s="135" t="str">
        <f t="shared" ca="1" si="32"/>
        <v>Moderado</v>
      </c>
      <c r="AG76" s="136" t="s">
        <v>122</v>
      </c>
      <c r="AH76" s="97" t="s">
        <v>290</v>
      </c>
      <c r="AI76" s="139" t="s">
        <v>260</v>
      </c>
      <c r="AJ76" s="137" t="s">
        <v>286</v>
      </c>
      <c r="AK76" s="137" t="s">
        <v>287</v>
      </c>
      <c r="AL76" s="97" t="s">
        <v>291</v>
      </c>
      <c r="AM76" s="125"/>
      <c r="AN76" s="216" t="s">
        <v>810</v>
      </c>
      <c r="AO76" s="216" t="s">
        <v>761</v>
      </c>
      <c r="AP76" s="215">
        <v>0.33</v>
      </c>
      <c r="AQ76" s="216" t="s">
        <v>811</v>
      </c>
      <c r="AR76" s="216" t="s">
        <v>762</v>
      </c>
      <c r="AS76" s="215">
        <v>0.33</v>
      </c>
      <c r="AT76" s="137"/>
      <c r="AU76" s="137" t="s">
        <v>616</v>
      </c>
      <c r="AV76" s="137" t="s">
        <v>622</v>
      </c>
      <c r="AW76" s="137" t="s">
        <v>622</v>
      </c>
      <c r="AX76" s="137" t="s">
        <v>622</v>
      </c>
      <c r="AY76" s="137"/>
    </row>
    <row r="77" spans="1:51" s="149" customFormat="1" ht="151.5" customHeight="1" x14ac:dyDescent="0.25">
      <c r="A77" s="374"/>
      <c r="B77" s="343"/>
      <c r="C77" s="367"/>
      <c r="D77" s="373"/>
      <c r="E77" s="353"/>
      <c r="F77" s="353"/>
      <c r="G77" s="353"/>
      <c r="H77" s="371"/>
      <c r="I77" s="353"/>
      <c r="J77" s="369"/>
      <c r="K77" s="361"/>
      <c r="L77" s="358"/>
      <c r="M77" s="364"/>
      <c r="N77" s="138"/>
      <c r="O77" s="361"/>
      <c r="P77" s="358"/>
      <c r="Q77" s="355"/>
      <c r="R77" s="128">
        <v>2</v>
      </c>
      <c r="S77" s="97" t="s">
        <v>394</v>
      </c>
      <c r="T77" s="129" t="str">
        <f t="shared" ref="T77:T78" si="105">IF(OR(U77="Preventivo",U77="Detectivo"),"Probabilidad",IF(U77="Correctivo","Impacto",""))</f>
        <v>Probabilidad</v>
      </c>
      <c r="U77" s="130" t="s">
        <v>15</v>
      </c>
      <c r="V77" s="130" t="s">
        <v>9</v>
      </c>
      <c r="W77" s="131" t="str">
        <f t="shared" ref="W77:W78" si="106">IF(AND(U77="Preventivo",V77="Automático"),"50%",IF(AND(U77="Preventivo",V77="Manual"),"40%",IF(AND(U77="Detectivo",V77="Automático"),"40%",IF(AND(U77="Detectivo",V77="Manual"),"30%",IF(AND(U77="Correctivo",V77="Automático"),"35%",IF(AND(U77="Correctivo",V77="Manual"),"25%",""))))))</f>
        <v>30%</v>
      </c>
      <c r="X77" s="130" t="s">
        <v>20</v>
      </c>
      <c r="Y77" s="130" t="s">
        <v>23</v>
      </c>
      <c r="Z77" s="130" t="s">
        <v>110</v>
      </c>
      <c r="AA77" s="132">
        <f>IFERROR(IF(T77="Probabilidad",(AA76-(+AA76*W77)),IF(T77="Impacto",L77,"")),"")</f>
        <v>0.16799999999999998</v>
      </c>
      <c r="AB77" s="133" t="str">
        <f t="shared" ref="AB77:AB78" si="107">IFERROR(IF(AA77="","",IF(AA77&lt;=0.2,"Muy Baja",IF(AA77&lt;=0.4,"Baja",IF(AA77&lt;=0.6,"Media",IF(AA77&lt;=0.8,"Alta","Muy Alta"))))),"")</f>
        <v>Muy Baja</v>
      </c>
      <c r="AC77" s="134">
        <f t="shared" ref="AC77:AC78" si="108">+AA77</f>
        <v>0.16799999999999998</v>
      </c>
      <c r="AD77" s="133" t="str">
        <f t="shared" ref="AD77:AD78" si="109">IFERROR(IF(AE77="","",IF(AE77&lt;=0.2,"Leve",IF(AE77&lt;=0.4,"Menor",IF(AE77&lt;=0.6,"Moderado",IF(AE77&lt;=0.8,"Mayor","Catastrófico"))))),"")</f>
        <v>Moderado</v>
      </c>
      <c r="AE77" s="134">
        <v>0.6</v>
      </c>
      <c r="AF77" s="135" t="str">
        <f t="shared" ref="AF77:AF78" si="110">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Moderado</v>
      </c>
      <c r="AG77" s="136" t="s">
        <v>122</v>
      </c>
      <c r="AH77" s="97" t="s">
        <v>395</v>
      </c>
      <c r="AI77" s="139" t="s">
        <v>260</v>
      </c>
      <c r="AJ77" s="137" t="s">
        <v>286</v>
      </c>
      <c r="AK77" s="137" t="s">
        <v>287</v>
      </c>
      <c r="AL77" s="97" t="s">
        <v>291</v>
      </c>
      <c r="AM77" s="125"/>
      <c r="AN77" s="216" t="s">
        <v>812</v>
      </c>
      <c r="AO77" s="216" t="s">
        <v>813</v>
      </c>
      <c r="AP77" s="215">
        <v>0.33</v>
      </c>
      <c r="AQ77" s="216" t="s">
        <v>676</v>
      </c>
      <c r="AR77" s="216" t="s">
        <v>763</v>
      </c>
      <c r="AS77" s="215">
        <v>0.33</v>
      </c>
      <c r="AT77" s="137"/>
      <c r="AU77" s="137" t="s">
        <v>616</v>
      </c>
      <c r="AV77" s="137" t="s">
        <v>622</v>
      </c>
      <c r="AW77" s="137" t="s">
        <v>622</v>
      </c>
      <c r="AX77" s="137" t="s">
        <v>622</v>
      </c>
      <c r="AY77" s="137"/>
    </row>
    <row r="78" spans="1:51" s="149" customFormat="1" ht="151.5" customHeight="1" x14ac:dyDescent="0.25">
      <c r="A78" s="374"/>
      <c r="B78" s="344"/>
      <c r="C78" s="367"/>
      <c r="D78" s="373"/>
      <c r="E78" s="353"/>
      <c r="F78" s="353"/>
      <c r="G78" s="353"/>
      <c r="H78" s="371"/>
      <c r="I78" s="353"/>
      <c r="J78" s="369"/>
      <c r="K78" s="362"/>
      <c r="L78" s="359"/>
      <c r="M78" s="364"/>
      <c r="N78" s="138"/>
      <c r="O78" s="362"/>
      <c r="P78" s="359"/>
      <c r="Q78" s="356"/>
      <c r="R78" s="128">
        <v>3</v>
      </c>
      <c r="S78" s="97" t="s">
        <v>341</v>
      </c>
      <c r="T78" s="129" t="str">
        <f t="shared" si="105"/>
        <v>Probabilidad</v>
      </c>
      <c r="U78" s="130" t="s">
        <v>14</v>
      </c>
      <c r="V78" s="130" t="s">
        <v>9</v>
      </c>
      <c r="W78" s="131" t="str">
        <f t="shared" si="106"/>
        <v>40%</v>
      </c>
      <c r="X78" s="130" t="s">
        <v>19</v>
      </c>
      <c r="Y78" s="130" t="s">
        <v>22</v>
      </c>
      <c r="Z78" s="130" t="s">
        <v>110</v>
      </c>
      <c r="AA78" s="132">
        <f>IFERROR(IF(T78="Probabilidad",(AA77-(+AA77*W78)),IF(T78="Impacto",L78,"")),"")</f>
        <v>0.10079999999999999</v>
      </c>
      <c r="AB78" s="133" t="str">
        <f t="shared" si="107"/>
        <v>Muy Baja</v>
      </c>
      <c r="AC78" s="134">
        <f t="shared" si="108"/>
        <v>0.10079999999999999</v>
      </c>
      <c r="AD78" s="133" t="str">
        <f t="shared" si="109"/>
        <v>Moderado</v>
      </c>
      <c r="AE78" s="134">
        <v>0.6</v>
      </c>
      <c r="AF78" s="135" t="str">
        <f t="shared" si="110"/>
        <v>Moderado</v>
      </c>
      <c r="AG78" s="136" t="s">
        <v>122</v>
      </c>
      <c r="AH78" s="97" t="s">
        <v>396</v>
      </c>
      <c r="AI78" s="139" t="s">
        <v>260</v>
      </c>
      <c r="AJ78" s="137" t="s">
        <v>286</v>
      </c>
      <c r="AK78" s="137" t="s">
        <v>287</v>
      </c>
      <c r="AL78" s="97" t="s">
        <v>291</v>
      </c>
      <c r="AM78" s="125"/>
      <c r="AN78" s="216" t="s">
        <v>814</v>
      </c>
      <c r="AO78" s="216" t="s">
        <v>815</v>
      </c>
      <c r="AP78" s="215">
        <v>0.33</v>
      </c>
      <c r="AQ78" s="216" t="s">
        <v>816</v>
      </c>
      <c r="AR78" s="216" t="s">
        <v>764</v>
      </c>
      <c r="AS78" s="215">
        <v>0.33</v>
      </c>
      <c r="AT78" s="137"/>
      <c r="AU78" s="137" t="s">
        <v>616</v>
      </c>
      <c r="AV78" s="137" t="s">
        <v>622</v>
      </c>
      <c r="AW78" s="137" t="s">
        <v>622</v>
      </c>
      <c r="AX78" s="137" t="s">
        <v>622</v>
      </c>
      <c r="AY78" s="137"/>
    </row>
    <row r="79" spans="1:51" s="149" customFormat="1" ht="151.5" customHeight="1" x14ac:dyDescent="0.25">
      <c r="A79" s="374">
        <v>26</v>
      </c>
      <c r="B79" s="308" t="s">
        <v>292</v>
      </c>
      <c r="C79" s="366" t="s">
        <v>357</v>
      </c>
      <c r="D79" s="366" t="s">
        <v>398</v>
      </c>
      <c r="E79" s="365" t="s">
        <v>120</v>
      </c>
      <c r="F79" s="365" t="s">
        <v>293</v>
      </c>
      <c r="G79" s="365" t="s">
        <v>294</v>
      </c>
      <c r="H79" s="370" t="s">
        <v>550</v>
      </c>
      <c r="I79" s="365" t="s">
        <v>115</v>
      </c>
      <c r="J79" s="368">
        <v>2</v>
      </c>
      <c r="K79" s="360" t="str">
        <f>IF(J79&lt;=0,"",IF(J79&lt;=2,"Muy Baja",IF(J79&lt;=24,"Baja",IF(J79&lt;=500,"Media",IF(J79&lt;=5000,"Alta","Muy Alta")))))</f>
        <v>Muy Baja</v>
      </c>
      <c r="L79" s="357">
        <f>IF(K79="","",IF(K79="Muy Baja",0.2,IF(K79="Baja",0.4,IF(K79="Media",0.6,IF(K79="Alta",0.8,IF(K79="Muy Alta",1,))))))</f>
        <v>0.2</v>
      </c>
      <c r="M79" s="363" t="s">
        <v>483</v>
      </c>
      <c r="N79" s="127" t="str">
        <f ca="1">IF(NOT(ISERROR(MATCH(M79,'Tabla Impacto'!$B$221:$B$223,0))),'Tabla Impacto'!$F$223&amp;"Por favor no seleccionar los criterios de impacto(Afectación Económica o presupuestal y Pérdida Reputacional)",M79)</f>
        <v xml:space="preserve"> Entre 50 y 100 SMLMV </v>
      </c>
      <c r="O79" s="360" t="str">
        <f ca="1">IF(OR(N79='Tabla Impacto'!$C$11,N79='Tabla Impacto'!$D$11),"Leve",IF(OR(N79='Tabla Impacto'!$C$12,N79='Tabla Impacto'!$D$12),"Menor",IF(OR(N79='Tabla Impacto'!$C$13,N79='Tabla Impacto'!$D$13),"Moderado",IF(OR(N79='Tabla Impacto'!$C$14,N79='Tabla Impacto'!$D$14),"Mayor",IF(OR(N79='Tabla Impacto'!$C$15,N79='Tabla Impacto'!$D$15),"Catastrófico","")))))</f>
        <v>Moderado</v>
      </c>
      <c r="P79" s="357">
        <f ca="1">IF(O79="","",IF(O79="Leve",0.2,IF(O79="Menor",0.4,IF(O79="Moderado",0.6,IF(O79="Mayor",0.8,IF(O79="Catastrófico",1,))))))</f>
        <v>0.6</v>
      </c>
      <c r="Q79" s="354" t="str">
        <f ca="1">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28">
        <v>1</v>
      </c>
      <c r="S79" s="97" t="s">
        <v>551</v>
      </c>
      <c r="T79" s="129" t="str">
        <f t="shared" si="25"/>
        <v>Probabilidad</v>
      </c>
      <c r="U79" s="130" t="s">
        <v>14</v>
      </c>
      <c r="V79" s="130" t="s">
        <v>9</v>
      </c>
      <c r="W79" s="131" t="str">
        <f t="shared" si="26"/>
        <v>40%</v>
      </c>
      <c r="X79" s="130" t="s">
        <v>20</v>
      </c>
      <c r="Y79" s="130" t="s">
        <v>22</v>
      </c>
      <c r="Z79" s="130" t="s">
        <v>110</v>
      </c>
      <c r="AA79" s="132">
        <f t="shared" si="27"/>
        <v>0.12</v>
      </c>
      <c r="AB79" s="133" t="str">
        <f t="shared" si="28"/>
        <v>Muy Baja</v>
      </c>
      <c r="AC79" s="134">
        <f t="shared" si="29"/>
        <v>0.12</v>
      </c>
      <c r="AD79" s="133" t="str">
        <f t="shared" ca="1" si="30"/>
        <v>Moderado</v>
      </c>
      <c r="AE79" s="134">
        <f t="shared" ca="1" si="31"/>
        <v>0.6</v>
      </c>
      <c r="AF79" s="135" t="str">
        <f t="shared" ca="1" si="32"/>
        <v>Moderado</v>
      </c>
      <c r="AG79" s="136" t="s">
        <v>122</v>
      </c>
      <c r="AH79" s="97" t="s">
        <v>552</v>
      </c>
      <c r="AI79" s="125" t="s">
        <v>260</v>
      </c>
      <c r="AJ79" s="126">
        <v>44562</v>
      </c>
      <c r="AK79" s="144" t="s">
        <v>373</v>
      </c>
      <c r="AL79" s="97" t="s">
        <v>449</v>
      </c>
      <c r="AM79" s="125"/>
      <c r="AN79" s="216" t="s">
        <v>817</v>
      </c>
      <c r="AO79" s="216" t="s">
        <v>693</v>
      </c>
      <c r="AP79" s="215">
        <v>0.33</v>
      </c>
      <c r="AQ79" s="216" t="s">
        <v>694</v>
      </c>
      <c r="AR79" s="216" t="s">
        <v>695</v>
      </c>
      <c r="AS79" s="215">
        <v>0.33</v>
      </c>
      <c r="AT79" s="137"/>
      <c r="AU79" s="137" t="s">
        <v>616</v>
      </c>
      <c r="AV79" s="137" t="s">
        <v>622</v>
      </c>
      <c r="AW79" s="137" t="s">
        <v>622</v>
      </c>
      <c r="AX79" s="137" t="s">
        <v>622</v>
      </c>
      <c r="AY79" s="137" t="s">
        <v>748</v>
      </c>
    </row>
    <row r="80" spans="1:51" s="149" customFormat="1" ht="151.5" customHeight="1" x14ac:dyDescent="0.25">
      <c r="A80" s="374"/>
      <c r="B80" s="309"/>
      <c r="C80" s="373"/>
      <c r="D80" s="373"/>
      <c r="E80" s="353"/>
      <c r="F80" s="353"/>
      <c r="G80" s="353"/>
      <c r="H80" s="371"/>
      <c r="I80" s="353"/>
      <c r="J80" s="369"/>
      <c r="K80" s="361"/>
      <c r="L80" s="358"/>
      <c r="M80" s="364"/>
      <c r="N80" s="138"/>
      <c r="O80" s="361"/>
      <c r="P80" s="358"/>
      <c r="Q80" s="355"/>
      <c r="R80" s="128">
        <v>2</v>
      </c>
      <c r="S80" s="97" t="s">
        <v>342</v>
      </c>
      <c r="T80" s="129" t="str">
        <f t="shared" ref="T80:T82" si="111">IF(OR(U80="Preventivo",U80="Detectivo"),"Probabilidad",IF(U80="Correctivo","Impacto",""))</f>
        <v>Probabilidad</v>
      </c>
      <c r="U80" s="130" t="s">
        <v>14</v>
      </c>
      <c r="V80" s="130" t="s">
        <v>9</v>
      </c>
      <c r="W80" s="131" t="str">
        <f t="shared" ref="W80:W82" si="112">IF(AND(U80="Preventivo",V80="Automático"),"50%",IF(AND(U80="Preventivo",V80="Manual"),"40%",IF(AND(U80="Detectivo",V80="Automático"),"40%",IF(AND(U80="Detectivo",V80="Manual"),"30%",IF(AND(U80="Correctivo",V80="Automático"),"35%",IF(AND(U80="Correctivo",V80="Manual"),"25%",""))))))</f>
        <v>40%</v>
      </c>
      <c r="X80" s="130" t="s">
        <v>19</v>
      </c>
      <c r="Y80" s="130" t="s">
        <v>22</v>
      </c>
      <c r="Z80" s="130" t="s">
        <v>110</v>
      </c>
      <c r="AA80" s="132">
        <f>IFERROR(IF(T80="Probabilidad",(AA79-(+AA79*W80)),IF(T80="Impacto",L80,"")),"")</f>
        <v>7.1999999999999995E-2</v>
      </c>
      <c r="AB80" s="133" t="str">
        <f t="shared" ref="AB80:AB82" si="113">IFERROR(IF(AA80="","",IF(AA80&lt;=0.2,"Muy Baja",IF(AA80&lt;=0.4,"Baja",IF(AA80&lt;=0.6,"Media",IF(AA80&lt;=0.8,"Alta","Muy Alta"))))),"")</f>
        <v>Muy Baja</v>
      </c>
      <c r="AC80" s="134">
        <f t="shared" ref="AC80:AC82" si="114">+AA80</f>
        <v>7.1999999999999995E-2</v>
      </c>
      <c r="AD80" s="133" t="str">
        <f t="shared" ref="AD80:AD82" ca="1" si="115">IFERROR(IF(AE80="","",IF(AE80&lt;=0.2,"Leve",IF(AE80&lt;=0.4,"Menor",IF(AE80&lt;=0.6,"Moderado",IF(AE80&lt;=0.8,"Mayor","Catastrófico"))))),"")</f>
        <v>Moderado</v>
      </c>
      <c r="AE80" s="134">
        <f ca="1">+AE79</f>
        <v>0.6</v>
      </c>
      <c r="AF80" s="135" t="str">
        <f t="shared" ref="AF80:AF82" ca="1" si="116">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36" t="s">
        <v>122</v>
      </c>
      <c r="AH80" s="97" t="s">
        <v>553</v>
      </c>
      <c r="AI80" s="125" t="s">
        <v>399</v>
      </c>
      <c r="AJ80" s="126">
        <v>44562</v>
      </c>
      <c r="AK80" s="144" t="s">
        <v>373</v>
      </c>
      <c r="AL80" s="97" t="s">
        <v>449</v>
      </c>
      <c r="AM80" s="125"/>
      <c r="AN80" s="216" t="s">
        <v>818</v>
      </c>
      <c r="AO80" s="216" t="s">
        <v>819</v>
      </c>
      <c r="AP80" s="215">
        <v>0.33</v>
      </c>
      <c r="AQ80" s="216" t="s">
        <v>820</v>
      </c>
      <c r="AR80" s="216" t="s">
        <v>701</v>
      </c>
      <c r="AS80" s="215">
        <v>0.33</v>
      </c>
      <c r="AT80" s="137"/>
      <c r="AU80" s="137" t="s">
        <v>616</v>
      </c>
      <c r="AV80" s="137" t="s">
        <v>622</v>
      </c>
      <c r="AW80" s="137" t="s">
        <v>622</v>
      </c>
      <c r="AX80" s="137" t="s">
        <v>622</v>
      </c>
      <c r="AY80" s="137" t="s">
        <v>748</v>
      </c>
    </row>
    <row r="81" spans="1:51" s="149" customFormat="1" ht="151.5" customHeight="1" x14ac:dyDescent="0.25">
      <c r="A81" s="374"/>
      <c r="B81" s="310"/>
      <c r="C81" s="373"/>
      <c r="D81" s="373"/>
      <c r="E81" s="353"/>
      <c r="F81" s="353"/>
      <c r="G81" s="353"/>
      <c r="H81" s="371"/>
      <c r="I81" s="353"/>
      <c r="J81" s="369"/>
      <c r="K81" s="362"/>
      <c r="L81" s="359"/>
      <c r="M81" s="364"/>
      <c r="N81" s="138"/>
      <c r="O81" s="362"/>
      <c r="P81" s="359"/>
      <c r="Q81" s="356"/>
      <c r="R81" s="128">
        <v>3</v>
      </c>
      <c r="S81" s="124" t="s">
        <v>577</v>
      </c>
      <c r="T81" s="129" t="str">
        <f t="shared" si="111"/>
        <v>Probabilidad</v>
      </c>
      <c r="U81" s="130" t="s">
        <v>15</v>
      </c>
      <c r="V81" s="130" t="s">
        <v>9</v>
      </c>
      <c r="W81" s="131" t="str">
        <f t="shared" si="112"/>
        <v>30%</v>
      </c>
      <c r="X81" s="130" t="s">
        <v>20</v>
      </c>
      <c r="Y81" s="130" t="s">
        <v>23</v>
      </c>
      <c r="Z81" s="130" t="s">
        <v>111</v>
      </c>
      <c r="AA81" s="132">
        <f>IFERROR(IF(T81="Probabilidad",(AA80-(+AA80*W81)),IF(T81="Impacto",L81,"")),"")</f>
        <v>5.04E-2</v>
      </c>
      <c r="AB81" s="133" t="str">
        <f t="shared" si="113"/>
        <v>Muy Baja</v>
      </c>
      <c r="AC81" s="134">
        <f t="shared" si="114"/>
        <v>5.04E-2</v>
      </c>
      <c r="AD81" s="133" t="str">
        <f t="shared" ca="1" si="115"/>
        <v>Moderado</v>
      </c>
      <c r="AE81" s="134">
        <f ca="1">+P79</f>
        <v>0.6</v>
      </c>
      <c r="AF81" s="135" t="str">
        <f t="shared" ca="1" si="116"/>
        <v>Moderado</v>
      </c>
      <c r="AG81" s="136" t="s">
        <v>122</v>
      </c>
      <c r="AH81" s="97" t="s">
        <v>552</v>
      </c>
      <c r="AI81" s="125" t="s">
        <v>399</v>
      </c>
      <c r="AJ81" s="126">
        <v>44562</v>
      </c>
      <c r="AK81" s="144" t="s">
        <v>373</v>
      </c>
      <c r="AL81" s="97" t="s">
        <v>449</v>
      </c>
      <c r="AM81" s="125"/>
      <c r="AN81" s="216" t="s">
        <v>702</v>
      </c>
      <c r="AO81" s="216" t="s">
        <v>693</v>
      </c>
      <c r="AP81" s="215">
        <v>0.33</v>
      </c>
      <c r="AQ81" s="216" t="s">
        <v>693</v>
      </c>
      <c r="AR81" s="216" t="s">
        <v>693</v>
      </c>
      <c r="AS81" s="215">
        <v>0.33</v>
      </c>
      <c r="AT81" s="137"/>
      <c r="AU81" s="137" t="s">
        <v>616</v>
      </c>
      <c r="AV81" s="137" t="s">
        <v>622</v>
      </c>
      <c r="AW81" s="137" t="s">
        <v>622</v>
      </c>
      <c r="AX81" s="137" t="s">
        <v>622</v>
      </c>
      <c r="AY81" s="137" t="s">
        <v>748</v>
      </c>
    </row>
    <row r="82" spans="1:51" s="149" customFormat="1" ht="151.5" customHeight="1" x14ac:dyDescent="0.25">
      <c r="A82" s="374">
        <v>27</v>
      </c>
      <c r="B82" s="308" t="s">
        <v>292</v>
      </c>
      <c r="C82" s="366" t="s">
        <v>357</v>
      </c>
      <c r="D82" s="366" t="s">
        <v>398</v>
      </c>
      <c r="E82" s="365" t="s">
        <v>118</v>
      </c>
      <c r="F82" s="365" t="s">
        <v>450</v>
      </c>
      <c r="G82" s="365" t="s">
        <v>451</v>
      </c>
      <c r="H82" s="370" t="s">
        <v>452</v>
      </c>
      <c r="I82" s="365" t="s">
        <v>328</v>
      </c>
      <c r="J82" s="368">
        <v>10</v>
      </c>
      <c r="K82" s="360" t="str">
        <f>IF(J82&lt;=0,"",IF(J82&lt;=2,"Muy Baja",IF(J82&lt;=24,"Baja",IF(J82&lt;=500,"Media",IF(J82&lt;=5000,"Alta","Muy Alta")))))</f>
        <v>Baja</v>
      </c>
      <c r="L82" s="357">
        <f>IF(K82="","",IF(K82="Muy Baja",0.2,IF(K82="Baja",0.4,IF(K82="Media",0.6,IF(K82="Alta",0.8,IF(K82="Muy Alta",1,))))))</f>
        <v>0.4</v>
      </c>
      <c r="M82" s="363" t="s">
        <v>484</v>
      </c>
      <c r="N82" s="127" t="str">
        <f ca="1">IF(NOT(ISERROR(MATCH(M82,'Tabla Impacto'!$B$221:$B$223,0))),'Tabla Impacto'!$F$223&amp;"Por favor no seleccionar los criterios de impacto(Afectación Económica o presupuestal y Pérdida Reputacional)",M82)</f>
        <v xml:space="preserve"> El riesgo afecta la imagen de la entidad con algunos usuarios de relevancia frente al logro de los objetivos</v>
      </c>
      <c r="O82" s="360" t="str">
        <f ca="1">IF(OR(N82='Tabla Impacto'!$C$11,N82='Tabla Impacto'!$D$11),"Leve",IF(OR(N82='Tabla Impacto'!$C$12,N82='Tabla Impacto'!$D$12),"Menor",IF(OR(N82='Tabla Impacto'!$C$13,N82='Tabla Impacto'!$D$13),"Moderado",IF(OR(N82='Tabla Impacto'!$C$14,N82='Tabla Impacto'!$D$14),"Mayor",IF(OR(N82='Tabla Impacto'!$C$15,N82='Tabla Impacto'!$D$15),"Catastrófico","")))))</f>
        <v>Moderado</v>
      </c>
      <c r="P82" s="357">
        <f ca="1">IF(O82="","",IF(O82="Leve",0.2,IF(O82="Menor",0.4,IF(O82="Moderado",0.6,IF(O82="Mayor",0.8,IF(O82="Catastrófico",1,))))))</f>
        <v>0.6</v>
      </c>
      <c r="Q82" s="354" t="str">
        <f ca="1">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28">
        <v>1</v>
      </c>
      <c r="S82" s="97" t="s">
        <v>457</v>
      </c>
      <c r="T82" s="129" t="str">
        <f t="shared" si="111"/>
        <v>Probabilidad</v>
      </c>
      <c r="U82" s="130" t="s">
        <v>15</v>
      </c>
      <c r="V82" s="130" t="s">
        <v>9</v>
      </c>
      <c r="W82" s="131" t="str">
        <f t="shared" si="112"/>
        <v>30%</v>
      </c>
      <c r="X82" s="130" t="s">
        <v>20</v>
      </c>
      <c r="Y82" s="130" t="s">
        <v>23</v>
      </c>
      <c r="Z82" s="130" t="s">
        <v>111</v>
      </c>
      <c r="AA82" s="141">
        <f t="shared" ref="AA82" si="117">IFERROR(IF(T82="Probabilidad",(L82-(+L82*W82)),IF(T82="Impacto",L82,"")),"")</f>
        <v>0.28000000000000003</v>
      </c>
      <c r="AB82" s="133" t="str">
        <f t="shared" si="113"/>
        <v>Baja</v>
      </c>
      <c r="AC82" s="134">
        <f t="shared" si="114"/>
        <v>0.28000000000000003</v>
      </c>
      <c r="AD82" s="133" t="str">
        <f t="shared" ca="1" si="115"/>
        <v>Moderado</v>
      </c>
      <c r="AE82" s="134">
        <f t="shared" ref="AE82" ca="1" si="118">IFERROR(IF(T82="Impacto",(P82-(+P82*W82)),IF(T82="Probabilidad",P82,"")),"")</f>
        <v>0.6</v>
      </c>
      <c r="AF82" s="135" t="str">
        <f t="shared" ca="1" si="116"/>
        <v>Moderado</v>
      </c>
      <c r="AG82" s="136" t="s">
        <v>122</v>
      </c>
      <c r="AH82" s="97" t="s">
        <v>554</v>
      </c>
      <c r="AI82" s="125" t="s">
        <v>198</v>
      </c>
      <c r="AJ82" s="126">
        <v>44562</v>
      </c>
      <c r="AK82" s="144" t="s">
        <v>373</v>
      </c>
      <c r="AL82" s="97" t="s">
        <v>453</v>
      </c>
      <c r="AM82" s="125"/>
      <c r="AN82" s="216" t="s">
        <v>821</v>
      </c>
      <c r="AO82" s="216" t="s">
        <v>693</v>
      </c>
      <c r="AP82" s="215">
        <v>0.33</v>
      </c>
      <c r="AQ82" s="216" t="s">
        <v>822</v>
      </c>
      <c r="AR82" s="216" t="s">
        <v>696</v>
      </c>
      <c r="AS82" s="215">
        <v>0.33</v>
      </c>
      <c r="AT82" s="137"/>
      <c r="AU82" s="137" t="s">
        <v>616</v>
      </c>
      <c r="AV82" s="137" t="s">
        <v>622</v>
      </c>
      <c r="AW82" s="137" t="s">
        <v>622</v>
      </c>
      <c r="AX82" s="137" t="s">
        <v>622</v>
      </c>
      <c r="AY82" s="137" t="s">
        <v>748</v>
      </c>
    </row>
    <row r="83" spans="1:51" s="149" customFormat="1" ht="151.5" hidden="1" customHeight="1" x14ac:dyDescent="0.25">
      <c r="A83" s="374"/>
      <c r="B83" s="309"/>
      <c r="C83" s="373"/>
      <c r="D83" s="373"/>
      <c r="E83" s="353"/>
      <c r="F83" s="353"/>
      <c r="G83" s="353"/>
      <c r="H83" s="371"/>
      <c r="I83" s="353"/>
      <c r="J83" s="369"/>
      <c r="K83" s="361"/>
      <c r="L83" s="358"/>
      <c r="M83" s="364"/>
      <c r="N83" s="138"/>
      <c r="O83" s="361"/>
      <c r="P83" s="358"/>
      <c r="Q83" s="355"/>
      <c r="R83" s="128">
        <v>2</v>
      </c>
      <c r="S83" s="97"/>
      <c r="T83" s="129"/>
      <c r="U83" s="130"/>
      <c r="V83" s="130"/>
      <c r="W83" s="131"/>
      <c r="X83" s="130"/>
      <c r="Y83" s="130"/>
      <c r="Z83" s="130"/>
      <c r="AA83" s="141"/>
      <c r="AB83" s="133"/>
      <c r="AC83" s="134"/>
      <c r="AD83" s="133"/>
      <c r="AE83" s="134"/>
      <c r="AF83" s="135"/>
      <c r="AG83" s="136"/>
      <c r="AH83" s="97"/>
      <c r="AI83" s="125"/>
      <c r="AJ83" s="126"/>
      <c r="AK83" s="144"/>
      <c r="AL83" s="97"/>
      <c r="AM83" s="125"/>
      <c r="AN83" s="216"/>
      <c r="AO83" s="216"/>
      <c r="AP83" s="215"/>
      <c r="AQ83" s="216"/>
      <c r="AR83" s="216"/>
      <c r="AS83" s="215"/>
      <c r="AT83" s="137"/>
      <c r="AU83" s="137" t="s">
        <v>616</v>
      </c>
      <c r="AV83" s="137" t="s">
        <v>622</v>
      </c>
      <c r="AW83" s="137" t="s">
        <v>622</v>
      </c>
      <c r="AX83" s="137" t="s">
        <v>622</v>
      </c>
      <c r="AY83" s="137"/>
    </row>
    <row r="84" spans="1:51" s="149" customFormat="1" ht="151.5" hidden="1" customHeight="1" x14ac:dyDescent="0.25">
      <c r="A84" s="374"/>
      <c r="B84" s="310"/>
      <c r="C84" s="373"/>
      <c r="D84" s="373"/>
      <c r="E84" s="353"/>
      <c r="F84" s="353"/>
      <c r="G84" s="353"/>
      <c r="H84" s="371"/>
      <c r="I84" s="353"/>
      <c r="J84" s="369"/>
      <c r="K84" s="362"/>
      <c r="L84" s="359"/>
      <c r="M84" s="364"/>
      <c r="N84" s="138"/>
      <c r="O84" s="362"/>
      <c r="P84" s="359"/>
      <c r="Q84" s="356"/>
      <c r="R84" s="128">
        <v>3</v>
      </c>
      <c r="S84" s="97"/>
      <c r="T84" s="129"/>
      <c r="U84" s="130"/>
      <c r="V84" s="130"/>
      <c r="W84" s="131"/>
      <c r="X84" s="130"/>
      <c r="Y84" s="130"/>
      <c r="Z84" s="130"/>
      <c r="AA84" s="141"/>
      <c r="AB84" s="133"/>
      <c r="AC84" s="134"/>
      <c r="AD84" s="133"/>
      <c r="AE84" s="134"/>
      <c r="AF84" s="135"/>
      <c r="AG84" s="136"/>
      <c r="AH84" s="97"/>
      <c r="AI84" s="125"/>
      <c r="AJ84" s="126"/>
      <c r="AK84" s="144"/>
      <c r="AL84" s="97"/>
      <c r="AM84" s="125"/>
      <c r="AN84" s="216"/>
      <c r="AO84" s="216"/>
      <c r="AP84" s="215"/>
      <c r="AQ84" s="216"/>
      <c r="AR84" s="216"/>
      <c r="AS84" s="215"/>
      <c r="AT84" s="137"/>
      <c r="AU84" s="137" t="s">
        <v>616</v>
      </c>
      <c r="AV84" s="137" t="s">
        <v>622</v>
      </c>
      <c r="AW84" s="137" t="s">
        <v>622</v>
      </c>
      <c r="AX84" s="137" t="s">
        <v>622</v>
      </c>
      <c r="AY84" s="137"/>
    </row>
    <row r="85" spans="1:51" s="149" customFormat="1" ht="151.5" customHeight="1" x14ac:dyDescent="0.25">
      <c r="A85" s="374">
        <v>28</v>
      </c>
      <c r="B85" s="342" t="s">
        <v>296</v>
      </c>
      <c r="C85" s="366" t="s">
        <v>295</v>
      </c>
      <c r="D85" s="366" t="s">
        <v>297</v>
      </c>
      <c r="E85" s="365" t="s">
        <v>118</v>
      </c>
      <c r="F85" s="365" t="s">
        <v>298</v>
      </c>
      <c r="G85" s="365" t="s">
        <v>454</v>
      </c>
      <c r="H85" s="370" t="s">
        <v>299</v>
      </c>
      <c r="I85" s="365" t="s">
        <v>115</v>
      </c>
      <c r="J85" s="368">
        <v>355</v>
      </c>
      <c r="K85" s="360" t="str">
        <f>IF(J85&lt;=0,"",IF(J85&lt;=2,"Muy Baja",IF(J85&lt;=24,"Baja",IF(J85&lt;=500,"Media",IF(J85&lt;=5000,"Alta","Muy Alta")))))</f>
        <v>Media</v>
      </c>
      <c r="L85" s="357">
        <f>IF(K85="","",IF(K85="Muy Baja",0.2,IF(K85="Baja",0.4,IF(K85="Media",0.6,IF(K85="Alta",0.8,IF(K85="Muy Alta",1,))))))</f>
        <v>0.6</v>
      </c>
      <c r="M85" s="363" t="s">
        <v>491</v>
      </c>
      <c r="N85" s="127" t="str">
        <f ca="1">IF(NOT(ISERROR(MATCH(M85,'Tabla Impacto'!$B$221:$B$223,0))),'Tabla Impacto'!$F$223&amp;"Por favor no seleccionar los criterios de impacto(Afectación Económica o presupuestal y Pérdida Reputacional)",M85)</f>
        <v xml:space="preserve"> El riesgo afecta la imagen de la entidad con efecto publicitario sostenido a nivel de sector administrativo, nivel departamental o municipal</v>
      </c>
      <c r="O85" s="360" t="str">
        <f ca="1">IF(OR(N85='Tabla Impacto'!$C$11,N85='Tabla Impacto'!$D$11),"Leve",IF(OR(N85='Tabla Impacto'!$C$12,N85='Tabla Impacto'!$D$12),"Menor",IF(OR(N85='Tabla Impacto'!$C$13,N85='Tabla Impacto'!$D$13),"Moderado",IF(OR(N85='Tabla Impacto'!$C$14,N85='Tabla Impacto'!$D$14),"Mayor",IF(OR(N85='Tabla Impacto'!$C$15,N85='Tabla Impacto'!$D$15),"Catastrófico","")))))</f>
        <v>Mayor</v>
      </c>
      <c r="P85" s="357">
        <f ca="1">IF(O85="","",IF(O85="Leve",0.2,IF(O85="Menor",0.4,IF(O85="Moderado",0.6,IF(O85="Mayor",0.8,IF(O85="Catastrófico",1,))))))</f>
        <v>0.8</v>
      </c>
      <c r="Q85" s="354" t="str">
        <f ca="1">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Alto</v>
      </c>
      <c r="R85" s="128">
        <v>1</v>
      </c>
      <c r="S85" s="97" t="s">
        <v>455</v>
      </c>
      <c r="T85" s="129" t="str">
        <f t="shared" si="25"/>
        <v>Probabilidad</v>
      </c>
      <c r="U85" s="130" t="s">
        <v>14</v>
      </c>
      <c r="V85" s="130" t="s">
        <v>9</v>
      </c>
      <c r="W85" s="131" t="str">
        <f t="shared" si="26"/>
        <v>40%</v>
      </c>
      <c r="X85" s="130" t="s">
        <v>20</v>
      </c>
      <c r="Y85" s="130" t="s">
        <v>22</v>
      </c>
      <c r="Z85" s="130" t="s">
        <v>110</v>
      </c>
      <c r="AA85" s="132">
        <f t="shared" si="27"/>
        <v>0.36</v>
      </c>
      <c r="AB85" s="133" t="str">
        <f t="shared" si="28"/>
        <v>Baja</v>
      </c>
      <c r="AC85" s="134">
        <f t="shared" si="29"/>
        <v>0.36</v>
      </c>
      <c r="AD85" s="133" t="str">
        <f t="shared" ca="1" si="30"/>
        <v>Mayor</v>
      </c>
      <c r="AE85" s="134">
        <f t="shared" ca="1" si="31"/>
        <v>0.8</v>
      </c>
      <c r="AF85" s="135" t="str">
        <f t="shared" ca="1" si="32"/>
        <v>Alto</v>
      </c>
      <c r="AG85" s="136" t="s">
        <v>122</v>
      </c>
      <c r="AH85" s="97" t="s">
        <v>456</v>
      </c>
      <c r="AI85" s="125" t="s">
        <v>260</v>
      </c>
      <c r="AJ85" s="137" t="s">
        <v>199</v>
      </c>
      <c r="AK85" s="137" t="s">
        <v>199</v>
      </c>
      <c r="AL85" s="124" t="s">
        <v>300</v>
      </c>
      <c r="AM85" s="125"/>
      <c r="AN85" s="216" t="s">
        <v>823</v>
      </c>
      <c r="AO85" s="216" t="s">
        <v>824</v>
      </c>
      <c r="AP85" s="215">
        <v>0.33</v>
      </c>
      <c r="AQ85" s="216" t="s">
        <v>825</v>
      </c>
      <c r="AR85" s="216" t="s">
        <v>826</v>
      </c>
      <c r="AS85" s="215">
        <v>0.33</v>
      </c>
      <c r="AT85" s="137"/>
      <c r="AU85" s="137" t="s">
        <v>616</v>
      </c>
      <c r="AV85" s="137" t="s">
        <v>622</v>
      </c>
      <c r="AW85" s="137" t="s">
        <v>622</v>
      </c>
      <c r="AX85" s="137" t="s">
        <v>622</v>
      </c>
      <c r="AY85" s="137"/>
    </row>
    <row r="86" spans="1:51" s="149" customFormat="1" ht="151.5" hidden="1" customHeight="1" x14ac:dyDescent="0.25">
      <c r="A86" s="374"/>
      <c r="B86" s="343"/>
      <c r="C86" s="367"/>
      <c r="D86" s="367"/>
      <c r="E86" s="353"/>
      <c r="F86" s="353"/>
      <c r="G86" s="353"/>
      <c r="H86" s="371"/>
      <c r="I86" s="353"/>
      <c r="J86" s="369"/>
      <c r="K86" s="361"/>
      <c r="L86" s="358"/>
      <c r="M86" s="364"/>
      <c r="N86" s="138"/>
      <c r="O86" s="361"/>
      <c r="P86" s="358"/>
      <c r="Q86" s="355"/>
      <c r="R86" s="128">
        <v>2</v>
      </c>
      <c r="S86" s="97"/>
      <c r="T86" s="129" t="str">
        <f t="shared" ref="T86:T87" si="119">IF(OR(U86="Preventivo",U86="Detectivo"),"Probabilidad",IF(U86="Correctivo","Impacto",""))</f>
        <v/>
      </c>
      <c r="U86" s="130"/>
      <c r="V86" s="130"/>
      <c r="W86" s="131"/>
      <c r="X86" s="130"/>
      <c r="Y86" s="130"/>
      <c r="Z86" s="130"/>
      <c r="AA86" s="132" t="str">
        <f>IFERROR(IF(T86="Probabilidad",(AA85-(+AA85*W86)),IF(T86="Impacto",L86,"")),"")</f>
        <v/>
      </c>
      <c r="AB86" s="133" t="str">
        <f t="shared" ref="AB86:AB87" si="120">IFERROR(IF(AA86="","",IF(AA86&lt;=0.2,"Muy Baja",IF(AA86&lt;=0.4,"Baja",IF(AA86&lt;=0.6,"Media",IF(AA86&lt;=0.8,"Alta","Muy Alta"))))),"")</f>
        <v/>
      </c>
      <c r="AC86" s="134" t="str">
        <f t="shared" ref="AC86:AC87" si="121">+AA86</f>
        <v/>
      </c>
      <c r="AD86" s="133" t="str">
        <f t="shared" ref="AD86:AD87" si="122">IFERROR(IF(AE86="","",IF(AE86&lt;=0.2,"Leve",IF(AE86&lt;=0.4,"Menor",IF(AE86&lt;=0.6,"Moderado",IF(AE86&lt;=0.8,"Mayor","Catastrófico"))))),"")</f>
        <v/>
      </c>
      <c r="AE86" s="134" t="str">
        <f t="shared" ref="AE86:AE87" si="123">IFERROR(IF(T86="Impacto",(P86-(+P86*W86)),IF(T86="Probabilidad",P86,"")),"")</f>
        <v/>
      </c>
      <c r="AF86" s="135" t="str">
        <f t="shared" ref="AF86:AF87" si="124">IFERROR(IF(OR(AND(AB86="Muy Baja",AD86="Leve"),AND(AB86="Muy Baja",AD86="Menor"),AND(AB86="Baja",AD86="Leve")),"Bajo",IF(OR(AND(AB86="Muy baja",AD86="Moderado"),AND(AB86="Baja",AD86="Menor"),AND(AB86="Baja",AD86="Moderado"),AND(AB86="Media",AD86="Leve"),AND(AB86="Media",AD86="Menor"),AND(AB86="Media",AD86="Moderado"),AND(AB86="Alta",AD86="Leve"),AND(AB86="Alta",AD86="Menor")),"Moderado",IF(OR(AND(AB86="Muy Baja",AD86="Mayor"),AND(AB86="Baja",AD86="Mayor"),AND(AB86="Media",AD86="Mayor"),AND(AB86="Alta",AD86="Moderado"),AND(AB86="Alta",AD86="Mayor"),AND(AB86="Muy Alta",AD86="Leve"),AND(AB86="Muy Alta",AD86="Menor"),AND(AB86="Muy Alta",AD86="Moderado"),AND(AB86="Muy Alta",AD86="Mayor")),"Alto",IF(OR(AND(AB86="Muy Baja",AD86="Catastrófico"),AND(AB86="Baja",AD86="Catastrófico"),AND(AB86="Media",AD86="Catastrófico"),AND(AB86="Alta",AD86="Catastrófico"),AND(AB86="Muy Alta",AD86="Catastrófico")),"Extremo","")))),"")</f>
        <v/>
      </c>
      <c r="AG86" s="136"/>
      <c r="AH86" s="97"/>
      <c r="AI86" s="125"/>
      <c r="AJ86" s="137"/>
      <c r="AK86" s="137"/>
      <c r="AL86" s="97"/>
      <c r="AM86" s="125"/>
      <c r="AN86" s="216"/>
      <c r="AO86" s="216"/>
      <c r="AP86" s="215"/>
      <c r="AQ86" s="216" t="s">
        <v>642</v>
      </c>
      <c r="AR86" s="216"/>
      <c r="AS86" s="215"/>
      <c r="AT86" s="137"/>
      <c r="AU86" s="137" t="s">
        <v>616</v>
      </c>
      <c r="AV86" s="137" t="s">
        <v>622</v>
      </c>
      <c r="AW86" s="137" t="s">
        <v>622</v>
      </c>
      <c r="AX86" s="137" t="s">
        <v>622</v>
      </c>
      <c r="AY86" s="137"/>
    </row>
    <row r="87" spans="1:51" s="149" customFormat="1" ht="151.5" hidden="1" customHeight="1" x14ac:dyDescent="0.25">
      <c r="A87" s="374"/>
      <c r="B87" s="344"/>
      <c r="C87" s="372"/>
      <c r="D87" s="367"/>
      <c r="E87" s="353"/>
      <c r="F87" s="353"/>
      <c r="G87" s="353"/>
      <c r="H87" s="371"/>
      <c r="I87" s="353"/>
      <c r="J87" s="369"/>
      <c r="K87" s="362"/>
      <c r="L87" s="359"/>
      <c r="M87" s="364"/>
      <c r="N87" s="138"/>
      <c r="O87" s="362"/>
      <c r="P87" s="359"/>
      <c r="Q87" s="356"/>
      <c r="R87" s="128">
        <v>3</v>
      </c>
      <c r="S87" s="97"/>
      <c r="T87" s="129" t="str">
        <f t="shared" si="119"/>
        <v/>
      </c>
      <c r="U87" s="130"/>
      <c r="V87" s="130"/>
      <c r="W87" s="131"/>
      <c r="X87" s="130"/>
      <c r="Y87" s="130"/>
      <c r="Z87" s="130"/>
      <c r="AA87" s="132" t="str">
        <f>IFERROR(IF(T87="Probabilidad",(AA86-(+AA86*W87)),IF(T87="Impacto",L87,"")),"")</f>
        <v/>
      </c>
      <c r="AB87" s="133" t="str">
        <f t="shared" si="120"/>
        <v/>
      </c>
      <c r="AC87" s="134" t="str">
        <f t="shared" si="121"/>
        <v/>
      </c>
      <c r="AD87" s="133" t="str">
        <f t="shared" si="122"/>
        <v/>
      </c>
      <c r="AE87" s="134" t="str">
        <f t="shared" si="123"/>
        <v/>
      </c>
      <c r="AF87" s="135" t="str">
        <f t="shared" si="124"/>
        <v/>
      </c>
      <c r="AG87" s="136"/>
      <c r="AH87" s="97"/>
      <c r="AI87" s="125"/>
      <c r="AJ87" s="137"/>
      <c r="AK87" s="137"/>
      <c r="AL87" s="97"/>
      <c r="AM87" s="125"/>
      <c r="AN87" s="216"/>
      <c r="AO87" s="216"/>
      <c r="AP87" s="215"/>
      <c r="AQ87" s="216"/>
      <c r="AR87" s="216"/>
      <c r="AS87" s="215"/>
      <c r="AT87" s="137"/>
      <c r="AU87" s="137" t="s">
        <v>616</v>
      </c>
      <c r="AV87" s="137" t="s">
        <v>622</v>
      </c>
      <c r="AW87" s="137" t="s">
        <v>622</v>
      </c>
      <c r="AX87" s="137" t="s">
        <v>622</v>
      </c>
      <c r="AY87" s="137"/>
    </row>
    <row r="88" spans="1:51" s="149" customFormat="1" ht="176.45" customHeight="1" x14ac:dyDescent="0.25">
      <c r="A88" s="374">
        <v>29</v>
      </c>
      <c r="B88" s="342" t="s">
        <v>296</v>
      </c>
      <c r="C88" s="366" t="s">
        <v>295</v>
      </c>
      <c r="D88" s="366" t="s">
        <v>297</v>
      </c>
      <c r="E88" s="365" t="s">
        <v>118</v>
      </c>
      <c r="F88" s="365" t="s">
        <v>458</v>
      </c>
      <c r="G88" s="365" t="s">
        <v>459</v>
      </c>
      <c r="H88" s="370" t="s">
        <v>495</v>
      </c>
      <c r="I88" s="365" t="s">
        <v>328</v>
      </c>
      <c r="J88" s="368">
        <v>355</v>
      </c>
      <c r="K88" s="360" t="str">
        <f>IF(J88&lt;=0,"",IF(J88&lt;=2,"Muy Baja",IF(J88&lt;=24,"Baja",IF(J88&lt;=500,"Media",IF(J88&lt;=5000,"Alta","Muy Alta")))))</f>
        <v>Media</v>
      </c>
      <c r="L88" s="357">
        <f>IF(K88="","",IF(K88="Muy Baja",0.2,IF(K88="Baja",0.4,IF(K88="Media",0.6,IF(K88="Alta",0.8,IF(K88="Muy Alta",1,))))))</f>
        <v>0.6</v>
      </c>
      <c r="M88" s="363" t="s">
        <v>491</v>
      </c>
      <c r="N88" s="127" t="str">
        <f ca="1">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60" t="str">
        <f ca="1">IF(OR(N88='Tabla Impacto'!$C$11,N88='Tabla Impacto'!$D$11),"Leve",IF(OR(N88='Tabla Impacto'!$C$12,N88='Tabla Impacto'!$D$12),"Menor",IF(OR(N88='Tabla Impacto'!$C$13,N88='Tabla Impacto'!$D$13),"Moderado",IF(OR(N88='Tabla Impacto'!$C$14,N88='Tabla Impacto'!$D$14),"Mayor",IF(OR(N88='Tabla Impacto'!$C$15,N88='Tabla Impacto'!$D$15),"Catastrófico","")))))</f>
        <v>Mayor</v>
      </c>
      <c r="P88" s="357">
        <f ca="1">IF(O88="","",IF(O88="Leve",0.2,IF(O88="Menor",0.4,IF(O88="Moderado",0.6,IF(O88="Mayor",0.8,IF(O88="Catastrófico",1,))))))</f>
        <v>0.8</v>
      </c>
      <c r="Q88" s="354" t="str">
        <f ca="1">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28">
        <v>1</v>
      </c>
      <c r="S88" s="97" t="s">
        <v>460</v>
      </c>
      <c r="T88" s="129" t="str">
        <f t="shared" si="25"/>
        <v>Probabilidad</v>
      </c>
      <c r="U88" s="130" t="s">
        <v>14</v>
      </c>
      <c r="V88" s="130" t="s">
        <v>9</v>
      </c>
      <c r="W88" s="131" t="str">
        <f t="shared" si="26"/>
        <v>40%</v>
      </c>
      <c r="X88" s="130" t="s">
        <v>19</v>
      </c>
      <c r="Y88" s="130" t="s">
        <v>22</v>
      </c>
      <c r="Z88" s="130" t="s">
        <v>110</v>
      </c>
      <c r="AA88" s="146">
        <f t="shared" ref="AA88" si="125">IFERROR(IF(T88="Probabilidad",(L88-(+L88*W88)),IF(T88="Impacto",L88,"")),"")</f>
        <v>0.36</v>
      </c>
      <c r="AB88" s="133" t="str">
        <f t="shared" si="28"/>
        <v>Baja</v>
      </c>
      <c r="AC88" s="134">
        <f t="shared" si="29"/>
        <v>0.36</v>
      </c>
      <c r="AD88" s="133" t="str">
        <f t="shared" ca="1" si="30"/>
        <v>Mayor</v>
      </c>
      <c r="AE88" s="134">
        <f t="shared" ca="1" si="31"/>
        <v>0.8</v>
      </c>
      <c r="AF88" s="135" t="str">
        <f t="shared" ca="1" si="32"/>
        <v>Alto</v>
      </c>
      <c r="AG88" s="136" t="s">
        <v>122</v>
      </c>
      <c r="AH88" s="97" t="s">
        <v>301</v>
      </c>
      <c r="AI88" s="119" t="s">
        <v>260</v>
      </c>
      <c r="AJ88" s="126" t="s">
        <v>199</v>
      </c>
      <c r="AK88" s="126" t="s">
        <v>199</v>
      </c>
      <c r="AL88" s="124" t="s">
        <v>400</v>
      </c>
      <c r="AM88" s="125"/>
      <c r="AN88" s="216" t="s">
        <v>643</v>
      </c>
      <c r="AO88" s="216" t="s">
        <v>644</v>
      </c>
      <c r="AP88" s="215">
        <v>0.33</v>
      </c>
      <c r="AQ88" s="216" t="s">
        <v>827</v>
      </c>
      <c r="AR88" s="216" t="s">
        <v>645</v>
      </c>
      <c r="AS88" s="215">
        <v>0.33</v>
      </c>
      <c r="AT88" s="137"/>
      <c r="AU88" s="137" t="s">
        <v>616</v>
      </c>
      <c r="AV88" s="137" t="s">
        <v>622</v>
      </c>
      <c r="AW88" s="137" t="s">
        <v>622</v>
      </c>
      <c r="AX88" s="137" t="s">
        <v>622</v>
      </c>
      <c r="AY88" s="137"/>
    </row>
    <row r="89" spans="1:51" s="149" customFormat="1" ht="151.5" customHeight="1" x14ac:dyDescent="0.25">
      <c r="A89" s="374"/>
      <c r="B89" s="343"/>
      <c r="C89" s="367"/>
      <c r="D89" s="367"/>
      <c r="E89" s="353"/>
      <c r="F89" s="353"/>
      <c r="G89" s="353"/>
      <c r="H89" s="371"/>
      <c r="I89" s="353"/>
      <c r="J89" s="369"/>
      <c r="K89" s="361"/>
      <c r="L89" s="358"/>
      <c r="M89" s="364"/>
      <c r="N89" s="138"/>
      <c r="O89" s="361"/>
      <c r="P89" s="358"/>
      <c r="Q89" s="355"/>
      <c r="R89" s="128">
        <v>2</v>
      </c>
      <c r="S89" s="97" t="s">
        <v>343</v>
      </c>
      <c r="T89" s="129" t="str">
        <f t="shared" ref="T89:T90" si="126">IF(OR(U89="Preventivo",U89="Detectivo"),"Probabilidad",IF(U89="Correctivo","Impacto",""))</f>
        <v/>
      </c>
      <c r="U89" s="130" t="s">
        <v>332</v>
      </c>
      <c r="V89" s="130" t="s">
        <v>9</v>
      </c>
      <c r="W89" s="131" t="str">
        <f t="shared" ref="W89" si="127">IF(AND(U89="Preventivo",V89="Automático"),"50%",IF(AND(U89="Preventivo",V89="Manual"),"40%",IF(AND(U89="Detectivo",V89="Automático"),"40%",IF(AND(U89="Detectivo",V89="Manual"),"30%",IF(AND(U89="Correctivo",V89="Automático"),"35%",IF(AND(U89="Correctivo",V89="Manual"),"25%",""))))))</f>
        <v/>
      </c>
      <c r="X89" s="130" t="s">
        <v>20</v>
      </c>
      <c r="Y89" s="130" t="s">
        <v>22</v>
      </c>
      <c r="Z89" s="130" t="s">
        <v>110</v>
      </c>
      <c r="AA89" s="147" t="str">
        <f>IFERROR(IF(T89="Probabilidad",(AA88-(+AA88*W89)),IF(T89="Impacto",L89,"")),"")</f>
        <v/>
      </c>
      <c r="AB89" s="133" t="str">
        <f t="shared" ref="AB89:AB90" si="128">IFERROR(IF(AA89="","",IF(AA89&lt;=0.2,"Muy Baja",IF(AA89&lt;=0.4,"Baja",IF(AA89&lt;=0.6,"Media",IF(AA89&lt;=0.8,"Alta","Muy Alta"))))),"")</f>
        <v/>
      </c>
      <c r="AC89" s="134" t="str">
        <f t="shared" ref="AC89:AC90" si="129">+AA89</f>
        <v/>
      </c>
      <c r="AD89" s="133" t="str">
        <f t="shared" ref="AD89:AD90" si="130">IFERROR(IF(AE89="","",IF(AE89&lt;=0.2,"Leve",IF(AE89&lt;=0.4,"Menor",IF(AE89&lt;=0.6,"Moderado",IF(AE89&lt;=0.8,"Mayor","Catastrófico"))))),"")</f>
        <v/>
      </c>
      <c r="AE89" s="134" t="str">
        <f t="shared" ref="AE89:AE90" si="131">IFERROR(IF(T89="Impacto",(P89-(+P89*W89)),IF(T89="Probabilidad",P89,"")),"")</f>
        <v/>
      </c>
      <c r="AF89" s="135" t="str">
        <f t="shared" ref="AF89:AF90" si="132">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36" t="s">
        <v>122</v>
      </c>
      <c r="AH89" s="97" t="s">
        <v>301</v>
      </c>
      <c r="AI89" s="119" t="s">
        <v>260</v>
      </c>
      <c r="AJ89" s="126" t="s">
        <v>199</v>
      </c>
      <c r="AK89" s="126" t="s">
        <v>199</v>
      </c>
      <c r="AL89" s="124" t="s">
        <v>400</v>
      </c>
      <c r="AM89" s="125"/>
      <c r="AN89" s="216" t="s">
        <v>643</v>
      </c>
      <c r="AO89" s="216" t="s">
        <v>644</v>
      </c>
      <c r="AP89" s="215">
        <v>0.33</v>
      </c>
      <c r="AQ89" s="216" t="s">
        <v>827</v>
      </c>
      <c r="AR89" s="216" t="s">
        <v>645</v>
      </c>
      <c r="AS89" s="215">
        <v>0.33</v>
      </c>
      <c r="AT89" s="137"/>
      <c r="AU89" s="137" t="s">
        <v>616</v>
      </c>
      <c r="AV89" s="137" t="s">
        <v>622</v>
      </c>
      <c r="AW89" s="137" t="s">
        <v>622</v>
      </c>
      <c r="AX89" s="137" t="s">
        <v>622</v>
      </c>
      <c r="AY89" s="137"/>
    </row>
    <row r="90" spans="1:51" s="149" customFormat="1" ht="151.5" hidden="1" customHeight="1" x14ac:dyDescent="0.25">
      <c r="A90" s="374"/>
      <c r="B90" s="344"/>
      <c r="C90" s="372"/>
      <c r="D90" s="367"/>
      <c r="E90" s="353"/>
      <c r="F90" s="353"/>
      <c r="G90" s="353"/>
      <c r="H90" s="371"/>
      <c r="I90" s="353"/>
      <c r="J90" s="369"/>
      <c r="K90" s="362"/>
      <c r="L90" s="359"/>
      <c r="M90" s="364"/>
      <c r="N90" s="138"/>
      <c r="O90" s="362"/>
      <c r="P90" s="359"/>
      <c r="Q90" s="356"/>
      <c r="R90" s="128">
        <v>3</v>
      </c>
      <c r="S90" s="97"/>
      <c r="T90" s="129" t="str">
        <f t="shared" si="126"/>
        <v/>
      </c>
      <c r="U90" s="130"/>
      <c r="V90" s="130"/>
      <c r="W90" s="131"/>
      <c r="X90" s="130"/>
      <c r="Y90" s="130"/>
      <c r="Z90" s="130"/>
      <c r="AA90" s="132" t="str">
        <f>IFERROR(IF(T90="Probabilidad",(AA89-(+AA89*W90)),IF(T90="Impacto",L90,"")),"")</f>
        <v/>
      </c>
      <c r="AB90" s="133" t="str">
        <f t="shared" si="128"/>
        <v/>
      </c>
      <c r="AC90" s="134" t="str">
        <f t="shared" si="129"/>
        <v/>
      </c>
      <c r="AD90" s="133" t="str">
        <f t="shared" si="130"/>
        <v/>
      </c>
      <c r="AE90" s="134" t="str">
        <f t="shared" si="131"/>
        <v/>
      </c>
      <c r="AF90" s="135" t="str">
        <f t="shared" si="132"/>
        <v/>
      </c>
      <c r="AG90" s="136"/>
      <c r="AH90" s="97"/>
      <c r="AI90" s="125"/>
      <c r="AJ90" s="137"/>
      <c r="AK90" s="137"/>
      <c r="AL90" s="97"/>
      <c r="AM90" s="125"/>
      <c r="AN90" s="216"/>
      <c r="AO90" s="216"/>
      <c r="AP90" s="215"/>
      <c r="AQ90" s="216"/>
      <c r="AR90" s="216"/>
      <c r="AS90" s="215"/>
      <c r="AT90" s="137"/>
      <c r="AU90" s="137" t="s">
        <v>616</v>
      </c>
      <c r="AV90" s="137" t="s">
        <v>622</v>
      </c>
      <c r="AW90" s="137" t="s">
        <v>622</v>
      </c>
      <c r="AX90" s="137" t="s">
        <v>622</v>
      </c>
      <c r="AY90" s="137"/>
    </row>
    <row r="91" spans="1:51" s="149" customFormat="1" ht="151.5" customHeight="1" x14ac:dyDescent="0.25">
      <c r="A91" s="374">
        <v>30</v>
      </c>
      <c r="B91" s="342" t="s">
        <v>302</v>
      </c>
      <c r="C91" s="366" t="s">
        <v>358</v>
      </c>
      <c r="D91" s="366" t="s">
        <v>401</v>
      </c>
      <c r="E91" s="365" t="s">
        <v>120</v>
      </c>
      <c r="F91" s="352" t="s">
        <v>462</v>
      </c>
      <c r="G91" s="352" t="s">
        <v>461</v>
      </c>
      <c r="H91" s="370" t="s">
        <v>303</v>
      </c>
      <c r="I91" s="365" t="s">
        <v>328</v>
      </c>
      <c r="J91" s="368">
        <v>850</v>
      </c>
      <c r="K91" s="360" t="str">
        <f>IF(J91&lt;=0,"",IF(J91&lt;=2,"Muy Baja",IF(J91&lt;=24,"Baja",IF(J91&lt;=500,"Media",IF(J91&lt;=5000,"Alta","Muy Alta")))))</f>
        <v>Alta</v>
      </c>
      <c r="L91" s="357">
        <f>IF(K91="","",IF(K91="Muy Baja",0.2,IF(K91="Baja",0.4,IF(K91="Media",0.6,IF(K91="Alta",0.8,IF(K91="Muy Alta",1,))))))</f>
        <v>0.8</v>
      </c>
      <c r="M91" s="363" t="s">
        <v>491</v>
      </c>
      <c r="N91" s="127" t="str">
        <f ca="1">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360" t="str">
        <f ca="1">IF(OR(N91='Tabla Impacto'!$C$11,N91='Tabla Impacto'!$D$11),"Leve",IF(OR(N91='Tabla Impacto'!$C$12,N91='Tabla Impacto'!$D$12),"Menor",IF(OR(N91='Tabla Impacto'!$C$13,N91='Tabla Impacto'!$D$13),"Moderado",IF(OR(N91='Tabla Impacto'!$C$14,N91='Tabla Impacto'!$D$14),"Mayor",IF(OR(N91='Tabla Impacto'!$C$15,N91='Tabla Impacto'!$D$15),"Catastrófico","")))))</f>
        <v>Mayor</v>
      </c>
      <c r="P91" s="357">
        <f ca="1">IF(O91="","",IF(O91="Leve",0.2,IF(O91="Menor",0.4,IF(O91="Moderado",0.6,IF(O91="Mayor",0.8,IF(O91="Catastrófico",1,))))))</f>
        <v>0.8</v>
      </c>
      <c r="Q91" s="354" t="str">
        <f ca="1">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28">
        <v>1</v>
      </c>
      <c r="S91" s="97" t="s">
        <v>304</v>
      </c>
      <c r="T91" s="129" t="str">
        <f t="shared" ref="T91:T93" si="133">IF(OR(U91="Preventivo",U91="Detectivo"),"Probabilidad",IF(U91="Correctivo","Impacto",""))</f>
        <v>Probabilidad</v>
      </c>
      <c r="U91" s="130" t="s">
        <v>14</v>
      </c>
      <c r="V91" s="130" t="s">
        <v>9</v>
      </c>
      <c r="W91" s="131" t="str">
        <f t="shared" ref="W91:W92" si="134">IF(AND(U91="Preventivo",V91="Automático"),"50%",IF(AND(U91="Preventivo",V91="Manual"),"40%",IF(AND(U91="Detectivo",V91="Automático"),"40%",IF(AND(U91="Detectivo",V91="Manual"),"30%",IF(AND(U91="Correctivo",V91="Automático"),"35%",IF(AND(U91="Correctivo",V91="Manual"),"25%",""))))))</f>
        <v>40%</v>
      </c>
      <c r="X91" s="130" t="s">
        <v>20</v>
      </c>
      <c r="Y91" s="130" t="s">
        <v>22</v>
      </c>
      <c r="Z91" s="130" t="s">
        <v>110</v>
      </c>
      <c r="AA91" s="132">
        <f t="shared" ref="AA91" si="135">IFERROR(IF(T91="Probabilidad",(L91-(+L91*W91)),IF(T91="Impacto",L91,"")),"")</f>
        <v>0.48</v>
      </c>
      <c r="AB91" s="133" t="str">
        <f t="shared" ref="AB91:AB93" si="136">IFERROR(IF(AA91="","",IF(AA91&lt;=0.2,"Muy Baja",IF(AA91&lt;=0.4,"Baja",IF(AA91&lt;=0.6,"Media",IF(AA91&lt;=0.8,"Alta","Muy Alta"))))),"")</f>
        <v>Media</v>
      </c>
      <c r="AC91" s="134">
        <f t="shared" ref="AC91:AC93" si="137">+AA91</f>
        <v>0.48</v>
      </c>
      <c r="AD91" s="133" t="str">
        <f t="shared" ref="AD91:AD93" ca="1" si="138">IFERROR(IF(AE91="","",IF(AE91&lt;=0.2,"Leve",IF(AE91&lt;=0.4,"Menor",IF(AE91&lt;=0.6,"Moderado",IF(AE91&lt;=0.8,"Mayor","Catastrófico"))))),"")</f>
        <v>Mayor</v>
      </c>
      <c r="AE91" s="134">
        <f t="shared" ref="AE91:AE93" ca="1" si="139">IFERROR(IF(T91="Impacto",(P91-(+P91*W91)),IF(T91="Probabilidad",P91,"")),"")</f>
        <v>0.8</v>
      </c>
      <c r="AF91" s="135" t="str">
        <f t="shared" ref="AF91:AF93" ca="1" si="140">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Alto</v>
      </c>
      <c r="AG91" s="136" t="s">
        <v>122</v>
      </c>
      <c r="AH91" s="148" t="s">
        <v>306</v>
      </c>
      <c r="AI91" s="125" t="s">
        <v>198</v>
      </c>
      <c r="AJ91" s="126">
        <v>44562</v>
      </c>
      <c r="AK91" s="126" t="s">
        <v>373</v>
      </c>
      <c r="AL91" s="97" t="s">
        <v>307</v>
      </c>
      <c r="AM91" s="125"/>
      <c r="AN91" s="216" t="s">
        <v>828</v>
      </c>
      <c r="AO91" s="216" t="s">
        <v>765</v>
      </c>
      <c r="AP91" s="215">
        <v>0.33</v>
      </c>
      <c r="AQ91" s="216" t="s">
        <v>829</v>
      </c>
      <c r="AR91" s="216" t="s">
        <v>766</v>
      </c>
      <c r="AS91" s="215">
        <v>0.33</v>
      </c>
      <c r="AT91" s="137"/>
      <c r="AU91" s="137" t="s">
        <v>616</v>
      </c>
      <c r="AV91" s="137" t="s">
        <v>622</v>
      </c>
      <c r="AW91" s="137" t="s">
        <v>622</v>
      </c>
      <c r="AX91" s="137" t="s">
        <v>622</v>
      </c>
      <c r="AY91" s="137" t="s">
        <v>748</v>
      </c>
    </row>
    <row r="92" spans="1:51" s="149" customFormat="1" ht="151.5" customHeight="1" x14ac:dyDescent="0.25">
      <c r="A92" s="374"/>
      <c r="B92" s="343"/>
      <c r="C92" s="367"/>
      <c r="D92" s="367"/>
      <c r="E92" s="353"/>
      <c r="F92" s="353"/>
      <c r="G92" s="353"/>
      <c r="H92" s="371"/>
      <c r="I92" s="353"/>
      <c r="J92" s="369"/>
      <c r="K92" s="361"/>
      <c r="L92" s="358"/>
      <c r="M92" s="364"/>
      <c r="N92" s="138"/>
      <c r="O92" s="361"/>
      <c r="P92" s="358"/>
      <c r="Q92" s="355"/>
      <c r="R92" s="128">
        <v>2</v>
      </c>
      <c r="S92" s="97" t="s">
        <v>305</v>
      </c>
      <c r="T92" s="129" t="str">
        <f t="shared" si="133"/>
        <v>Probabilidad</v>
      </c>
      <c r="U92" s="130" t="s">
        <v>14</v>
      </c>
      <c r="V92" s="130" t="s">
        <v>9</v>
      </c>
      <c r="W92" s="131" t="str">
        <f t="shared" si="134"/>
        <v>40%</v>
      </c>
      <c r="X92" s="130" t="s">
        <v>20</v>
      </c>
      <c r="Y92" s="130" t="s">
        <v>22</v>
      </c>
      <c r="Z92" s="130" t="s">
        <v>110</v>
      </c>
      <c r="AA92" s="132">
        <f>IFERROR(IF(T92="Probabilidad",(AA91-(+AA91*W92)),IF(T92="Impacto",L92,"")),"")</f>
        <v>0.28799999999999998</v>
      </c>
      <c r="AB92" s="133" t="str">
        <f t="shared" si="136"/>
        <v>Baja</v>
      </c>
      <c r="AC92" s="134">
        <f t="shared" si="137"/>
        <v>0.28799999999999998</v>
      </c>
      <c r="AD92" s="133" t="str">
        <f t="shared" si="138"/>
        <v>Mayor</v>
      </c>
      <c r="AE92" s="134">
        <v>0.8</v>
      </c>
      <c r="AF92" s="135" t="str">
        <f t="shared" si="140"/>
        <v>Alto</v>
      </c>
      <c r="AG92" s="136" t="s">
        <v>122</v>
      </c>
      <c r="AH92" s="124" t="s">
        <v>308</v>
      </c>
      <c r="AI92" s="119" t="s">
        <v>198</v>
      </c>
      <c r="AJ92" s="126">
        <v>44562</v>
      </c>
      <c r="AK92" s="126" t="s">
        <v>373</v>
      </c>
      <c r="AL92" s="124" t="s">
        <v>307</v>
      </c>
      <c r="AM92" s="125"/>
      <c r="AN92" s="216" t="s">
        <v>677</v>
      </c>
      <c r="AO92" s="216" t="s">
        <v>830</v>
      </c>
      <c r="AP92" s="215">
        <v>0.33</v>
      </c>
      <c r="AQ92" s="216" t="s">
        <v>678</v>
      </c>
      <c r="AR92" s="216" t="s">
        <v>831</v>
      </c>
      <c r="AS92" s="215">
        <v>0.33</v>
      </c>
      <c r="AT92" s="137"/>
      <c r="AU92" s="137" t="s">
        <v>616</v>
      </c>
      <c r="AV92" s="137" t="s">
        <v>622</v>
      </c>
      <c r="AW92" s="137" t="s">
        <v>622</v>
      </c>
      <c r="AX92" s="137" t="s">
        <v>622</v>
      </c>
      <c r="AY92" s="137" t="s">
        <v>748</v>
      </c>
    </row>
    <row r="93" spans="1:51" s="149" customFormat="1" ht="151.5" hidden="1" customHeight="1" x14ac:dyDescent="0.25">
      <c r="A93" s="376"/>
      <c r="B93" s="344"/>
      <c r="C93" s="367"/>
      <c r="D93" s="367"/>
      <c r="E93" s="353"/>
      <c r="F93" s="353"/>
      <c r="G93" s="353"/>
      <c r="H93" s="371"/>
      <c r="I93" s="353"/>
      <c r="J93" s="369"/>
      <c r="K93" s="362"/>
      <c r="L93" s="359"/>
      <c r="M93" s="364"/>
      <c r="N93" s="138"/>
      <c r="O93" s="362"/>
      <c r="P93" s="359"/>
      <c r="Q93" s="356"/>
      <c r="R93" s="128">
        <v>3</v>
      </c>
      <c r="S93" s="97"/>
      <c r="T93" s="129" t="str">
        <f t="shared" si="133"/>
        <v/>
      </c>
      <c r="U93" s="130"/>
      <c r="V93" s="130"/>
      <c r="W93" s="131"/>
      <c r="X93" s="130"/>
      <c r="Y93" s="130"/>
      <c r="Z93" s="130"/>
      <c r="AA93" s="132" t="str">
        <f>IFERROR(IF(T93="Probabilidad",(AA92-(+AA92*W93)),IF(T93="Impacto",L93,"")),"")</f>
        <v/>
      </c>
      <c r="AB93" s="133" t="str">
        <f t="shared" si="136"/>
        <v/>
      </c>
      <c r="AC93" s="134" t="str">
        <f t="shared" si="137"/>
        <v/>
      </c>
      <c r="AD93" s="133" t="str">
        <f t="shared" si="138"/>
        <v/>
      </c>
      <c r="AE93" s="134" t="str">
        <f t="shared" si="139"/>
        <v/>
      </c>
      <c r="AF93" s="135" t="str">
        <f t="shared" si="140"/>
        <v/>
      </c>
      <c r="AG93" s="136"/>
      <c r="AH93" s="97"/>
      <c r="AI93" s="125"/>
      <c r="AJ93" s="137"/>
      <c r="AK93" s="137"/>
      <c r="AL93" s="97"/>
      <c r="AM93" s="125"/>
      <c r="AN93" s="216"/>
      <c r="AO93" s="216"/>
      <c r="AP93" s="215"/>
      <c r="AQ93" s="216"/>
      <c r="AR93" s="216"/>
      <c r="AS93" s="215"/>
      <c r="AT93" s="137"/>
      <c r="AU93" s="137" t="s">
        <v>616</v>
      </c>
      <c r="AV93" s="137" t="s">
        <v>622</v>
      </c>
      <c r="AW93" s="137" t="s">
        <v>622</v>
      </c>
      <c r="AX93" s="137" t="s">
        <v>622</v>
      </c>
      <c r="AY93" s="137"/>
    </row>
    <row r="94" spans="1:51" s="149" customFormat="1" ht="151.5" customHeight="1" x14ac:dyDescent="0.25">
      <c r="A94" s="337">
        <v>31</v>
      </c>
      <c r="B94" s="308" t="s">
        <v>309</v>
      </c>
      <c r="C94" s="338" t="s">
        <v>359</v>
      </c>
      <c r="D94" s="338" t="s">
        <v>402</v>
      </c>
      <c r="E94" s="324" t="s">
        <v>118</v>
      </c>
      <c r="F94" s="340" t="s">
        <v>585</v>
      </c>
      <c r="G94" s="340" t="s">
        <v>470</v>
      </c>
      <c r="H94" s="327" t="s">
        <v>586</v>
      </c>
      <c r="I94" s="324" t="s">
        <v>328</v>
      </c>
      <c r="J94" s="321">
        <v>12</v>
      </c>
      <c r="K94" s="312" t="str">
        <f>IF(J94&lt;=0,"",IF(J94&lt;=2,"Muy Baja",IF(J94&lt;=24,"Baja",IF(J94&lt;=500,"Media",IF(J94&lt;=5000,"Alta","Muy Alta")))))</f>
        <v>Baja</v>
      </c>
      <c r="L94" s="315">
        <f>IF(K94="","",IF(K94="Muy Baja",0.2,IF(K94="Baja",0.4,IF(K94="Media",0.6,IF(K94="Alta",0.8,IF(K94="Muy Alta",1,))))))</f>
        <v>0.4</v>
      </c>
      <c r="M94" s="333" t="s">
        <v>484</v>
      </c>
      <c r="N94" s="163" t="str">
        <f ca="1">IF(NOT(ISERROR(MATCH(M94,'Tabla Impacto'!$B$221:$B$223,0))),'Tabla Impacto'!$F$223&amp;"Por favor no seleccionar los criterios de impacto(Afectación Económica o presupuestal y Pérdida Reputacional)",M94)</f>
        <v xml:space="preserve"> El riesgo afecta la imagen de la entidad con algunos usuarios de relevancia frente al logro de los objetivos</v>
      </c>
      <c r="O94" s="312" t="str">
        <f ca="1">IF(OR(N94='Tabla Impacto'!$C$11,N94='Tabla Impacto'!$D$11),"Leve",IF(OR(N94='Tabla Impacto'!$C$12,N94='Tabla Impacto'!$D$12),"Menor",IF(OR(N94='Tabla Impacto'!$C$13,N94='Tabla Impacto'!$D$13),"Moderado",IF(OR(N94='Tabla Impacto'!$C$14,N94='Tabla Impacto'!$D$14),"Mayor",IF(OR(N94='Tabla Impacto'!$C$15,N94='Tabla Impacto'!$D$15),"Catastrófico","")))))</f>
        <v>Moderado</v>
      </c>
      <c r="P94" s="315">
        <f ca="1">IF(O94="","",IF(O94="Leve",0.2,IF(O94="Menor",0.4,IF(O94="Moderado",0.6,IF(O94="Mayor",0.8,IF(O94="Catastrófico",1,))))))</f>
        <v>0.6</v>
      </c>
      <c r="Q94" s="318" t="str">
        <f ca="1">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159">
        <v>1</v>
      </c>
      <c r="S94" s="160" t="s">
        <v>578</v>
      </c>
      <c r="T94" s="161" t="str">
        <f t="shared" si="25"/>
        <v>Probabilidad</v>
      </c>
      <c r="U94" s="164" t="s">
        <v>14</v>
      </c>
      <c r="V94" s="164" t="s">
        <v>9</v>
      </c>
      <c r="W94" s="165" t="str">
        <f t="shared" si="26"/>
        <v>40%</v>
      </c>
      <c r="X94" s="164" t="s">
        <v>19</v>
      </c>
      <c r="Y94" s="164" t="s">
        <v>22</v>
      </c>
      <c r="Z94" s="164" t="s">
        <v>110</v>
      </c>
      <c r="AA94" s="143">
        <f t="shared" si="27"/>
        <v>0.24</v>
      </c>
      <c r="AB94" s="154" t="str">
        <f t="shared" si="28"/>
        <v>Baja</v>
      </c>
      <c r="AC94" s="155">
        <f t="shared" si="29"/>
        <v>0.24</v>
      </c>
      <c r="AD94" s="154" t="str">
        <f t="shared" ca="1" si="30"/>
        <v>Moderado</v>
      </c>
      <c r="AE94" s="155">
        <f t="shared" ca="1" si="31"/>
        <v>0.6</v>
      </c>
      <c r="AF94" s="156" t="str">
        <f t="shared" ca="1" si="32"/>
        <v>Moderado</v>
      </c>
      <c r="AG94" s="157" t="s">
        <v>122</v>
      </c>
      <c r="AH94" s="176" t="s">
        <v>580</v>
      </c>
      <c r="AI94" s="150" t="s">
        <v>579</v>
      </c>
      <c r="AJ94" s="151" t="s">
        <v>286</v>
      </c>
      <c r="AK94" s="151" t="s">
        <v>287</v>
      </c>
      <c r="AL94" s="160" t="s">
        <v>587</v>
      </c>
      <c r="AM94" s="150"/>
      <c r="AN94" s="216" t="s">
        <v>646</v>
      </c>
      <c r="AO94" s="216" t="s">
        <v>647</v>
      </c>
      <c r="AP94" s="215">
        <v>0.33</v>
      </c>
      <c r="AQ94" s="216" t="s">
        <v>832</v>
      </c>
      <c r="AR94" s="216" t="s">
        <v>833</v>
      </c>
      <c r="AS94" s="215">
        <v>0.33</v>
      </c>
      <c r="AT94" s="137"/>
      <c r="AU94" s="137" t="s">
        <v>616</v>
      </c>
      <c r="AV94" s="137" t="s">
        <v>622</v>
      </c>
      <c r="AW94" s="137" t="s">
        <v>622</v>
      </c>
      <c r="AX94" s="137" t="s">
        <v>622</v>
      </c>
      <c r="AY94" s="137"/>
    </row>
    <row r="95" spans="1:51" s="149" customFormat="1" ht="151.5" hidden="1" customHeight="1" x14ac:dyDescent="0.25">
      <c r="A95" s="311"/>
      <c r="B95" s="309"/>
      <c r="C95" s="339"/>
      <c r="D95" s="339"/>
      <c r="E95" s="325"/>
      <c r="F95" s="348"/>
      <c r="G95" s="348"/>
      <c r="H95" s="328"/>
      <c r="I95" s="325"/>
      <c r="J95" s="322"/>
      <c r="K95" s="313"/>
      <c r="L95" s="316"/>
      <c r="M95" s="334"/>
      <c r="N95" s="169"/>
      <c r="O95" s="313"/>
      <c r="P95" s="316"/>
      <c r="Q95" s="319"/>
      <c r="R95" s="159">
        <v>2</v>
      </c>
      <c r="S95" s="160"/>
      <c r="T95" s="161"/>
      <c r="U95" s="164"/>
      <c r="V95" s="164"/>
      <c r="W95" s="165"/>
      <c r="X95" s="164"/>
      <c r="Y95" s="164"/>
      <c r="Z95" s="164"/>
      <c r="AA95" s="143"/>
      <c r="AB95" s="154"/>
      <c r="AC95" s="155"/>
      <c r="AD95" s="154"/>
      <c r="AE95" s="155"/>
      <c r="AF95" s="156"/>
      <c r="AG95" s="157"/>
      <c r="AH95" s="176"/>
      <c r="AI95" s="177"/>
      <c r="AJ95" s="151"/>
      <c r="AK95" s="151"/>
      <c r="AL95" s="160"/>
      <c r="AM95" s="150"/>
      <c r="AN95" s="216"/>
      <c r="AO95" s="216"/>
      <c r="AP95" s="215"/>
      <c r="AQ95" s="216"/>
      <c r="AR95" s="216"/>
      <c r="AS95" s="215"/>
      <c r="AT95" s="137"/>
      <c r="AU95" s="137"/>
      <c r="AV95" s="137"/>
      <c r="AW95" s="137"/>
      <c r="AX95" s="137"/>
      <c r="AY95" s="137"/>
    </row>
    <row r="96" spans="1:51" s="149" customFormat="1" ht="151.5" hidden="1" customHeight="1" x14ac:dyDescent="0.25">
      <c r="A96" s="311"/>
      <c r="B96" s="309"/>
      <c r="C96" s="346"/>
      <c r="D96" s="346"/>
      <c r="E96" s="325"/>
      <c r="F96" s="325"/>
      <c r="G96" s="325"/>
      <c r="H96" s="328"/>
      <c r="I96" s="325"/>
      <c r="J96" s="322"/>
      <c r="K96" s="313"/>
      <c r="L96" s="316"/>
      <c r="M96" s="334"/>
      <c r="N96" s="169"/>
      <c r="O96" s="313"/>
      <c r="P96" s="316"/>
      <c r="Q96" s="319"/>
      <c r="R96" s="213">
        <v>3</v>
      </c>
      <c r="S96" s="160"/>
      <c r="T96" s="161"/>
      <c r="U96" s="164"/>
      <c r="V96" s="164"/>
      <c r="W96" s="165"/>
      <c r="X96" s="164"/>
      <c r="Y96" s="164"/>
      <c r="Z96" s="164"/>
      <c r="AA96" s="143"/>
      <c r="AB96" s="154"/>
      <c r="AC96" s="155"/>
      <c r="AD96" s="154"/>
      <c r="AE96" s="155"/>
      <c r="AF96" s="156"/>
      <c r="AG96" s="157"/>
      <c r="AH96" s="176"/>
      <c r="AI96" s="150"/>
      <c r="AJ96" s="151"/>
      <c r="AK96" s="151"/>
      <c r="AL96" s="160"/>
      <c r="AM96" s="150"/>
      <c r="AN96" s="216"/>
      <c r="AO96" s="216"/>
      <c r="AP96" s="215"/>
      <c r="AQ96" s="216"/>
      <c r="AR96" s="216"/>
      <c r="AS96" s="215"/>
      <c r="AT96" s="137"/>
      <c r="AU96" s="137"/>
      <c r="AV96" s="137"/>
      <c r="AW96" s="137"/>
      <c r="AX96" s="137"/>
      <c r="AY96" s="137"/>
    </row>
    <row r="97" spans="1:51" s="149" customFormat="1" ht="151.5" customHeight="1" x14ac:dyDescent="0.25">
      <c r="A97" s="311">
        <v>32</v>
      </c>
      <c r="B97" s="308" t="s">
        <v>309</v>
      </c>
      <c r="C97" s="308" t="s">
        <v>353</v>
      </c>
      <c r="D97" s="308" t="s">
        <v>402</v>
      </c>
      <c r="E97" s="324" t="s">
        <v>118</v>
      </c>
      <c r="F97" s="324" t="s">
        <v>518</v>
      </c>
      <c r="G97" s="324" t="s">
        <v>519</v>
      </c>
      <c r="H97" s="327" t="s">
        <v>520</v>
      </c>
      <c r="I97" s="327" t="s">
        <v>328</v>
      </c>
      <c r="J97" s="330">
        <v>1096</v>
      </c>
      <c r="K97" s="312" t="str">
        <f>IF(J97&lt;=0,"",IF(J97&lt;=2,"Muy Baja",IF(J97&lt;=24,"Baja",IF(J97&lt;=500,"Media",IF(J97&lt;=5000,"Alta","Muy Alta")))))</f>
        <v>Alta</v>
      </c>
      <c r="L97" s="315">
        <f>IF(K97="","",IF(K97="Muy Baja",0.2,IF(K97="Baja",0.4,IF(K97="Media",0.6,IF(K97="Alta",0.8,IF(K97="Muy Alta",1,))))))</f>
        <v>0.8</v>
      </c>
      <c r="M97" s="349" t="s">
        <v>484</v>
      </c>
      <c r="N97" s="315" t="str">
        <f>IF(NOT(ISERROR(MATCH(M97,'[1]Tabla Impacto'!$B$221:$B$223,0))),'[1]Tabla Impacto'!$F$223&amp;"Por favor no seleccionar los criterios de impacto(Afectación Económica o presupuestal y Pérdida Reputacional)",M97)</f>
        <v xml:space="preserve"> El riesgo afecta la imagen de la entidad con algunos usuarios de relevancia frente al logro de los objetivos</v>
      </c>
      <c r="O97" s="312" t="str">
        <f>IF(OR(N97='[1]Tabla Impacto'!$C$11,N97='[1]Tabla Impacto'!$D$11),"Leve",IF(OR(N97='[1]Tabla Impacto'!$C$12,N97='[1]Tabla Impacto'!$D$12),"Menor",IF(OR(N97='[1]Tabla Impacto'!$C$13,N97='[1]Tabla Impacto'!$D$13),"Moderado",IF(OR(N97='[1]Tabla Impacto'!$C$14,N97='[1]Tabla Impacto'!$D$14),"Mayor",IF(OR(N97='[1]Tabla Impacto'!$C$15,N97='[1]Tabla Impacto'!$D$15),"Catastrófico","")))))</f>
        <v>Moderado</v>
      </c>
      <c r="P97" s="315">
        <f>IF(O97="","",IF(O97="Leve",0.2,IF(O97="Menor",0.4,IF(O97="Moderado",0.6,IF(O97="Mayor",0.8,IF(O97="Catastrófico",1,))))))</f>
        <v>0.6</v>
      </c>
      <c r="Q97" s="318"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Alto</v>
      </c>
      <c r="R97" s="159">
        <v>1</v>
      </c>
      <c r="S97" s="160" t="s">
        <v>581</v>
      </c>
      <c r="T97" s="203" t="str">
        <f t="shared" ref="T97" si="141">IF(OR(U97="Preventivo",U97="Detectivo"),"Probabilidad",IF(U97="Correctivo","Impacto",""))</f>
        <v>Probabilidad</v>
      </c>
      <c r="U97" s="204" t="s">
        <v>14</v>
      </c>
      <c r="V97" s="204" t="s">
        <v>9</v>
      </c>
      <c r="W97" s="205" t="str">
        <f t="shared" ref="W97" si="142">IF(AND(U97="Preventivo",V97="Automático"),"50%",IF(AND(U97="Preventivo",V97="Manual"),"40%",IF(AND(U97="Detectivo",V97="Automático"),"40%",IF(AND(U97="Detectivo",V97="Manual"),"30%",IF(AND(U97="Correctivo",V97="Automático"),"35%",IF(AND(U97="Correctivo",V97="Manual"),"25%",""))))))</f>
        <v>40%</v>
      </c>
      <c r="X97" s="204" t="s">
        <v>20</v>
      </c>
      <c r="Y97" s="204" t="s">
        <v>22</v>
      </c>
      <c r="Z97" s="204" t="s">
        <v>110</v>
      </c>
      <c r="AA97" s="206">
        <f t="shared" ref="AA97" si="143">IFERROR(IF(T97="Probabilidad",(L97-(+L97*W97)),IF(T97="Impacto",L97,"")),"")</f>
        <v>0.48</v>
      </c>
      <c r="AB97" s="207" t="str">
        <f t="shared" ref="AB97" si="144">IFERROR(IF(AA97="","",IF(AA97&lt;=0.2,"Muy Baja",IF(AA97&lt;=0.4,"Baja",IF(AA97&lt;=0.6,"Media",IF(AA97&lt;=0.8,"Alta","Muy Alta"))))),"")</f>
        <v>Media</v>
      </c>
      <c r="AC97" s="208">
        <f t="shared" ref="AC97" si="145">+AA97</f>
        <v>0.48</v>
      </c>
      <c r="AD97" s="207" t="str">
        <f t="shared" ref="AD97" si="146">IFERROR(IF(AE97="","",IF(AE97&lt;=0.2,"Leve",IF(AE97&lt;=0.4,"Menor",IF(AE97&lt;=0.6,"Moderado",IF(AE97&lt;=0.8,"Mayor","Catastrófico"))))),"")</f>
        <v>Moderado</v>
      </c>
      <c r="AE97" s="208">
        <f t="shared" ref="AE97" si="147">IFERROR(IF(T97="Impacto",(P97-(+P97*W97)),IF(T97="Probabilidad",P97,"")),"")</f>
        <v>0.6</v>
      </c>
      <c r="AF97" s="209" t="str">
        <f t="shared" ref="AF97" si="148">IFERROR(IF(OR(AND(AB97="Muy Baja",AD97="Leve"),AND(AB97="Muy Baja",AD97="Menor"),AND(AB97="Baja",AD97="Leve")),"Bajo",IF(OR(AND(AB97="Muy baja",AD97="Moderado"),AND(AB97="Baja",AD97="Menor"),AND(AB97="Baja",AD97="Moderado"),AND(AB97="Media",AD97="Leve"),AND(AB97="Media",AD97="Menor"),AND(AB97="Media",AD97="Moderado"),AND(AB97="Alta",AD97="Leve"),AND(AB97="Alta",AD97="Menor")),"Moderado",IF(OR(AND(AB97="Muy Baja",AD97="Mayor"),AND(AB97="Baja",AD97="Mayor"),AND(AB97="Media",AD97="Mayor"),AND(AB97="Alta",AD97="Moderado"),AND(AB97="Alta",AD97="Mayor"),AND(AB97="Muy Alta",AD97="Leve"),AND(AB97="Muy Alta",AD97="Menor"),AND(AB97="Muy Alta",AD97="Moderado"),AND(AB97="Muy Alta",AD97="Mayor")),"Alto",IF(OR(AND(AB97="Muy Baja",AD97="Catastrófico"),AND(AB97="Baja",AD97="Catastrófico"),AND(AB97="Media",AD97="Catastrófico"),AND(AB97="Alta",AD97="Catastrófico"),AND(AB97="Muy Alta",AD97="Catastrófico")),"Extremo","")))),"")</f>
        <v>Moderado</v>
      </c>
      <c r="AG97" s="210" t="s">
        <v>122</v>
      </c>
      <c r="AH97" s="158" t="s">
        <v>582</v>
      </c>
      <c r="AI97" s="150" t="s">
        <v>579</v>
      </c>
      <c r="AJ97" s="151" t="s">
        <v>286</v>
      </c>
      <c r="AK97" s="151" t="s">
        <v>287</v>
      </c>
      <c r="AL97" s="152" t="s">
        <v>471</v>
      </c>
      <c r="AM97" s="150"/>
      <c r="AN97" s="216" t="s">
        <v>834</v>
      </c>
      <c r="AO97" s="216" t="s">
        <v>835</v>
      </c>
      <c r="AP97" s="215">
        <v>0.33</v>
      </c>
      <c r="AQ97" s="216" t="s">
        <v>836</v>
      </c>
      <c r="AR97" s="216" t="s">
        <v>648</v>
      </c>
      <c r="AS97" s="215">
        <v>0.33</v>
      </c>
      <c r="AT97" s="137" t="s">
        <v>616</v>
      </c>
      <c r="AU97" s="137"/>
      <c r="AV97" s="137" t="s">
        <v>837</v>
      </c>
      <c r="AW97" s="137" t="s">
        <v>649</v>
      </c>
      <c r="AX97" s="137" t="s">
        <v>650</v>
      </c>
      <c r="AY97" s="137" t="s">
        <v>865</v>
      </c>
    </row>
    <row r="98" spans="1:51" s="149" customFormat="1" ht="151.5" hidden="1" customHeight="1" x14ac:dyDescent="0.25">
      <c r="A98" s="311"/>
      <c r="B98" s="309"/>
      <c r="C98" s="309"/>
      <c r="D98" s="309"/>
      <c r="E98" s="325"/>
      <c r="F98" s="325"/>
      <c r="G98" s="325"/>
      <c r="H98" s="328"/>
      <c r="I98" s="328"/>
      <c r="J98" s="331"/>
      <c r="K98" s="313"/>
      <c r="L98" s="316"/>
      <c r="M98" s="350"/>
      <c r="N98" s="316"/>
      <c r="O98" s="313"/>
      <c r="P98" s="316"/>
      <c r="Q98" s="319"/>
      <c r="R98" s="159">
        <v>2</v>
      </c>
      <c r="S98" s="160"/>
      <c r="T98" s="161"/>
      <c r="U98" s="153"/>
      <c r="V98" s="153"/>
      <c r="W98" s="162"/>
      <c r="X98" s="153"/>
      <c r="Y98" s="153"/>
      <c r="Z98" s="153"/>
      <c r="AA98" s="143"/>
      <c r="AB98" s="154"/>
      <c r="AC98" s="155"/>
      <c r="AD98" s="154"/>
      <c r="AE98" s="155"/>
      <c r="AF98" s="156"/>
      <c r="AG98" s="157"/>
      <c r="AH98" s="158"/>
      <c r="AI98" s="150"/>
      <c r="AJ98" s="151"/>
      <c r="AK98" s="151"/>
      <c r="AL98" s="152"/>
      <c r="AM98" s="150"/>
      <c r="AN98" s="216"/>
      <c r="AO98" s="216"/>
      <c r="AP98" s="215"/>
      <c r="AQ98" s="216"/>
      <c r="AR98" s="216"/>
      <c r="AS98" s="215"/>
      <c r="AT98" s="137"/>
      <c r="AU98" s="137"/>
      <c r="AV98" s="137"/>
      <c r="AW98" s="137"/>
      <c r="AX98" s="137"/>
      <c r="AY98" s="137"/>
    </row>
    <row r="99" spans="1:51" s="149" customFormat="1" ht="151.5" hidden="1" customHeight="1" x14ac:dyDescent="0.25">
      <c r="A99" s="311"/>
      <c r="B99" s="310"/>
      <c r="C99" s="310"/>
      <c r="D99" s="310"/>
      <c r="E99" s="326"/>
      <c r="F99" s="326"/>
      <c r="G99" s="326"/>
      <c r="H99" s="329"/>
      <c r="I99" s="329"/>
      <c r="J99" s="332"/>
      <c r="K99" s="314"/>
      <c r="L99" s="317"/>
      <c r="M99" s="351"/>
      <c r="N99" s="317"/>
      <c r="O99" s="314"/>
      <c r="P99" s="317"/>
      <c r="Q99" s="320"/>
      <c r="R99" s="159">
        <v>3</v>
      </c>
      <c r="S99" s="160"/>
      <c r="T99" s="161"/>
      <c r="U99" s="153"/>
      <c r="V99" s="153"/>
      <c r="W99" s="162"/>
      <c r="X99" s="153"/>
      <c r="Y99" s="153"/>
      <c r="Z99" s="153"/>
      <c r="AA99" s="143"/>
      <c r="AB99" s="154"/>
      <c r="AC99" s="155"/>
      <c r="AD99" s="154"/>
      <c r="AE99" s="155"/>
      <c r="AF99" s="156"/>
      <c r="AG99" s="157"/>
      <c r="AH99" s="158"/>
      <c r="AI99" s="150"/>
      <c r="AJ99" s="151"/>
      <c r="AK99" s="151"/>
      <c r="AL99" s="152"/>
      <c r="AM99" s="150"/>
      <c r="AN99" s="216"/>
      <c r="AO99" s="216"/>
      <c r="AP99" s="215"/>
      <c r="AQ99" s="216"/>
      <c r="AR99" s="216"/>
      <c r="AS99" s="215"/>
      <c r="AT99" s="137"/>
      <c r="AU99" s="137"/>
      <c r="AV99" s="137"/>
      <c r="AW99" s="137"/>
      <c r="AX99" s="137"/>
      <c r="AY99" s="137"/>
    </row>
    <row r="100" spans="1:51" s="149" customFormat="1" ht="167.25" customHeight="1" x14ac:dyDescent="0.25">
      <c r="A100" s="311">
        <v>33</v>
      </c>
      <c r="B100" s="308" t="s">
        <v>310</v>
      </c>
      <c r="C100" s="338" t="s">
        <v>360</v>
      </c>
      <c r="D100" s="338" t="s">
        <v>403</v>
      </c>
      <c r="E100" s="324" t="s">
        <v>118</v>
      </c>
      <c r="F100" s="324" t="s">
        <v>311</v>
      </c>
      <c r="G100" s="324" t="s">
        <v>464</v>
      </c>
      <c r="H100" s="327" t="s">
        <v>463</v>
      </c>
      <c r="I100" s="324" t="s">
        <v>117</v>
      </c>
      <c r="J100" s="321">
        <v>365</v>
      </c>
      <c r="K100" s="312" t="str">
        <f>IF(J100&lt;=0,"",IF(J100&lt;=2,"Muy Baja",IF(J100&lt;=24,"Baja",IF(J100&lt;=500,"Media",IF(J100&lt;=5000,"Alta","Muy Alta")))))</f>
        <v>Media</v>
      </c>
      <c r="L100" s="315">
        <f>IF(K100="","",IF(K100="Muy Baja",0.2,IF(K100="Baja",0.4,IF(K100="Media",0.6,IF(K100="Alta",0.8,IF(K100="Muy Alta",1,))))))</f>
        <v>0.6</v>
      </c>
      <c r="M100" s="333" t="s">
        <v>484</v>
      </c>
      <c r="N100" s="163" t="str">
        <f ca="1">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312" t="str">
        <f ca="1">IF(OR(N100='Tabla Impacto'!$C$11,N100='Tabla Impacto'!$D$11),"Leve",IF(OR(N100='Tabla Impacto'!$C$12,N100='Tabla Impacto'!$D$12),"Menor",IF(OR(N100='Tabla Impacto'!$C$13,N100='Tabla Impacto'!$D$13),"Moderado",IF(OR(N100='Tabla Impacto'!$C$14,N100='Tabla Impacto'!$D$14),"Mayor",IF(OR(N100='Tabla Impacto'!$C$15,N100='Tabla Impacto'!$D$15),"Catastrófico","")))))</f>
        <v>Moderado</v>
      </c>
      <c r="P100" s="315">
        <f ca="1">IF(O100="","",IF(O100="Leve",0.2,IF(O100="Menor",0.4,IF(O100="Moderado",0.6,IF(O100="Mayor",0.8,IF(O100="Catastrófico",1,))))))</f>
        <v>0.6</v>
      </c>
      <c r="Q100" s="318" t="str">
        <f ca="1">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159">
        <v>1</v>
      </c>
      <c r="S100" s="160" t="s">
        <v>344</v>
      </c>
      <c r="T100" s="161" t="str">
        <f t="shared" ref="T100:T102" si="149">IF(OR(U100="Preventivo",U100="Detectivo"),"Probabilidad",IF(U100="Correctivo","Impacto",""))</f>
        <v>Probabilidad</v>
      </c>
      <c r="U100" s="164" t="s">
        <v>15</v>
      </c>
      <c r="V100" s="164" t="s">
        <v>9</v>
      </c>
      <c r="W100" s="165" t="str">
        <f t="shared" ref="W100:W101" si="150">IF(AND(U100="Preventivo",V100="Automático"),"50%",IF(AND(U100="Preventivo",V100="Manual"),"40%",IF(AND(U100="Detectivo",V100="Automático"),"40%",IF(AND(U100="Detectivo",V100="Manual"),"30%",IF(AND(U100="Correctivo",V100="Automático"),"35%",IF(AND(U100="Correctivo",V100="Manual"),"25%",""))))))</f>
        <v>30%</v>
      </c>
      <c r="X100" s="164" t="s">
        <v>19</v>
      </c>
      <c r="Y100" s="164" t="s">
        <v>22</v>
      </c>
      <c r="Z100" s="164" t="s">
        <v>110</v>
      </c>
      <c r="AA100" s="143">
        <f t="shared" ref="AA100" si="151">IFERROR(IF(T100="Probabilidad",(L100-(+L100*W100)),IF(T100="Impacto",L100,"")),"")</f>
        <v>0.42</v>
      </c>
      <c r="AB100" s="154" t="str">
        <f t="shared" ref="AB100:AB102" si="152">IFERROR(IF(AA100="","",IF(AA100&lt;=0.2,"Muy Baja",IF(AA100&lt;=0.4,"Baja",IF(AA100&lt;=0.6,"Media",IF(AA100&lt;=0.8,"Alta","Muy Alta"))))),"")</f>
        <v>Media</v>
      </c>
      <c r="AC100" s="155">
        <f t="shared" ref="AC100:AC102" si="153">+AA100</f>
        <v>0.42</v>
      </c>
      <c r="AD100" s="154" t="str">
        <f t="shared" ref="AD100:AD102" ca="1" si="154">IFERROR(IF(AE100="","",IF(AE100&lt;=0.2,"Leve",IF(AE100&lt;=0.4,"Menor",IF(AE100&lt;=0.6,"Moderado",IF(AE100&lt;=0.8,"Mayor","Catastrófico"))))),"")</f>
        <v>Moderado</v>
      </c>
      <c r="AE100" s="155">
        <f t="shared" ref="AE100:AE102" ca="1" si="155">IFERROR(IF(T100="Impacto",(P100-(+P100*W100)),IF(T100="Probabilidad",P100,"")),"")</f>
        <v>0.6</v>
      </c>
      <c r="AF100" s="156" t="str">
        <f t="shared" ref="AF100:AF102" ca="1" si="156">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157" t="s">
        <v>122</v>
      </c>
      <c r="AH100" s="158" t="s">
        <v>404</v>
      </c>
      <c r="AI100" s="150" t="s">
        <v>203</v>
      </c>
      <c r="AJ100" s="151" t="s">
        <v>199</v>
      </c>
      <c r="AK100" s="151" t="s">
        <v>199</v>
      </c>
      <c r="AL100" s="152" t="s">
        <v>406</v>
      </c>
      <c r="AM100" s="150"/>
      <c r="AN100" s="216" t="s">
        <v>838</v>
      </c>
      <c r="AO100" s="216" t="s">
        <v>839</v>
      </c>
      <c r="AP100" s="215">
        <v>0.33</v>
      </c>
      <c r="AQ100" s="216" t="s">
        <v>840</v>
      </c>
      <c r="AR100" s="216" t="s">
        <v>841</v>
      </c>
      <c r="AS100" s="215">
        <v>0.33</v>
      </c>
      <c r="AT100" s="137"/>
      <c r="AU100" s="137" t="s">
        <v>616</v>
      </c>
      <c r="AV100" s="137" t="s">
        <v>622</v>
      </c>
      <c r="AW100" s="137" t="s">
        <v>622</v>
      </c>
      <c r="AX100" s="137" t="s">
        <v>622</v>
      </c>
      <c r="AY100" s="137"/>
    </row>
    <row r="101" spans="1:51" s="149" customFormat="1" ht="151.5" customHeight="1" x14ac:dyDescent="0.25">
      <c r="A101" s="311"/>
      <c r="B101" s="309"/>
      <c r="C101" s="346"/>
      <c r="D101" s="346"/>
      <c r="E101" s="325"/>
      <c r="F101" s="325"/>
      <c r="G101" s="325"/>
      <c r="H101" s="328"/>
      <c r="I101" s="325"/>
      <c r="J101" s="322"/>
      <c r="K101" s="313"/>
      <c r="L101" s="316"/>
      <c r="M101" s="334"/>
      <c r="N101" s="169"/>
      <c r="O101" s="313"/>
      <c r="P101" s="316"/>
      <c r="Q101" s="319"/>
      <c r="R101" s="159">
        <v>2</v>
      </c>
      <c r="S101" s="160" t="s">
        <v>350</v>
      </c>
      <c r="T101" s="161" t="str">
        <f t="shared" si="149"/>
        <v>Probabilidad</v>
      </c>
      <c r="U101" s="164" t="s">
        <v>14</v>
      </c>
      <c r="V101" s="164" t="s">
        <v>9</v>
      </c>
      <c r="W101" s="165" t="str">
        <f t="shared" si="150"/>
        <v>40%</v>
      </c>
      <c r="X101" s="164" t="s">
        <v>19</v>
      </c>
      <c r="Y101" s="164" t="s">
        <v>23</v>
      </c>
      <c r="Z101" s="164" t="s">
        <v>110</v>
      </c>
      <c r="AA101" s="143">
        <f>IFERROR(IF(T101="Probabilidad",(AA100-(+AA100*W101)),IF(T101="Impacto",L101,"")),"")</f>
        <v>0.252</v>
      </c>
      <c r="AB101" s="154" t="str">
        <f t="shared" si="152"/>
        <v>Baja</v>
      </c>
      <c r="AC101" s="155">
        <f t="shared" si="153"/>
        <v>0.252</v>
      </c>
      <c r="AD101" s="154" t="str">
        <f t="shared" si="154"/>
        <v>Moderado</v>
      </c>
      <c r="AE101" s="155">
        <v>0.6</v>
      </c>
      <c r="AF101" s="156" t="str">
        <f t="shared" si="156"/>
        <v>Moderado</v>
      </c>
      <c r="AG101" s="157" t="s">
        <v>122</v>
      </c>
      <c r="AH101" s="166" t="s">
        <v>312</v>
      </c>
      <c r="AI101" s="167" t="s">
        <v>212</v>
      </c>
      <c r="AJ101" s="168" t="s">
        <v>199</v>
      </c>
      <c r="AK101" s="168" t="s">
        <v>199</v>
      </c>
      <c r="AL101" s="166" t="s">
        <v>405</v>
      </c>
      <c r="AM101" s="150"/>
      <c r="AN101" s="216" t="s">
        <v>842</v>
      </c>
      <c r="AO101" s="216" t="s">
        <v>767</v>
      </c>
      <c r="AP101" s="215">
        <v>0</v>
      </c>
      <c r="AQ101" s="216" t="s">
        <v>843</v>
      </c>
      <c r="AR101" s="216" t="s">
        <v>768</v>
      </c>
      <c r="AS101" s="215">
        <v>0.33</v>
      </c>
      <c r="AT101" s="137"/>
      <c r="AU101" s="137" t="s">
        <v>616</v>
      </c>
      <c r="AV101" s="137" t="s">
        <v>622</v>
      </c>
      <c r="AW101" s="137" t="s">
        <v>622</v>
      </c>
      <c r="AX101" s="137" t="s">
        <v>622</v>
      </c>
      <c r="AY101" s="137" t="s">
        <v>844</v>
      </c>
    </row>
    <row r="102" spans="1:51" s="149" customFormat="1" ht="99.75" hidden="1" customHeight="1" x14ac:dyDescent="0.25">
      <c r="A102" s="311"/>
      <c r="B102" s="310"/>
      <c r="C102" s="346"/>
      <c r="D102" s="346"/>
      <c r="E102" s="325"/>
      <c r="F102" s="325"/>
      <c r="G102" s="325"/>
      <c r="H102" s="328"/>
      <c r="I102" s="325"/>
      <c r="J102" s="322"/>
      <c r="K102" s="314"/>
      <c r="L102" s="317"/>
      <c r="M102" s="334"/>
      <c r="N102" s="169"/>
      <c r="O102" s="314"/>
      <c r="P102" s="317"/>
      <c r="Q102" s="320"/>
      <c r="R102" s="159">
        <v>3</v>
      </c>
      <c r="S102" s="160"/>
      <c r="T102" s="161" t="str">
        <f t="shared" si="149"/>
        <v/>
      </c>
      <c r="U102" s="164"/>
      <c r="V102" s="164"/>
      <c r="W102" s="165"/>
      <c r="X102" s="164"/>
      <c r="Y102" s="164"/>
      <c r="Z102" s="164"/>
      <c r="AA102" s="143" t="str">
        <f>IFERROR(IF(T102="Probabilidad",(AA101-(+AA101*W102)),IF(T102="Impacto",L102,"")),"")</f>
        <v/>
      </c>
      <c r="AB102" s="154" t="str">
        <f t="shared" si="152"/>
        <v/>
      </c>
      <c r="AC102" s="155" t="str">
        <f t="shared" si="153"/>
        <v/>
      </c>
      <c r="AD102" s="154" t="str">
        <f t="shared" si="154"/>
        <v/>
      </c>
      <c r="AE102" s="155" t="str">
        <f t="shared" si="155"/>
        <v/>
      </c>
      <c r="AF102" s="156" t="str">
        <f t="shared" si="156"/>
        <v/>
      </c>
      <c r="AG102" s="157"/>
      <c r="AH102" s="160"/>
      <c r="AI102" s="150"/>
      <c r="AJ102" s="151"/>
      <c r="AK102" s="151"/>
      <c r="AL102" s="160"/>
      <c r="AM102" s="150"/>
      <c r="AN102" s="216"/>
      <c r="AO102" s="216"/>
      <c r="AP102" s="215"/>
      <c r="AQ102" s="216"/>
      <c r="AR102" s="216"/>
      <c r="AS102" s="215"/>
      <c r="AT102" s="137"/>
      <c r="AU102" s="137" t="s">
        <v>616</v>
      </c>
      <c r="AV102" s="137" t="s">
        <v>622</v>
      </c>
      <c r="AW102" s="137" t="s">
        <v>622</v>
      </c>
      <c r="AX102" s="137" t="s">
        <v>622</v>
      </c>
      <c r="AY102" s="137"/>
    </row>
    <row r="103" spans="1:51" s="149" customFormat="1" ht="151.5" customHeight="1" x14ac:dyDescent="0.25">
      <c r="A103" s="311">
        <v>34</v>
      </c>
      <c r="B103" s="308" t="s">
        <v>310</v>
      </c>
      <c r="C103" s="338" t="s">
        <v>360</v>
      </c>
      <c r="D103" s="338" t="s">
        <v>403</v>
      </c>
      <c r="E103" s="324" t="s">
        <v>118</v>
      </c>
      <c r="F103" s="324" t="s">
        <v>313</v>
      </c>
      <c r="G103" s="324" t="s">
        <v>333</v>
      </c>
      <c r="H103" s="327" t="s">
        <v>407</v>
      </c>
      <c r="I103" s="324" t="s">
        <v>328</v>
      </c>
      <c r="J103" s="321">
        <v>365</v>
      </c>
      <c r="K103" s="312" t="str">
        <f>IF(J103&lt;=0,"",IF(J103&lt;=2,"Muy Baja",IF(J103&lt;=24,"Baja",IF(J103&lt;=500,"Media",IF(J103&lt;=5000,"Alta","Muy Alta")))))</f>
        <v>Media</v>
      </c>
      <c r="L103" s="315">
        <f>IF(K103="","",IF(K103="Muy Baja",0.2,IF(K103="Baja",0.4,IF(K103="Media",0.6,IF(K103="Alta",0.8,IF(K103="Muy Alta",1,))))))</f>
        <v>0.6</v>
      </c>
      <c r="M103" s="333" t="s">
        <v>484</v>
      </c>
      <c r="N103" s="163" t="str">
        <f ca="1">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312" t="str">
        <f ca="1">IF(OR(N103='Tabla Impacto'!$C$11,N103='Tabla Impacto'!$D$11),"Leve",IF(OR(N103='Tabla Impacto'!$C$12,N103='Tabla Impacto'!$D$12),"Menor",IF(OR(N103='Tabla Impacto'!$C$13,N103='Tabla Impacto'!$D$13),"Moderado",IF(OR(N103='Tabla Impacto'!$C$14,N103='Tabla Impacto'!$D$14),"Mayor",IF(OR(N103='Tabla Impacto'!$C$15,N103='Tabla Impacto'!$D$15),"Catastrófico","")))))</f>
        <v>Moderado</v>
      </c>
      <c r="P103" s="315">
        <f ca="1">IF(O103="","",IF(O103="Leve",0.2,IF(O103="Menor",0.4,IF(O103="Moderado",0.6,IF(O103="Mayor",0.8,IF(O103="Catastrófico",1,))))))</f>
        <v>0.6</v>
      </c>
      <c r="Q103" s="318" t="str">
        <f ca="1">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59">
        <v>1</v>
      </c>
      <c r="S103" s="160" t="s">
        <v>334</v>
      </c>
      <c r="T103" s="161" t="str">
        <f t="shared" si="25"/>
        <v>Probabilidad</v>
      </c>
      <c r="U103" s="164" t="s">
        <v>14</v>
      </c>
      <c r="V103" s="164" t="s">
        <v>9</v>
      </c>
      <c r="W103" s="165" t="str">
        <f t="shared" si="26"/>
        <v>40%</v>
      </c>
      <c r="X103" s="164" t="s">
        <v>19</v>
      </c>
      <c r="Y103" s="164" t="s">
        <v>23</v>
      </c>
      <c r="Z103" s="164" t="s">
        <v>110</v>
      </c>
      <c r="AA103" s="143">
        <f t="shared" si="27"/>
        <v>0.36</v>
      </c>
      <c r="AB103" s="154" t="str">
        <f t="shared" si="28"/>
        <v>Baja</v>
      </c>
      <c r="AC103" s="155">
        <f t="shared" si="29"/>
        <v>0.36</v>
      </c>
      <c r="AD103" s="154" t="str">
        <f t="shared" ca="1" si="30"/>
        <v>Moderado</v>
      </c>
      <c r="AE103" s="155">
        <f t="shared" ca="1" si="31"/>
        <v>0.6</v>
      </c>
      <c r="AF103" s="156" t="str">
        <f t="shared" ca="1" si="32"/>
        <v>Moderado</v>
      </c>
      <c r="AG103" s="157" t="s">
        <v>122</v>
      </c>
      <c r="AH103" s="166" t="s">
        <v>335</v>
      </c>
      <c r="AI103" s="167" t="s">
        <v>282</v>
      </c>
      <c r="AJ103" s="168" t="s">
        <v>199</v>
      </c>
      <c r="AK103" s="168" t="s">
        <v>199</v>
      </c>
      <c r="AL103" s="166" t="s">
        <v>408</v>
      </c>
      <c r="AM103" s="150"/>
      <c r="AN103" s="216" t="s">
        <v>673</v>
      </c>
      <c r="AO103" s="216" t="s">
        <v>769</v>
      </c>
      <c r="AP103" s="215">
        <v>0.33</v>
      </c>
      <c r="AQ103" s="216" t="s">
        <v>845</v>
      </c>
      <c r="AR103" s="216" t="s">
        <v>770</v>
      </c>
      <c r="AS103" s="215">
        <v>0.33</v>
      </c>
      <c r="AT103" s="137"/>
      <c r="AU103" s="137" t="s">
        <v>616</v>
      </c>
      <c r="AV103" s="137" t="s">
        <v>622</v>
      </c>
      <c r="AW103" s="137" t="s">
        <v>622</v>
      </c>
      <c r="AX103" s="137" t="s">
        <v>622</v>
      </c>
      <c r="AY103" s="137"/>
    </row>
    <row r="104" spans="1:51" s="149" customFormat="1" ht="151.5" customHeight="1" x14ac:dyDescent="0.25">
      <c r="A104" s="311"/>
      <c r="B104" s="309"/>
      <c r="C104" s="346"/>
      <c r="D104" s="346"/>
      <c r="E104" s="325"/>
      <c r="F104" s="325"/>
      <c r="G104" s="325"/>
      <c r="H104" s="328"/>
      <c r="I104" s="325"/>
      <c r="J104" s="322"/>
      <c r="K104" s="313"/>
      <c r="L104" s="316"/>
      <c r="M104" s="334"/>
      <c r="N104" s="169"/>
      <c r="O104" s="313"/>
      <c r="P104" s="316"/>
      <c r="Q104" s="319"/>
      <c r="R104" s="159">
        <v>2</v>
      </c>
      <c r="S104" s="160" t="s">
        <v>345</v>
      </c>
      <c r="T104" s="161" t="str">
        <f t="shared" ref="T104:T105" si="157">IF(OR(U104="Preventivo",U104="Detectivo"),"Probabilidad",IF(U104="Correctivo","Impacto",""))</f>
        <v>Probabilidad</v>
      </c>
      <c r="U104" s="164" t="s">
        <v>14</v>
      </c>
      <c r="V104" s="164" t="s">
        <v>9</v>
      </c>
      <c r="W104" s="165" t="str">
        <f t="shared" ref="W104" si="158">IF(AND(U104="Preventivo",V104="Automático"),"50%",IF(AND(U104="Preventivo",V104="Manual"),"40%",IF(AND(U104="Detectivo",V104="Automático"),"40%",IF(AND(U104="Detectivo",V104="Manual"),"30%",IF(AND(U104="Correctivo",V104="Automático"),"35%",IF(AND(U104="Correctivo",V104="Manual"),"25%",""))))))</f>
        <v>40%</v>
      </c>
      <c r="X104" s="164" t="s">
        <v>20</v>
      </c>
      <c r="Y104" s="164" t="s">
        <v>22</v>
      </c>
      <c r="Z104" s="164" t="s">
        <v>110</v>
      </c>
      <c r="AA104" s="143">
        <f>IFERROR(IF(T104="Probabilidad",(AA103-(+AA103*W104)),IF(T104="Impacto",L104,"")),"")</f>
        <v>0.216</v>
      </c>
      <c r="AB104" s="154" t="str">
        <f t="shared" ref="AB104:AB105" si="159">IFERROR(IF(AA104="","",IF(AA104&lt;=0.2,"Muy Baja",IF(AA104&lt;=0.4,"Baja",IF(AA104&lt;=0.6,"Media",IF(AA104&lt;=0.8,"Alta","Muy Alta"))))),"")</f>
        <v>Baja</v>
      </c>
      <c r="AC104" s="155">
        <f t="shared" ref="AC104:AC105" si="160">+AA104</f>
        <v>0.216</v>
      </c>
      <c r="AD104" s="154" t="str">
        <f t="shared" ref="AD104:AD105" si="161">IFERROR(IF(AE104="","",IF(AE104&lt;=0.2,"Leve",IF(AE104&lt;=0.4,"Menor",IF(AE104&lt;=0.6,"Moderado",IF(AE104&lt;=0.8,"Mayor","Catastrófico"))))),"")</f>
        <v>Moderado</v>
      </c>
      <c r="AE104" s="155">
        <v>0.6</v>
      </c>
      <c r="AF104" s="156" t="str">
        <f t="shared" ref="AF104:AF105" si="162">IFERROR(IF(OR(AND(AB104="Muy Baja",AD104="Leve"),AND(AB104="Muy Baja",AD104="Menor"),AND(AB104="Baja",AD104="Leve")),"Bajo",IF(OR(AND(AB104="Muy baja",AD104="Moderado"),AND(AB104="Baja",AD104="Menor"),AND(AB104="Baja",AD104="Moderado"),AND(AB104="Media",AD104="Leve"),AND(AB104="Media",AD104="Menor"),AND(AB104="Media",AD104="Moderado"),AND(AB104="Alta",AD104="Leve"),AND(AB104="Alta",AD104="Menor")),"Moderado",IF(OR(AND(AB104="Muy Baja",AD104="Mayor"),AND(AB104="Baja",AD104="Mayor"),AND(AB104="Media",AD104="Mayor"),AND(AB104="Alta",AD104="Moderado"),AND(AB104="Alta",AD104="Mayor"),AND(AB104="Muy Alta",AD104="Leve"),AND(AB104="Muy Alta",AD104="Menor"),AND(AB104="Muy Alta",AD104="Moderado"),AND(AB104="Muy Alta",AD104="Mayor")),"Alto",IF(OR(AND(AB104="Muy Baja",AD104="Catastrófico"),AND(AB104="Baja",AD104="Catastrófico"),AND(AB104="Media",AD104="Catastrófico"),AND(AB104="Alta",AD104="Catastrófico"),AND(AB104="Muy Alta",AD104="Catastrófico")),"Extremo","")))),"")</f>
        <v>Moderado</v>
      </c>
      <c r="AG104" s="157" t="s">
        <v>122</v>
      </c>
      <c r="AH104" s="166" t="s">
        <v>404</v>
      </c>
      <c r="AI104" s="167" t="s">
        <v>203</v>
      </c>
      <c r="AJ104" s="168" t="s">
        <v>199</v>
      </c>
      <c r="AK104" s="168" t="s">
        <v>199</v>
      </c>
      <c r="AL104" s="166" t="s">
        <v>406</v>
      </c>
      <c r="AM104" s="150"/>
      <c r="AN104" s="216" t="s">
        <v>846</v>
      </c>
      <c r="AO104" s="216" t="s">
        <v>847</v>
      </c>
      <c r="AP104" s="215">
        <v>0.33</v>
      </c>
      <c r="AQ104" s="216" t="s">
        <v>721</v>
      </c>
      <c r="AR104" s="216" t="s">
        <v>772</v>
      </c>
      <c r="AS104" s="215">
        <v>0.33</v>
      </c>
      <c r="AT104" s="137"/>
      <c r="AU104" s="137" t="s">
        <v>616</v>
      </c>
      <c r="AV104" s="137" t="s">
        <v>622</v>
      </c>
      <c r="AW104" s="137" t="s">
        <v>622</v>
      </c>
      <c r="AX104" s="137" t="s">
        <v>622</v>
      </c>
      <c r="AY104" s="137"/>
    </row>
    <row r="105" spans="1:51" s="149" customFormat="1" ht="151.5" hidden="1" customHeight="1" x14ac:dyDescent="0.25">
      <c r="A105" s="311"/>
      <c r="B105" s="310"/>
      <c r="C105" s="346"/>
      <c r="D105" s="346"/>
      <c r="E105" s="325"/>
      <c r="F105" s="325"/>
      <c r="G105" s="325"/>
      <c r="H105" s="328"/>
      <c r="I105" s="325"/>
      <c r="J105" s="322"/>
      <c r="K105" s="314"/>
      <c r="L105" s="317"/>
      <c r="M105" s="334"/>
      <c r="N105" s="169"/>
      <c r="O105" s="314"/>
      <c r="P105" s="317"/>
      <c r="Q105" s="320"/>
      <c r="R105" s="159">
        <v>3</v>
      </c>
      <c r="S105" s="160"/>
      <c r="T105" s="161" t="str">
        <f t="shared" si="157"/>
        <v/>
      </c>
      <c r="U105" s="164"/>
      <c r="V105" s="164"/>
      <c r="W105" s="165"/>
      <c r="X105" s="164"/>
      <c r="Y105" s="164"/>
      <c r="Z105" s="164"/>
      <c r="AA105" s="143" t="str">
        <f>IFERROR(IF(T105="Probabilidad",(AA104-(+AA104*W105)),IF(T105="Impacto",L105,"")),"")</f>
        <v/>
      </c>
      <c r="AB105" s="154" t="str">
        <f t="shared" si="159"/>
        <v/>
      </c>
      <c r="AC105" s="155" t="str">
        <f t="shared" si="160"/>
        <v/>
      </c>
      <c r="AD105" s="154" t="str">
        <f t="shared" si="161"/>
        <v/>
      </c>
      <c r="AE105" s="155" t="str">
        <f t="shared" ref="AE105" si="163">IFERROR(IF(T105="Impacto",(P105-(+P105*W105)),IF(T105="Probabilidad",P105,"")),"")</f>
        <v/>
      </c>
      <c r="AF105" s="156" t="str">
        <f t="shared" si="162"/>
        <v/>
      </c>
      <c r="AG105" s="157"/>
      <c r="AH105" s="160"/>
      <c r="AI105" s="150"/>
      <c r="AJ105" s="151"/>
      <c r="AK105" s="151"/>
      <c r="AL105" s="160"/>
      <c r="AM105" s="150"/>
      <c r="AN105" s="216"/>
      <c r="AO105" s="216"/>
      <c r="AP105" s="215"/>
      <c r="AQ105" s="216"/>
      <c r="AR105" s="216"/>
      <c r="AS105" s="215"/>
      <c r="AT105" s="137"/>
      <c r="AU105" s="137"/>
      <c r="AV105" s="137" t="s">
        <v>622</v>
      </c>
      <c r="AW105" s="137"/>
      <c r="AX105" s="137"/>
      <c r="AY105" s="137"/>
    </row>
    <row r="106" spans="1:51" s="149" customFormat="1" ht="151.5" customHeight="1" x14ac:dyDescent="0.25">
      <c r="A106" s="311">
        <v>35</v>
      </c>
      <c r="B106" s="308" t="s">
        <v>310</v>
      </c>
      <c r="C106" s="338" t="s">
        <v>360</v>
      </c>
      <c r="D106" s="338" t="s">
        <v>403</v>
      </c>
      <c r="E106" s="324" t="s">
        <v>120</v>
      </c>
      <c r="F106" s="324" t="s">
        <v>315</v>
      </c>
      <c r="G106" s="324" t="s">
        <v>316</v>
      </c>
      <c r="H106" s="327" t="s">
        <v>314</v>
      </c>
      <c r="I106" s="324" t="s">
        <v>336</v>
      </c>
      <c r="J106" s="321">
        <v>365</v>
      </c>
      <c r="K106" s="312" t="str">
        <f>IF(J106&lt;=0,"",IF(J106&lt;=2,"Muy Baja",IF(J106&lt;=24,"Baja",IF(J106&lt;=500,"Media",IF(J106&lt;=5000,"Alta","Muy Alta")))))</f>
        <v>Media</v>
      </c>
      <c r="L106" s="315">
        <f>IF(K106="","",IF(K106="Muy Baja",0.2,IF(K106="Baja",0.4,IF(K106="Media",0.6,IF(K106="Alta",0.8,IF(K106="Muy Alta",1,))))))</f>
        <v>0.6</v>
      </c>
      <c r="M106" s="333" t="s">
        <v>491</v>
      </c>
      <c r="N106" s="163" t="str">
        <f ca="1">IF(NOT(ISERROR(MATCH(M106,'Tabla Impacto'!$B$221:$B$223,0))),'Tabla Impacto'!$F$223&amp;"Por favor no seleccionar los criterios de impacto(Afectación Económica o presupuestal y Pérdida Reputacional)",M106)</f>
        <v xml:space="preserve"> El riesgo afecta la imagen de la entidad con efecto publicitario sostenido a nivel de sector administrativo, nivel departamental o municipal</v>
      </c>
      <c r="O106" s="312" t="str">
        <f ca="1">IF(OR(N106='Tabla Impacto'!$C$11,N106='Tabla Impacto'!$D$11),"Leve",IF(OR(N106='Tabla Impacto'!$C$12,N106='Tabla Impacto'!$D$12),"Menor",IF(OR(N106='Tabla Impacto'!$C$13,N106='Tabla Impacto'!$D$13),"Moderado",IF(OR(N106='Tabla Impacto'!$C$14,N106='Tabla Impacto'!$D$14),"Mayor",IF(OR(N106='Tabla Impacto'!$C$15,N106='Tabla Impacto'!$D$15),"Catastrófico","")))))</f>
        <v>Mayor</v>
      </c>
      <c r="P106" s="315">
        <f ca="1">IF(O106="","",IF(O106="Leve",0.2,IF(O106="Menor",0.4,IF(O106="Moderado",0.6,IF(O106="Mayor",0.8,IF(O106="Catastrófico",1,))))))</f>
        <v>0.8</v>
      </c>
      <c r="Q106" s="318" t="str">
        <f ca="1">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Alto</v>
      </c>
      <c r="R106" s="159">
        <v>1</v>
      </c>
      <c r="S106" s="160" t="s">
        <v>351</v>
      </c>
      <c r="T106" s="161" t="str">
        <f t="shared" ref="T106:T108" si="164">IF(OR(U106="Preventivo",U106="Detectivo"),"Probabilidad",IF(U106="Correctivo","Impacto",""))</f>
        <v>Probabilidad</v>
      </c>
      <c r="U106" s="164" t="s">
        <v>14</v>
      </c>
      <c r="V106" s="164" t="s">
        <v>9</v>
      </c>
      <c r="W106" s="165" t="str">
        <f t="shared" ref="W106:W107" si="165">IF(AND(U106="Preventivo",V106="Automático"),"50%",IF(AND(U106="Preventivo",V106="Manual"),"40%",IF(AND(U106="Detectivo",V106="Automático"),"40%",IF(AND(U106="Detectivo",V106="Manual"),"30%",IF(AND(U106="Correctivo",V106="Automático"),"35%",IF(AND(U106="Correctivo",V106="Manual"),"25%",""))))))</f>
        <v>40%</v>
      </c>
      <c r="X106" s="164" t="s">
        <v>19</v>
      </c>
      <c r="Y106" s="164" t="s">
        <v>22</v>
      </c>
      <c r="Z106" s="164" t="s">
        <v>110</v>
      </c>
      <c r="AA106" s="143">
        <f t="shared" ref="AA106" si="166">IFERROR(IF(T106="Probabilidad",(L106-(+L106*W106)),IF(T106="Impacto",L106,"")),"")</f>
        <v>0.36</v>
      </c>
      <c r="AB106" s="154" t="str">
        <f t="shared" ref="AB106:AB108" si="167">IFERROR(IF(AA106="","",IF(AA106&lt;=0.2,"Muy Baja",IF(AA106&lt;=0.4,"Baja",IF(AA106&lt;=0.6,"Media",IF(AA106&lt;=0.8,"Alta","Muy Alta"))))),"")</f>
        <v>Baja</v>
      </c>
      <c r="AC106" s="155">
        <f t="shared" ref="AC106:AC108" si="168">+AA106</f>
        <v>0.36</v>
      </c>
      <c r="AD106" s="154" t="str">
        <f t="shared" ref="AD106:AD108" ca="1" si="169">IFERROR(IF(AE106="","",IF(AE106&lt;=0.2,"Leve",IF(AE106&lt;=0.4,"Menor",IF(AE106&lt;=0.6,"Moderado",IF(AE106&lt;=0.8,"Mayor","Catastrófico"))))),"")</f>
        <v>Mayor</v>
      </c>
      <c r="AE106" s="155">
        <f t="shared" ref="AE106:AE108" ca="1" si="170">IFERROR(IF(T106="Impacto",(P106-(+P106*W106)),IF(T106="Probabilidad",P106,"")),"")</f>
        <v>0.8</v>
      </c>
      <c r="AF106" s="156" t="str">
        <f t="shared" ref="AF106:AF108" ca="1" si="171">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Alto</v>
      </c>
      <c r="AG106" s="157" t="s">
        <v>122</v>
      </c>
      <c r="AH106" s="166" t="s">
        <v>312</v>
      </c>
      <c r="AI106" s="167" t="s">
        <v>212</v>
      </c>
      <c r="AJ106" s="168" t="s">
        <v>199</v>
      </c>
      <c r="AK106" s="168" t="s">
        <v>199</v>
      </c>
      <c r="AL106" s="166" t="s">
        <v>405</v>
      </c>
      <c r="AM106" s="150"/>
      <c r="AN106" s="216" t="s">
        <v>674</v>
      </c>
      <c r="AO106" s="216" t="s">
        <v>771</v>
      </c>
      <c r="AP106" s="215">
        <v>0</v>
      </c>
      <c r="AQ106" s="216" t="s">
        <v>675</v>
      </c>
      <c r="AR106" s="216" t="s">
        <v>848</v>
      </c>
      <c r="AS106" s="215">
        <v>0.33</v>
      </c>
      <c r="AT106" s="137"/>
      <c r="AU106" s="137"/>
      <c r="AV106" s="137" t="s">
        <v>622</v>
      </c>
      <c r="AW106" s="137" t="s">
        <v>622</v>
      </c>
      <c r="AX106" s="137" t="s">
        <v>622</v>
      </c>
      <c r="AY106" s="137" t="s">
        <v>844</v>
      </c>
    </row>
    <row r="107" spans="1:51" s="149" customFormat="1" ht="151.5" customHeight="1" x14ac:dyDescent="0.25">
      <c r="A107" s="311"/>
      <c r="B107" s="309"/>
      <c r="C107" s="346"/>
      <c r="D107" s="346"/>
      <c r="E107" s="325"/>
      <c r="F107" s="325"/>
      <c r="G107" s="325"/>
      <c r="H107" s="328"/>
      <c r="I107" s="325"/>
      <c r="J107" s="322"/>
      <c r="K107" s="313"/>
      <c r="L107" s="316"/>
      <c r="M107" s="334"/>
      <c r="N107" s="169"/>
      <c r="O107" s="313"/>
      <c r="P107" s="316"/>
      <c r="Q107" s="319"/>
      <c r="R107" s="159">
        <v>2</v>
      </c>
      <c r="S107" s="160" t="s">
        <v>346</v>
      </c>
      <c r="T107" s="161" t="str">
        <f t="shared" si="164"/>
        <v>Probabilidad</v>
      </c>
      <c r="U107" s="164" t="s">
        <v>15</v>
      </c>
      <c r="V107" s="164" t="s">
        <v>10</v>
      </c>
      <c r="W107" s="165" t="str">
        <f t="shared" si="165"/>
        <v>40%</v>
      </c>
      <c r="X107" s="164" t="s">
        <v>19</v>
      </c>
      <c r="Y107" s="164" t="s">
        <v>22</v>
      </c>
      <c r="Z107" s="164" t="s">
        <v>110</v>
      </c>
      <c r="AA107" s="143">
        <f>IFERROR(IF(T107="Probabilidad",(AA106-(+AA106*W107)),IF(T107="Impacto",L107,"")),"")</f>
        <v>0.216</v>
      </c>
      <c r="AB107" s="154" t="str">
        <f t="shared" si="167"/>
        <v>Baja</v>
      </c>
      <c r="AC107" s="155">
        <f t="shared" si="168"/>
        <v>0.216</v>
      </c>
      <c r="AD107" s="154" t="str">
        <f t="shared" si="169"/>
        <v>Mayor</v>
      </c>
      <c r="AE107" s="155">
        <v>0.8</v>
      </c>
      <c r="AF107" s="156" t="str">
        <f t="shared" si="171"/>
        <v>Alto</v>
      </c>
      <c r="AG107" s="157" t="s">
        <v>122</v>
      </c>
      <c r="AH107" s="170" t="s">
        <v>409</v>
      </c>
      <c r="AI107" s="167" t="s">
        <v>203</v>
      </c>
      <c r="AJ107" s="168" t="s">
        <v>199</v>
      </c>
      <c r="AK107" s="168" t="s">
        <v>199</v>
      </c>
      <c r="AL107" s="166" t="s">
        <v>410</v>
      </c>
      <c r="AM107" s="150"/>
      <c r="AN107" s="216" t="s">
        <v>849</v>
      </c>
      <c r="AO107" s="216" t="s">
        <v>722</v>
      </c>
      <c r="AP107" s="137"/>
      <c r="AQ107" s="216" t="s">
        <v>850</v>
      </c>
      <c r="AR107" s="216" t="s">
        <v>851</v>
      </c>
      <c r="AS107" s="137"/>
      <c r="AT107" s="137"/>
      <c r="AU107" s="137" t="s">
        <v>616</v>
      </c>
      <c r="AV107" s="137" t="s">
        <v>622</v>
      </c>
      <c r="AW107" s="137" t="s">
        <v>622</v>
      </c>
      <c r="AX107" s="137" t="s">
        <v>622</v>
      </c>
      <c r="AY107" s="137"/>
    </row>
    <row r="108" spans="1:51" s="149" customFormat="1" ht="151.5" hidden="1" customHeight="1" x14ac:dyDescent="0.25">
      <c r="A108" s="311"/>
      <c r="B108" s="310"/>
      <c r="C108" s="346"/>
      <c r="D108" s="346"/>
      <c r="E108" s="325"/>
      <c r="F108" s="325"/>
      <c r="G108" s="325"/>
      <c r="H108" s="328"/>
      <c r="I108" s="325"/>
      <c r="J108" s="322"/>
      <c r="K108" s="314"/>
      <c r="L108" s="317"/>
      <c r="M108" s="334"/>
      <c r="N108" s="169"/>
      <c r="O108" s="314"/>
      <c r="P108" s="317"/>
      <c r="Q108" s="320"/>
      <c r="R108" s="159">
        <v>3</v>
      </c>
      <c r="S108" s="160"/>
      <c r="T108" s="161" t="str">
        <f t="shared" si="164"/>
        <v/>
      </c>
      <c r="U108" s="164"/>
      <c r="V108" s="164"/>
      <c r="W108" s="165"/>
      <c r="X108" s="164"/>
      <c r="Y108" s="164"/>
      <c r="Z108" s="164"/>
      <c r="AA108" s="143" t="str">
        <f>IFERROR(IF(T108="Probabilidad",(AA107-(+AA107*W108)),IF(T108="Impacto",L108,"")),"")</f>
        <v/>
      </c>
      <c r="AB108" s="154" t="str">
        <f t="shared" si="167"/>
        <v/>
      </c>
      <c r="AC108" s="155" t="str">
        <f t="shared" si="168"/>
        <v/>
      </c>
      <c r="AD108" s="154" t="str">
        <f t="shared" si="169"/>
        <v/>
      </c>
      <c r="AE108" s="155" t="str">
        <f t="shared" si="170"/>
        <v/>
      </c>
      <c r="AF108" s="156" t="str">
        <f t="shared" si="171"/>
        <v/>
      </c>
      <c r="AG108" s="157"/>
      <c r="AH108" s="160"/>
      <c r="AI108" s="150"/>
      <c r="AJ108" s="151"/>
      <c r="AK108" s="151"/>
      <c r="AL108" s="160"/>
      <c r="AM108" s="150"/>
      <c r="AN108" s="216"/>
      <c r="AO108" s="216"/>
      <c r="AP108" s="215"/>
      <c r="AQ108" s="216"/>
      <c r="AR108" s="216"/>
      <c r="AS108" s="215"/>
      <c r="AT108" s="137"/>
      <c r="AU108" s="137"/>
      <c r="AV108" s="137" t="s">
        <v>622</v>
      </c>
      <c r="AW108" s="137"/>
      <c r="AX108" s="137"/>
      <c r="AY108" s="137"/>
    </row>
    <row r="109" spans="1:51" s="149" customFormat="1" ht="151.5" customHeight="1" x14ac:dyDescent="0.25">
      <c r="A109" s="311">
        <v>36</v>
      </c>
      <c r="B109" s="308" t="s">
        <v>317</v>
      </c>
      <c r="C109" s="338" t="s">
        <v>352</v>
      </c>
      <c r="D109" s="338" t="s">
        <v>411</v>
      </c>
      <c r="E109" s="324" t="s">
        <v>120</v>
      </c>
      <c r="F109" s="324" t="s">
        <v>465</v>
      </c>
      <c r="G109" s="324" t="s">
        <v>466</v>
      </c>
      <c r="H109" s="327" t="s">
        <v>412</v>
      </c>
      <c r="I109" s="324" t="s">
        <v>328</v>
      </c>
      <c r="J109" s="321">
        <v>35</v>
      </c>
      <c r="K109" s="312" t="str">
        <f>IF(J109&lt;=0,"",IF(J109&lt;=2,"Muy Baja",IF(J109&lt;=24,"Baja",IF(J109&lt;=500,"Media",IF(J109&lt;=5000,"Alta","Muy Alta")))))</f>
        <v>Media</v>
      </c>
      <c r="L109" s="315">
        <f>IF(K109="","",IF(K109="Muy Baja",0.2,IF(K109="Baja",0.4,IF(K109="Media",0.6,IF(K109="Alta",0.8,IF(K109="Muy Alta",1,))))))</f>
        <v>0.6</v>
      </c>
      <c r="M109" s="333" t="s">
        <v>489</v>
      </c>
      <c r="N109" s="163" t="str">
        <f ca="1">IF(NOT(ISERROR(MATCH(M109,'Tabla Impacto'!$B$221:$B$223,0))),'Tabla Impacto'!$F$223&amp;"Por favor no seleccionar los criterios de impacto(Afectación Económica o presupuestal y Pérdida Reputacional)",M109)</f>
        <v xml:space="preserve"> El riesgo afecta la imagen de la entidad internamente, de conocimiento general, nivel interno, de junta directiva y accionistas y/o de proveedores</v>
      </c>
      <c r="O109" s="312" t="str">
        <f ca="1">IF(OR(N109='Tabla Impacto'!$C$11,N109='Tabla Impacto'!$D$11),"Leve",IF(OR(N109='Tabla Impacto'!$C$12,N109='Tabla Impacto'!$D$12),"Menor",IF(OR(N109='Tabla Impacto'!$C$13,N109='Tabla Impacto'!$D$13),"Moderado",IF(OR(N109='Tabla Impacto'!$C$14,N109='Tabla Impacto'!$D$14),"Mayor",IF(OR(N109='Tabla Impacto'!$C$15,N109='Tabla Impacto'!$D$15),"Catastrófico","")))))</f>
        <v>Menor</v>
      </c>
      <c r="P109" s="315">
        <f ca="1">IF(O109="","",IF(O109="Leve",0.2,IF(O109="Menor",0.4,IF(O109="Moderado",0.6,IF(O109="Mayor",0.8,IF(O109="Catastrófico",1,))))))</f>
        <v>0.4</v>
      </c>
      <c r="Q109" s="318" t="str">
        <f ca="1">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59">
        <v>1</v>
      </c>
      <c r="S109" s="160" t="s">
        <v>337</v>
      </c>
      <c r="T109" s="161" t="str">
        <f t="shared" ref="T109:T120" si="172">IF(OR(U109="Preventivo",U109="Detectivo"),"Probabilidad",IF(U109="Correctivo","Impacto",""))</f>
        <v>Probabilidad</v>
      </c>
      <c r="U109" s="164" t="s">
        <v>14</v>
      </c>
      <c r="V109" s="164" t="s">
        <v>9</v>
      </c>
      <c r="W109" s="165" t="str">
        <f t="shared" ref="W109:W119" si="173">IF(AND(U109="Preventivo",V109="Automático"),"50%",IF(AND(U109="Preventivo",V109="Manual"),"40%",IF(AND(U109="Detectivo",V109="Automático"),"40%",IF(AND(U109="Detectivo",V109="Manual"),"30%",IF(AND(U109="Correctivo",V109="Automático"),"35%",IF(AND(U109="Correctivo",V109="Manual"),"25%",""))))))</f>
        <v>40%</v>
      </c>
      <c r="X109" s="164" t="s">
        <v>19</v>
      </c>
      <c r="Y109" s="164" t="s">
        <v>22</v>
      </c>
      <c r="Z109" s="164" t="s">
        <v>110</v>
      </c>
      <c r="AA109" s="143">
        <f t="shared" ref="AA109:AA118" si="174">IFERROR(IF(T109="Probabilidad",(L109-(+L109*W109)),IF(T109="Impacto",L109,"")),"")</f>
        <v>0.36</v>
      </c>
      <c r="AB109" s="154" t="str">
        <f t="shared" ref="AB109:AB119" si="175">IFERROR(IF(AA109="","",IF(AA109&lt;=0.2,"Muy Baja",IF(AA109&lt;=0.4,"Baja",IF(AA109&lt;=0.6,"Media",IF(AA109&lt;=0.8,"Alta","Muy Alta"))))),"")</f>
        <v>Baja</v>
      </c>
      <c r="AC109" s="155">
        <f t="shared" ref="AC109:AC119" si="176">+AA109</f>
        <v>0.36</v>
      </c>
      <c r="AD109" s="154" t="str">
        <f t="shared" ref="AD109:AD119" ca="1" si="177">IFERROR(IF(AE109="","",IF(AE109&lt;=0.2,"Leve",IF(AE109&lt;=0.4,"Menor",IF(AE109&lt;=0.6,"Moderado",IF(AE109&lt;=0.8,"Mayor","Catastrófico"))))),"")</f>
        <v>Menor</v>
      </c>
      <c r="AE109" s="155">
        <f t="shared" ref="AE109:AE119" ca="1" si="178">IFERROR(IF(T109="Impacto",(P109-(+P109*W109)),IF(T109="Probabilidad",P109,"")),"")</f>
        <v>0.4</v>
      </c>
      <c r="AF109" s="156" t="str">
        <f t="shared" ref="AF109:AF119" ca="1" si="179">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Moderado</v>
      </c>
      <c r="AG109" s="157" t="s">
        <v>122</v>
      </c>
      <c r="AH109" s="160" t="s">
        <v>512</v>
      </c>
      <c r="AI109" s="150" t="s">
        <v>260</v>
      </c>
      <c r="AJ109" s="151">
        <v>44563</v>
      </c>
      <c r="AK109" s="151" t="s">
        <v>373</v>
      </c>
      <c r="AL109" s="160" t="s">
        <v>413</v>
      </c>
      <c r="AM109" s="150"/>
      <c r="AN109" s="216" t="s">
        <v>852</v>
      </c>
      <c r="AO109" s="216" t="s">
        <v>723</v>
      </c>
      <c r="AP109" s="215">
        <v>0.33</v>
      </c>
      <c r="AQ109" s="216" t="s">
        <v>724</v>
      </c>
      <c r="AR109" s="216" t="s">
        <v>773</v>
      </c>
      <c r="AS109" s="215">
        <v>0.33</v>
      </c>
      <c r="AT109" s="137"/>
      <c r="AU109" s="137" t="s">
        <v>616</v>
      </c>
      <c r="AV109" s="137" t="s">
        <v>622</v>
      </c>
      <c r="AW109" s="137" t="s">
        <v>622</v>
      </c>
      <c r="AX109" s="137" t="s">
        <v>622</v>
      </c>
      <c r="AY109" s="137" t="s">
        <v>748</v>
      </c>
    </row>
    <row r="110" spans="1:51" s="149" customFormat="1" ht="151.5" customHeight="1" x14ac:dyDescent="0.25">
      <c r="A110" s="311"/>
      <c r="B110" s="309"/>
      <c r="C110" s="339"/>
      <c r="D110" s="346"/>
      <c r="E110" s="325"/>
      <c r="F110" s="325"/>
      <c r="G110" s="325"/>
      <c r="H110" s="328"/>
      <c r="I110" s="325"/>
      <c r="J110" s="322"/>
      <c r="K110" s="313"/>
      <c r="L110" s="316"/>
      <c r="M110" s="334"/>
      <c r="N110" s="169"/>
      <c r="O110" s="313"/>
      <c r="P110" s="316"/>
      <c r="Q110" s="319"/>
      <c r="R110" s="159">
        <v>2</v>
      </c>
      <c r="S110" s="160" t="s">
        <v>347</v>
      </c>
      <c r="T110" s="161" t="str">
        <f t="shared" si="172"/>
        <v>Probabilidad</v>
      </c>
      <c r="U110" s="164" t="s">
        <v>15</v>
      </c>
      <c r="V110" s="164" t="s">
        <v>9</v>
      </c>
      <c r="W110" s="165" t="str">
        <f t="shared" si="173"/>
        <v>30%</v>
      </c>
      <c r="X110" s="164" t="s">
        <v>19</v>
      </c>
      <c r="Y110" s="164" t="s">
        <v>22</v>
      </c>
      <c r="Z110" s="164" t="s">
        <v>110</v>
      </c>
      <c r="AA110" s="143">
        <f>IFERROR(IF(T110="Probabilidad",(AA109-(+AA109*W110)),IF(T110="Impacto",L110,"")),"")</f>
        <v>0.252</v>
      </c>
      <c r="AB110" s="154" t="str">
        <f t="shared" si="175"/>
        <v>Baja</v>
      </c>
      <c r="AC110" s="155">
        <f t="shared" si="176"/>
        <v>0.252</v>
      </c>
      <c r="AD110" s="154" t="str">
        <f t="shared" si="177"/>
        <v>Menor</v>
      </c>
      <c r="AE110" s="155">
        <v>0.4</v>
      </c>
      <c r="AF110" s="156" t="str">
        <f t="shared" si="179"/>
        <v>Moderado</v>
      </c>
      <c r="AG110" s="157" t="s">
        <v>122</v>
      </c>
      <c r="AH110" s="160" t="s">
        <v>512</v>
      </c>
      <c r="AI110" s="150" t="s">
        <v>260</v>
      </c>
      <c r="AJ110" s="151">
        <v>44563</v>
      </c>
      <c r="AK110" s="151" t="s">
        <v>373</v>
      </c>
      <c r="AL110" s="160" t="s">
        <v>413</v>
      </c>
      <c r="AM110" s="150"/>
      <c r="AN110" s="216" t="s">
        <v>725</v>
      </c>
      <c r="AO110" s="216" t="s">
        <v>775</v>
      </c>
      <c r="AP110" s="215">
        <v>0.33</v>
      </c>
      <c r="AQ110" s="216" t="s">
        <v>853</v>
      </c>
      <c r="AR110" s="216" t="s">
        <v>774</v>
      </c>
      <c r="AS110" s="215">
        <v>0.33</v>
      </c>
      <c r="AT110" s="137"/>
      <c r="AU110" s="137" t="s">
        <v>616</v>
      </c>
      <c r="AV110" s="137" t="s">
        <v>622</v>
      </c>
      <c r="AW110" s="137" t="s">
        <v>622</v>
      </c>
      <c r="AX110" s="137" t="s">
        <v>622</v>
      </c>
      <c r="AY110" s="137" t="s">
        <v>748</v>
      </c>
    </row>
    <row r="111" spans="1:51" s="149" customFormat="1" ht="151.5" hidden="1" customHeight="1" x14ac:dyDescent="0.25">
      <c r="A111" s="311"/>
      <c r="B111" s="310"/>
      <c r="C111" s="339"/>
      <c r="D111" s="346"/>
      <c r="E111" s="325"/>
      <c r="F111" s="325"/>
      <c r="G111" s="325"/>
      <c r="H111" s="328"/>
      <c r="I111" s="325"/>
      <c r="J111" s="322"/>
      <c r="K111" s="314"/>
      <c r="L111" s="317"/>
      <c r="M111" s="334"/>
      <c r="N111" s="169"/>
      <c r="O111" s="314"/>
      <c r="P111" s="317"/>
      <c r="Q111" s="320"/>
      <c r="R111" s="159">
        <v>3</v>
      </c>
      <c r="S111" s="160"/>
      <c r="T111" s="161" t="str">
        <f t="shared" si="172"/>
        <v/>
      </c>
      <c r="U111" s="164"/>
      <c r="V111" s="164"/>
      <c r="W111" s="165"/>
      <c r="X111" s="164"/>
      <c r="Y111" s="164"/>
      <c r="Z111" s="164"/>
      <c r="AA111" s="143" t="str">
        <f>IFERROR(IF(T111="Probabilidad",(AA110-(+AA110*W111)),IF(T111="Impacto",L111,"")),"")</f>
        <v/>
      </c>
      <c r="AB111" s="154" t="str">
        <f t="shared" si="175"/>
        <v/>
      </c>
      <c r="AC111" s="155" t="str">
        <f t="shared" si="176"/>
        <v/>
      </c>
      <c r="AD111" s="154" t="str">
        <f t="shared" si="177"/>
        <v/>
      </c>
      <c r="AE111" s="155" t="str">
        <f t="shared" si="178"/>
        <v/>
      </c>
      <c r="AF111" s="156" t="str">
        <f t="shared" si="179"/>
        <v/>
      </c>
      <c r="AG111" s="157"/>
      <c r="AH111" s="160"/>
      <c r="AI111" s="150"/>
      <c r="AJ111" s="151"/>
      <c r="AK111" s="151"/>
      <c r="AL111" s="160"/>
      <c r="AM111" s="150"/>
      <c r="AN111" s="216"/>
      <c r="AO111" s="216"/>
      <c r="AP111" s="137"/>
      <c r="AQ111" s="216"/>
      <c r="AR111" s="216"/>
      <c r="AS111" s="137"/>
      <c r="AT111" s="137"/>
      <c r="AU111" s="137" t="s">
        <v>616</v>
      </c>
      <c r="AV111" s="137" t="s">
        <v>622</v>
      </c>
      <c r="AW111" s="137" t="s">
        <v>622</v>
      </c>
      <c r="AX111" s="137" t="s">
        <v>622</v>
      </c>
      <c r="AY111" s="137"/>
    </row>
    <row r="112" spans="1:51" s="149" customFormat="1" ht="151.5" customHeight="1" x14ac:dyDescent="0.25">
      <c r="A112" s="311">
        <v>37</v>
      </c>
      <c r="B112" s="308" t="s">
        <v>317</v>
      </c>
      <c r="C112" s="338" t="s">
        <v>352</v>
      </c>
      <c r="D112" s="338" t="s">
        <v>411</v>
      </c>
      <c r="E112" s="324" t="s">
        <v>120</v>
      </c>
      <c r="F112" s="324" t="s">
        <v>467</v>
      </c>
      <c r="G112" s="324" t="s">
        <v>468</v>
      </c>
      <c r="H112" s="327" t="s">
        <v>338</v>
      </c>
      <c r="I112" s="324" t="s">
        <v>328</v>
      </c>
      <c r="J112" s="321">
        <v>12</v>
      </c>
      <c r="K112" s="312" t="str">
        <f>IF(J112&lt;=0,"",IF(J112&lt;=2,"Muy Baja",IF(J112&lt;=24,"Baja",IF(J112&lt;=500,"Media",IF(J112&lt;=5000,"Alta","Muy Alta")))))</f>
        <v>Baja</v>
      </c>
      <c r="L112" s="315">
        <f>IF(K112="","",IF(K112="Muy Baja",0.2,IF(K112="Baja",0.4,IF(K112="Media",0.6,IF(K112="Alta",0.8,IF(K112="Muy Alta",1,))))))</f>
        <v>0.4</v>
      </c>
      <c r="M112" s="333" t="s">
        <v>489</v>
      </c>
      <c r="N112" s="163" t="str">
        <f ca="1">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312" t="str">
        <f ca="1">IF(OR(N112='Tabla Impacto'!$C$11,N112='Tabla Impacto'!$D$11),"Leve",IF(OR(N112='Tabla Impacto'!$C$12,N112='Tabla Impacto'!$D$12),"Menor",IF(OR(N112='Tabla Impacto'!$C$13,N112='Tabla Impacto'!$D$13),"Moderado",IF(OR(N112='Tabla Impacto'!$C$14,N112='Tabla Impacto'!$D$14),"Mayor",IF(OR(N112='Tabla Impacto'!$C$15,N112='Tabla Impacto'!$D$15),"Catastrófico","")))))</f>
        <v>Menor</v>
      </c>
      <c r="P112" s="315">
        <f ca="1">IF(O112="","",IF(O112="Leve",0.2,IF(O112="Menor",0.4,IF(O112="Moderado",0.6,IF(O112="Mayor",0.8,IF(O112="Catastrófico",1,))))))</f>
        <v>0.4</v>
      </c>
      <c r="Q112" s="318" t="str">
        <f ca="1">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59">
        <v>1</v>
      </c>
      <c r="S112" s="160" t="s">
        <v>513</v>
      </c>
      <c r="T112" s="161" t="str">
        <f t="shared" si="172"/>
        <v>Probabilidad</v>
      </c>
      <c r="U112" s="164" t="s">
        <v>14</v>
      </c>
      <c r="V112" s="164" t="s">
        <v>9</v>
      </c>
      <c r="W112" s="165" t="str">
        <f t="shared" si="173"/>
        <v>40%</v>
      </c>
      <c r="X112" s="164" t="s">
        <v>19</v>
      </c>
      <c r="Y112" s="164" t="s">
        <v>22</v>
      </c>
      <c r="Z112" s="164" t="s">
        <v>110</v>
      </c>
      <c r="AA112" s="143">
        <f t="shared" si="174"/>
        <v>0.24</v>
      </c>
      <c r="AB112" s="154" t="str">
        <f t="shared" si="175"/>
        <v>Baja</v>
      </c>
      <c r="AC112" s="155">
        <f t="shared" si="176"/>
        <v>0.24</v>
      </c>
      <c r="AD112" s="154" t="str">
        <f t="shared" ca="1" si="177"/>
        <v>Menor</v>
      </c>
      <c r="AE112" s="155">
        <f t="shared" ca="1" si="178"/>
        <v>0.4</v>
      </c>
      <c r="AF112" s="156" t="str">
        <f t="shared" ca="1" si="179"/>
        <v>Moderado</v>
      </c>
      <c r="AG112" s="157" t="s">
        <v>122</v>
      </c>
      <c r="AH112" s="160" t="s">
        <v>514</v>
      </c>
      <c r="AI112" s="150" t="s">
        <v>203</v>
      </c>
      <c r="AJ112" s="151">
        <v>44568</v>
      </c>
      <c r="AK112" s="151" t="s">
        <v>373</v>
      </c>
      <c r="AL112" s="160" t="s">
        <v>414</v>
      </c>
      <c r="AM112" s="150"/>
      <c r="AN112" s="216" t="s">
        <v>726</v>
      </c>
      <c r="AO112" s="216" t="s">
        <v>776</v>
      </c>
      <c r="AP112" s="215">
        <v>0.33</v>
      </c>
      <c r="AQ112" s="216" t="s">
        <v>727</v>
      </c>
      <c r="AR112" s="216" t="s">
        <v>777</v>
      </c>
      <c r="AS112" s="215">
        <v>0.33</v>
      </c>
      <c r="AT112" s="137"/>
      <c r="AU112" s="137" t="s">
        <v>616</v>
      </c>
      <c r="AV112" s="137" t="s">
        <v>622</v>
      </c>
      <c r="AW112" s="137" t="s">
        <v>622</v>
      </c>
      <c r="AX112" s="137" t="s">
        <v>622</v>
      </c>
      <c r="AY112" s="137" t="s">
        <v>748</v>
      </c>
    </row>
    <row r="113" spans="1:51" s="149" customFormat="1" ht="151.5" customHeight="1" x14ac:dyDescent="0.25">
      <c r="A113" s="311"/>
      <c r="B113" s="309"/>
      <c r="C113" s="339"/>
      <c r="D113" s="346"/>
      <c r="E113" s="325"/>
      <c r="F113" s="325"/>
      <c r="G113" s="325"/>
      <c r="H113" s="328"/>
      <c r="I113" s="325"/>
      <c r="J113" s="322"/>
      <c r="K113" s="313"/>
      <c r="L113" s="316"/>
      <c r="M113" s="334"/>
      <c r="N113" s="169"/>
      <c r="O113" s="313"/>
      <c r="P113" s="316"/>
      <c r="Q113" s="319"/>
      <c r="R113" s="159">
        <v>2</v>
      </c>
      <c r="S113" s="160" t="s">
        <v>361</v>
      </c>
      <c r="T113" s="161" t="str">
        <f t="shared" si="172"/>
        <v>Probabilidad</v>
      </c>
      <c r="U113" s="164" t="s">
        <v>15</v>
      </c>
      <c r="V113" s="164" t="s">
        <v>9</v>
      </c>
      <c r="W113" s="165" t="str">
        <f t="shared" si="173"/>
        <v>30%</v>
      </c>
      <c r="X113" s="164" t="s">
        <v>19</v>
      </c>
      <c r="Y113" s="164" t="s">
        <v>22</v>
      </c>
      <c r="Z113" s="164" t="s">
        <v>110</v>
      </c>
      <c r="AA113" s="143">
        <f>IFERROR(IF(T113="Probabilidad",(AA112-(+AA112*W113)),IF(T113="Impacto",L113,"")),"")</f>
        <v>0.16799999999999998</v>
      </c>
      <c r="AB113" s="154" t="str">
        <f t="shared" si="175"/>
        <v>Muy Baja</v>
      </c>
      <c r="AC113" s="155">
        <f t="shared" si="176"/>
        <v>0.16799999999999998</v>
      </c>
      <c r="AD113" s="154" t="str">
        <f t="shared" si="177"/>
        <v>Menor</v>
      </c>
      <c r="AE113" s="155">
        <v>0.4</v>
      </c>
      <c r="AF113" s="156" t="str">
        <f t="shared" si="179"/>
        <v>Bajo</v>
      </c>
      <c r="AG113" s="157" t="s">
        <v>122</v>
      </c>
      <c r="AH113" s="160" t="s">
        <v>515</v>
      </c>
      <c r="AI113" s="150" t="s">
        <v>203</v>
      </c>
      <c r="AJ113" s="151">
        <v>44564</v>
      </c>
      <c r="AK113" s="151" t="s">
        <v>373</v>
      </c>
      <c r="AL113" s="160" t="s">
        <v>414</v>
      </c>
      <c r="AM113" s="150"/>
      <c r="AN113" s="216" t="s">
        <v>728</v>
      </c>
      <c r="AO113" s="216" t="s">
        <v>778</v>
      </c>
      <c r="AP113" s="215">
        <v>0.33</v>
      </c>
      <c r="AQ113" s="216" t="s">
        <v>729</v>
      </c>
      <c r="AR113" s="216" t="s">
        <v>779</v>
      </c>
      <c r="AS113" s="215">
        <v>0.33</v>
      </c>
      <c r="AT113" s="137"/>
      <c r="AU113" s="137" t="s">
        <v>616</v>
      </c>
      <c r="AV113" s="137" t="s">
        <v>622</v>
      </c>
      <c r="AW113" s="137" t="s">
        <v>622</v>
      </c>
      <c r="AX113" s="137" t="s">
        <v>622</v>
      </c>
      <c r="AY113" s="137" t="s">
        <v>748</v>
      </c>
    </row>
    <row r="114" spans="1:51" s="149" customFormat="1" ht="151.5" hidden="1" customHeight="1" x14ac:dyDescent="0.25">
      <c r="A114" s="311"/>
      <c r="B114" s="310"/>
      <c r="C114" s="339"/>
      <c r="D114" s="346"/>
      <c r="E114" s="325"/>
      <c r="F114" s="325"/>
      <c r="G114" s="325"/>
      <c r="H114" s="328"/>
      <c r="I114" s="325"/>
      <c r="J114" s="322"/>
      <c r="K114" s="314"/>
      <c r="L114" s="317"/>
      <c r="M114" s="334"/>
      <c r="N114" s="169"/>
      <c r="O114" s="314"/>
      <c r="P114" s="317"/>
      <c r="Q114" s="320"/>
      <c r="R114" s="159">
        <v>3</v>
      </c>
      <c r="S114" s="160"/>
      <c r="T114" s="161" t="str">
        <f t="shared" si="172"/>
        <v/>
      </c>
      <c r="U114" s="164"/>
      <c r="V114" s="164"/>
      <c r="W114" s="165"/>
      <c r="X114" s="164"/>
      <c r="Y114" s="164"/>
      <c r="Z114" s="164"/>
      <c r="AA114" s="143" t="str">
        <f>IFERROR(IF(T114="Probabilidad",(AA113-(+AA113*W114)),IF(T114="Impacto",L114,"")),"")</f>
        <v/>
      </c>
      <c r="AB114" s="154" t="str">
        <f t="shared" si="175"/>
        <v/>
      </c>
      <c r="AC114" s="155" t="str">
        <f t="shared" si="176"/>
        <v/>
      </c>
      <c r="AD114" s="154" t="str">
        <f t="shared" si="177"/>
        <v/>
      </c>
      <c r="AE114" s="155" t="str">
        <f t="shared" si="178"/>
        <v/>
      </c>
      <c r="AF114" s="156" t="str">
        <f t="shared" si="179"/>
        <v/>
      </c>
      <c r="AG114" s="157"/>
      <c r="AH114" s="160"/>
      <c r="AI114" s="150"/>
      <c r="AJ114" s="151"/>
      <c r="AK114" s="151"/>
      <c r="AL114" s="160"/>
      <c r="AM114" s="150"/>
      <c r="AN114" s="216"/>
      <c r="AO114" s="216"/>
      <c r="AP114" s="137"/>
      <c r="AQ114" s="216"/>
      <c r="AR114" s="216"/>
      <c r="AS114" s="137"/>
      <c r="AT114" s="137"/>
      <c r="AU114" s="137" t="s">
        <v>616</v>
      </c>
      <c r="AV114" s="137" t="s">
        <v>622</v>
      </c>
      <c r="AW114" s="137" t="s">
        <v>622</v>
      </c>
      <c r="AX114" s="137" t="s">
        <v>622</v>
      </c>
      <c r="AY114" s="137"/>
    </row>
    <row r="115" spans="1:51" s="149" customFormat="1" ht="151.5" customHeight="1" x14ac:dyDescent="0.25">
      <c r="A115" s="311">
        <v>38</v>
      </c>
      <c r="B115" s="342" t="s">
        <v>317</v>
      </c>
      <c r="C115" s="338" t="s">
        <v>352</v>
      </c>
      <c r="D115" s="338" t="s">
        <v>415</v>
      </c>
      <c r="E115" s="324" t="s">
        <v>120</v>
      </c>
      <c r="F115" s="324" t="s">
        <v>469</v>
      </c>
      <c r="G115" s="324" t="s">
        <v>542</v>
      </c>
      <c r="H115" s="327" t="s">
        <v>548</v>
      </c>
      <c r="I115" s="324" t="s">
        <v>115</v>
      </c>
      <c r="J115" s="321">
        <v>3000</v>
      </c>
      <c r="K115" s="312" t="str">
        <f>IF(J115&lt;=0,"",IF(J115&lt;=2,"Muy Baja",IF(J115&lt;=24,"Baja",IF(J115&lt;=500,"Media",IF(J115&lt;=5000,"Alta","Muy Alta")))))</f>
        <v>Alta</v>
      </c>
      <c r="L115" s="315">
        <f>IF(K115="","",IF(K115="Muy Baja",0.2,IF(K115="Baja",0.4,IF(K115="Media",0.6,IF(K115="Alta",0.8,IF(K115="Muy Alta",1,))))))</f>
        <v>0.8</v>
      </c>
      <c r="M115" s="333" t="s">
        <v>483</v>
      </c>
      <c r="N115" s="163" t="str">
        <f ca="1">IF(NOT(ISERROR(MATCH(M115,'Tabla Impacto'!$B$221:$B$223,0))),'Tabla Impacto'!$F$223&amp;"Por favor no seleccionar los criterios de impacto(Afectación Económica o presupuestal y Pérdida Reputacional)",M115)</f>
        <v xml:space="preserve"> Entre 50 y 100 SMLMV </v>
      </c>
      <c r="O115" s="312" t="str">
        <f ca="1">IF(OR(N115='Tabla Impacto'!$C$11,N115='Tabla Impacto'!$D$11),"Leve",IF(OR(N115='Tabla Impacto'!$C$12,N115='Tabla Impacto'!$D$12),"Menor",IF(OR(N115='Tabla Impacto'!$C$13,N115='Tabla Impacto'!$D$13),"Moderado",IF(OR(N115='Tabla Impacto'!$C$14,N115='Tabla Impacto'!$D$14),"Mayor",IF(OR(N115='Tabla Impacto'!$C$15,N115='Tabla Impacto'!$D$15),"Catastrófico","")))))</f>
        <v>Moderado</v>
      </c>
      <c r="P115" s="315">
        <f ca="1">IF(O115="","",IF(O115="Leve",0.2,IF(O115="Menor",0.4,IF(O115="Moderado",0.6,IF(O115="Mayor",0.8,IF(O115="Catastrófico",1,))))))</f>
        <v>0.6</v>
      </c>
      <c r="Q115" s="318" t="str">
        <f ca="1">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Alto</v>
      </c>
      <c r="R115" s="159">
        <v>1</v>
      </c>
      <c r="S115" s="160" t="s">
        <v>362</v>
      </c>
      <c r="T115" s="161" t="str">
        <f t="shared" si="172"/>
        <v>Probabilidad</v>
      </c>
      <c r="U115" s="164" t="s">
        <v>14</v>
      </c>
      <c r="V115" s="164" t="s">
        <v>9</v>
      </c>
      <c r="W115" s="165" t="str">
        <f t="shared" si="173"/>
        <v>40%</v>
      </c>
      <c r="X115" s="164" t="s">
        <v>19</v>
      </c>
      <c r="Y115" s="164" t="s">
        <v>22</v>
      </c>
      <c r="Z115" s="164" t="s">
        <v>110</v>
      </c>
      <c r="AA115" s="143">
        <f t="shared" si="174"/>
        <v>0.48</v>
      </c>
      <c r="AB115" s="154" t="str">
        <f t="shared" si="175"/>
        <v>Media</v>
      </c>
      <c r="AC115" s="155">
        <f t="shared" si="176"/>
        <v>0.48</v>
      </c>
      <c r="AD115" s="154" t="str">
        <f t="shared" ca="1" si="177"/>
        <v>Moderado</v>
      </c>
      <c r="AE115" s="155">
        <f t="shared" ca="1" si="178"/>
        <v>0.6</v>
      </c>
      <c r="AF115" s="156" t="str">
        <f t="shared" ca="1" si="179"/>
        <v>Moderado</v>
      </c>
      <c r="AG115" s="157" t="s">
        <v>122</v>
      </c>
      <c r="AH115" s="160" t="s">
        <v>516</v>
      </c>
      <c r="AI115" s="150" t="s">
        <v>203</v>
      </c>
      <c r="AJ115" s="151">
        <v>44564</v>
      </c>
      <c r="AK115" s="151" t="s">
        <v>373</v>
      </c>
      <c r="AL115" s="160" t="s">
        <v>413</v>
      </c>
      <c r="AM115" s="150"/>
      <c r="AN115" s="216" t="s">
        <v>730</v>
      </c>
      <c r="AO115" s="216" t="s">
        <v>854</v>
      </c>
      <c r="AP115" s="215">
        <v>0.33</v>
      </c>
      <c r="AQ115" s="216" t="s">
        <v>731</v>
      </c>
      <c r="AR115" s="216" t="s">
        <v>780</v>
      </c>
      <c r="AS115" s="215">
        <v>0.33</v>
      </c>
      <c r="AT115" s="137"/>
      <c r="AU115" s="137" t="s">
        <v>616</v>
      </c>
      <c r="AV115" s="137" t="s">
        <v>622</v>
      </c>
      <c r="AW115" s="137" t="s">
        <v>622</v>
      </c>
      <c r="AX115" s="137" t="s">
        <v>622</v>
      </c>
      <c r="AY115" s="137" t="s">
        <v>748</v>
      </c>
    </row>
    <row r="116" spans="1:51" s="149" customFormat="1" ht="151.5" customHeight="1" x14ac:dyDescent="0.25">
      <c r="A116" s="311"/>
      <c r="B116" s="343"/>
      <c r="C116" s="339"/>
      <c r="D116" s="346"/>
      <c r="E116" s="325"/>
      <c r="F116" s="325"/>
      <c r="G116" s="325"/>
      <c r="H116" s="328"/>
      <c r="I116" s="325"/>
      <c r="J116" s="322"/>
      <c r="K116" s="313"/>
      <c r="L116" s="316"/>
      <c r="M116" s="334"/>
      <c r="N116" s="169"/>
      <c r="O116" s="313"/>
      <c r="P116" s="316"/>
      <c r="Q116" s="319"/>
      <c r="R116" s="159">
        <v>2</v>
      </c>
      <c r="S116" s="160" t="s">
        <v>855</v>
      </c>
      <c r="T116" s="161" t="str">
        <f t="shared" si="172"/>
        <v>Probabilidad</v>
      </c>
      <c r="U116" s="164" t="s">
        <v>14</v>
      </c>
      <c r="V116" s="164" t="s">
        <v>9</v>
      </c>
      <c r="W116" s="165" t="str">
        <f t="shared" si="173"/>
        <v>40%</v>
      </c>
      <c r="X116" s="164" t="s">
        <v>19</v>
      </c>
      <c r="Y116" s="164" t="s">
        <v>22</v>
      </c>
      <c r="Z116" s="164" t="s">
        <v>110</v>
      </c>
      <c r="AA116" s="143">
        <f>IFERROR(IF(T116="Probabilidad",(AA115-(+AA115*W116)),IF(T116="Impacto",L116,"")),"")</f>
        <v>0.28799999999999998</v>
      </c>
      <c r="AB116" s="154" t="str">
        <f t="shared" si="175"/>
        <v>Baja</v>
      </c>
      <c r="AC116" s="155">
        <f t="shared" si="176"/>
        <v>0.28799999999999998</v>
      </c>
      <c r="AD116" s="154" t="str">
        <f t="shared" si="177"/>
        <v>Menor</v>
      </c>
      <c r="AE116" s="155">
        <v>0.4</v>
      </c>
      <c r="AF116" s="156" t="str">
        <f t="shared" si="179"/>
        <v>Moderado</v>
      </c>
      <c r="AG116" s="157" t="s">
        <v>122</v>
      </c>
      <c r="AH116" s="160" t="s">
        <v>516</v>
      </c>
      <c r="AI116" s="150" t="s">
        <v>203</v>
      </c>
      <c r="AJ116" s="151">
        <v>44564</v>
      </c>
      <c r="AK116" s="151" t="s">
        <v>373</v>
      </c>
      <c r="AL116" s="160" t="s">
        <v>413</v>
      </c>
      <c r="AM116" s="150"/>
      <c r="AN116" s="216" t="s">
        <v>730</v>
      </c>
      <c r="AO116" s="216" t="s">
        <v>854</v>
      </c>
      <c r="AP116" s="215">
        <v>0.33</v>
      </c>
      <c r="AQ116" s="216" t="s">
        <v>731</v>
      </c>
      <c r="AR116" s="216" t="s">
        <v>780</v>
      </c>
      <c r="AS116" s="215">
        <v>0.33</v>
      </c>
      <c r="AT116" s="137"/>
      <c r="AU116" s="137" t="s">
        <v>616</v>
      </c>
      <c r="AV116" s="137" t="s">
        <v>622</v>
      </c>
      <c r="AW116" s="137" t="s">
        <v>622</v>
      </c>
      <c r="AX116" s="137" t="s">
        <v>622</v>
      </c>
      <c r="AY116" s="137" t="s">
        <v>748</v>
      </c>
    </row>
    <row r="117" spans="1:51" s="149" customFormat="1" ht="151.5" customHeight="1" x14ac:dyDescent="0.25">
      <c r="A117" s="311"/>
      <c r="B117" s="344"/>
      <c r="C117" s="339"/>
      <c r="D117" s="346"/>
      <c r="E117" s="325"/>
      <c r="F117" s="325"/>
      <c r="G117" s="325"/>
      <c r="H117" s="328"/>
      <c r="I117" s="325"/>
      <c r="J117" s="322"/>
      <c r="K117" s="314"/>
      <c r="L117" s="317"/>
      <c r="M117" s="334"/>
      <c r="N117" s="169"/>
      <c r="O117" s="314"/>
      <c r="P117" s="317"/>
      <c r="Q117" s="320"/>
      <c r="R117" s="159">
        <v>3</v>
      </c>
      <c r="S117" s="160" t="s">
        <v>363</v>
      </c>
      <c r="T117" s="161" t="str">
        <f t="shared" si="172"/>
        <v>Probabilidad</v>
      </c>
      <c r="U117" s="164" t="s">
        <v>14</v>
      </c>
      <c r="V117" s="164" t="s">
        <v>9</v>
      </c>
      <c r="W117" s="165" t="str">
        <f t="shared" si="173"/>
        <v>40%</v>
      </c>
      <c r="X117" s="164" t="s">
        <v>19</v>
      </c>
      <c r="Y117" s="164" t="s">
        <v>22</v>
      </c>
      <c r="Z117" s="164" t="s">
        <v>110</v>
      </c>
      <c r="AA117" s="143">
        <f>IFERROR(IF(T117="Probabilidad",(AA116-(+A116*W117)),IF(T117="Impacto",L117,"")),"")</f>
        <v>0.28799999999999998</v>
      </c>
      <c r="AB117" s="154" t="str">
        <f t="shared" si="175"/>
        <v>Baja</v>
      </c>
      <c r="AC117" s="155">
        <f t="shared" si="176"/>
        <v>0.28799999999999998</v>
      </c>
      <c r="AD117" s="154" t="str">
        <f t="shared" si="177"/>
        <v>Menor</v>
      </c>
      <c r="AE117" s="155">
        <v>0.4</v>
      </c>
      <c r="AF117" s="156" t="str">
        <f t="shared" si="179"/>
        <v>Moderado</v>
      </c>
      <c r="AG117" s="157" t="s">
        <v>122</v>
      </c>
      <c r="AH117" s="160" t="s">
        <v>516</v>
      </c>
      <c r="AI117" s="150" t="s">
        <v>203</v>
      </c>
      <c r="AJ117" s="151">
        <v>44564</v>
      </c>
      <c r="AK117" s="151" t="s">
        <v>373</v>
      </c>
      <c r="AL117" s="160" t="s">
        <v>413</v>
      </c>
      <c r="AM117" s="150"/>
      <c r="AN117" s="216" t="s">
        <v>730</v>
      </c>
      <c r="AO117" s="216" t="s">
        <v>854</v>
      </c>
      <c r="AP117" s="215">
        <v>0.33</v>
      </c>
      <c r="AQ117" s="216" t="s">
        <v>731</v>
      </c>
      <c r="AR117" s="216" t="s">
        <v>780</v>
      </c>
      <c r="AS117" s="215">
        <v>0.33</v>
      </c>
      <c r="AT117" s="137"/>
      <c r="AU117" s="137" t="s">
        <v>616</v>
      </c>
      <c r="AV117" s="137" t="s">
        <v>622</v>
      </c>
      <c r="AW117" s="137" t="s">
        <v>622</v>
      </c>
      <c r="AX117" s="137" t="s">
        <v>622</v>
      </c>
      <c r="AY117" s="137" t="s">
        <v>748</v>
      </c>
    </row>
    <row r="118" spans="1:51" s="149" customFormat="1" ht="151.5" customHeight="1" x14ac:dyDescent="0.25">
      <c r="A118" s="311">
        <v>39</v>
      </c>
      <c r="B118" s="308" t="s">
        <v>416</v>
      </c>
      <c r="C118" s="345" t="s">
        <v>417</v>
      </c>
      <c r="D118" s="338" t="s">
        <v>418</v>
      </c>
      <c r="E118" s="324" t="s">
        <v>120</v>
      </c>
      <c r="F118" s="340" t="s">
        <v>496</v>
      </c>
      <c r="G118" s="340" t="s">
        <v>419</v>
      </c>
      <c r="H118" s="327" t="s">
        <v>497</v>
      </c>
      <c r="I118" s="324" t="s">
        <v>328</v>
      </c>
      <c r="J118" s="321">
        <v>49</v>
      </c>
      <c r="K118" s="312" t="str">
        <f>IF(J118&lt;=0,"",IF(J118&lt;=2,"Muy Baja",IF(J118&lt;=24,"Baja",IF(J118&lt;=500,"Media",IF(J118&lt;=5000,"Alta","Muy Alta")))))</f>
        <v>Media</v>
      </c>
      <c r="L118" s="315">
        <f>IF(K118="","",IF(K118="Muy Baja",0.2,IF(K118="Baja",0.4,IF(K118="Media",0.6,IF(K118="Alta",0.8,IF(K118="Muy Alta",1,))))))</f>
        <v>0.6</v>
      </c>
      <c r="M118" s="333" t="s">
        <v>484</v>
      </c>
      <c r="N118" s="163" t="str">
        <f ca="1">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312" t="str">
        <f ca="1">IF(OR(N118='Tabla Impacto'!$C$11,N118='Tabla Impacto'!$D$11),"Leve",IF(OR(N118='Tabla Impacto'!$C$12,N118='Tabla Impacto'!$D$12),"Menor",IF(OR(N118='Tabla Impacto'!$C$13,N118='Tabla Impacto'!$D$13),"Moderado",IF(OR(N118='Tabla Impacto'!$C$14,N118='Tabla Impacto'!$D$14),"Mayor",IF(OR(N118='Tabla Impacto'!$C$15,N118='Tabla Impacto'!$D$15),"Catastrófico","")))))</f>
        <v>Moderado</v>
      </c>
      <c r="P118" s="315">
        <f ca="1">IF(O118="","",IF(O118="Leve",0.2,IF(O118="Menor",0.4,IF(O118="Moderado",0.6,IF(O118="Mayor",0.8,IF(O118="Catastrófico",1,))))))</f>
        <v>0.6</v>
      </c>
      <c r="Q118" s="318" t="str">
        <f ca="1">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59">
        <v>1</v>
      </c>
      <c r="S118" s="171" t="s">
        <v>498</v>
      </c>
      <c r="T118" s="161" t="str">
        <f t="shared" si="172"/>
        <v>Probabilidad</v>
      </c>
      <c r="U118" s="164" t="s">
        <v>14</v>
      </c>
      <c r="V118" s="164" t="s">
        <v>9</v>
      </c>
      <c r="W118" s="165" t="str">
        <f t="shared" si="173"/>
        <v>40%</v>
      </c>
      <c r="X118" s="164" t="s">
        <v>19</v>
      </c>
      <c r="Y118" s="164" t="s">
        <v>22</v>
      </c>
      <c r="Z118" s="164" t="s">
        <v>110</v>
      </c>
      <c r="AA118" s="143">
        <f t="shared" si="174"/>
        <v>0.36</v>
      </c>
      <c r="AB118" s="154" t="str">
        <f t="shared" si="175"/>
        <v>Baja</v>
      </c>
      <c r="AC118" s="155">
        <f t="shared" si="176"/>
        <v>0.36</v>
      </c>
      <c r="AD118" s="154" t="str">
        <f t="shared" ca="1" si="177"/>
        <v>Moderado</v>
      </c>
      <c r="AE118" s="155">
        <f t="shared" ca="1" si="178"/>
        <v>0.6</v>
      </c>
      <c r="AF118" s="156" t="str">
        <f t="shared" ca="1" si="179"/>
        <v>Moderado</v>
      </c>
      <c r="AG118" s="157" t="s">
        <v>122</v>
      </c>
      <c r="AH118" s="172" t="s">
        <v>421</v>
      </c>
      <c r="AI118" s="152" t="s">
        <v>420</v>
      </c>
      <c r="AJ118" s="151" t="s">
        <v>196</v>
      </c>
      <c r="AK118" s="151" t="s">
        <v>422</v>
      </c>
      <c r="AL118" s="158" t="s">
        <v>547</v>
      </c>
      <c r="AM118" s="150"/>
      <c r="AN118" s="216" t="s">
        <v>679</v>
      </c>
      <c r="AO118" s="216" t="s">
        <v>781</v>
      </c>
      <c r="AP118" s="215">
        <v>0.33</v>
      </c>
      <c r="AQ118" s="216" t="s">
        <v>680</v>
      </c>
      <c r="AR118" s="216" t="s">
        <v>782</v>
      </c>
      <c r="AS118" s="215">
        <v>0.33</v>
      </c>
      <c r="AT118" s="137"/>
      <c r="AU118" s="137" t="s">
        <v>616</v>
      </c>
      <c r="AV118" s="137" t="s">
        <v>622</v>
      </c>
      <c r="AW118" s="137" t="s">
        <v>622</v>
      </c>
      <c r="AX118" s="137" t="s">
        <v>622</v>
      </c>
      <c r="AY118" s="137"/>
    </row>
    <row r="119" spans="1:51" s="149" customFormat="1" ht="151.5" customHeight="1" x14ac:dyDescent="0.25">
      <c r="A119" s="311"/>
      <c r="B119" s="309"/>
      <c r="C119" s="346"/>
      <c r="D119" s="346"/>
      <c r="E119" s="325"/>
      <c r="F119" s="325"/>
      <c r="G119" s="325"/>
      <c r="H119" s="328"/>
      <c r="I119" s="325"/>
      <c r="J119" s="322"/>
      <c r="K119" s="313"/>
      <c r="L119" s="316"/>
      <c r="M119" s="334"/>
      <c r="N119" s="169"/>
      <c r="O119" s="313"/>
      <c r="P119" s="316"/>
      <c r="Q119" s="319"/>
      <c r="R119" s="159">
        <v>2</v>
      </c>
      <c r="S119" s="173" t="s">
        <v>521</v>
      </c>
      <c r="T119" s="161" t="str">
        <f t="shared" si="172"/>
        <v>Probabilidad</v>
      </c>
      <c r="U119" s="164" t="s">
        <v>15</v>
      </c>
      <c r="V119" s="164" t="s">
        <v>9</v>
      </c>
      <c r="W119" s="165" t="str">
        <f t="shared" si="173"/>
        <v>30%</v>
      </c>
      <c r="X119" s="164" t="s">
        <v>19</v>
      </c>
      <c r="Y119" s="164" t="s">
        <v>23</v>
      </c>
      <c r="Z119" s="164" t="s">
        <v>110</v>
      </c>
      <c r="AA119" s="143">
        <f>IFERROR(IF(T119="Probabilidad",(AA118-(+AA118*W119)),IF(T119="Impacto",L119,"")),"")</f>
        <v>0.252</v>
      </c>
      <c r="AB119" s="154" t="str">
        <f t="shared" si="175"/>
        <v>Baja</v>
      </c>
      <c r="AC119" s="155">
        <f t="shared" si="176"/>
        <v>0.252</v>
      </c>
      <c r="AD119" s="154" t="str">
        <f t="shared" si="177"/>
        <v>Leve</v>
      </c>
      <c r="AE119" s="155">
        <f t="shared" si="178"/>
        <v>0</v>
      </c>
      <c r="AF119" s="156" t="str">
        <f t="shared" si="179"/>
        <v>Bajo</v>
      </c>
      <c r="AG119" s="157" t="s">
        <v>122</v>
      </c>
      <c r="AH119" s="202" t="s">
        <v>499</v>
      </c>
      <c r="AI119" s="174" t="s">
        <v>203</v>
      </c>
      <c r="AJ119" s="151" t="s">
        <v>196</v>
      </c>
      <c r="AK119" s="151" t="s">
        <v>196</v>
      </c>
      <c r="AL119" s="172" t="s">
        <v>423</v>
      </c>
      <c r="AM119" s="150"/>
      <c r="AN119" s="216" t="s">
        <v>681</v>
      </c>
      <c r="AO119" s="216" t="s">
        <v>783</v>
      </c>
      <c r="AP119" s="215">
        <v>0.33</v>
      </c>
      <c r="AQ119" s="216" t="s">
        <v>680</v>
      </c>
      <c r="AR119" s="216" t="s">
        <v>782</v>
      </c>
      <c r="AS119" s="215">
        <v>0.33</v>
      </c>
      <c r="AT119" s="137"/>
      <c r="AU119" s="137" t="s">
        <v>616</v>
      </c>
      <c r="AV119" s="137" t="s">
        <v>622</v>
      </c>
      <c r="AW119" s="137" t="s">
        <v>622</v>
      </c>
      <c r="AX119" s="137" t="s">
        <v>622</v>
      </c>
      <c r="AY119" s="137"/>
    </row>
    <row r="120" spans="1:51" s="149" customFormat="1" ht="151.5" hidden="1" customHeight="1" x14ac:dyDescent="0.25">
      <c r="A120" s="311"/>
      <c r="B120" s="310"/>
      <c r="C120" s="346"/>
      <c r="D120" s="346"/>
      <c r="E120" s="325"/>
      <c r="F120" s="325"/>
      <c r="G120" s="325"/>
      <c r="H120" s="328"/>
      <c r="I120" s="325"/>
      <c r="J120" s="322"/>
      <c r="K120" s="314"/>
      <c r="L120" s="317"/>
      <c r="M120" s="334"/>
      <c r="N120" s="169"/>
      <c r="O120" s="314"/>
      <c r="P120" s="317"/>
      <c r="Q120" s="320"/>
      <c r="R120" s="159">
        <v>3</v>
      </c>
      <c r="S120" s="160"/>
      <c r="T120" s="161" t="str">
        <f t="shared" si="172"/>
        <v/>
      </c>
      <c r="U120" s="164"/>
      <c r="V120" s="164"/>
      <c r="W120" s="165"/>
      <c r="X120" s="164"/>
      <c r="Y120" s="164"/>
      <c r="Z120" s="164"/>
      <c r="AA120" s="143"/>
      <c r="AB120" s="154"/>
      <c r="AC120" s="155"/>
      <c r="AD120" s="154"/>
      <c r="AE120" s="155"/>
      <c r="AF120" s="156"/>
      <c r="AG120" s="157"/>
      <c r="AH120" s="160"/>
      <c r="AI120" s="150"/>
      <c r="AJ120" s="151"/>
      <c r="AK120" s="151"/>
      <c r="AL120" s="160"/>
      <c r="AM120" s="150"/>
      <c r="AN120" s="216"/>
      <c r="AO120" s="216"/>
      <c r="AP120" s="215"/>
      <c r="AQ120" s="216"/>
      <c r="AR120" s="216"/>
      <c r="AS120" s="215"/>
      <c r="AT120" s="137"/>
      <c r="AU120" s="137" t="s">
        <v>616</v>
      </c>
      <c r="AV120" s="137" t="s">
        <v>622</v>
      </c>
      <c r="AW120" s="137" t="s">
        <v>622</v>
      </c>
      <c r="AX120" s="137" t="s">
        <v>622</v>
      </c>
      <c r="AY120" s="137"/>
    </row>
    <row r="121" spans="1:51" s="149" customFormat="1" ht="151.5" customHeight="1" x14ac:dyDescent="0.25">
      <c r="A121" s="311">
        <v>40</v>
      </c>
      <c r="B121" s="308" t="s">
        <v>416</v>
      </c>
      <c r="C121" s="345" t="s">
        <v>417</v>
      </c>
      <c r="D121" s="338" t="s">
        <v>418</v>
      </c>
      <c r="E121" s="324" t="s">
        <v>120</v>
      </c>
      <c r="F121" s="340" t="s">
        <v>500</v>
      </c>
      <c r="G121" s="340" t="s">
        <v>501</v>
      </c>
      <c r="H121" s="327" t="s">
        <v>502</v>
      </c>
      <c r="I121" s="324" t="s">
        <v>328</v>
      </c>
      <c r="J121" s="321">
        <v>60</v>
      </c>
      <c r="K121" s="312" t="str">
        <f>IF(J121&lt;=0,"",IF(J121&lt;=2,"Muy Baja",IF(J121&lt;=24,"Baja",IF(J121&lt;=500,"Media",IF(J121&lt;=5000,"Alta","Muy Alta")))))</f>
        <v>Media</v>
      </c>
      <c r="L121" s="315">
        <f>IF(K121="","",IF(K121="Muy Baja",0.2,IF(K121="Baja",0.4,IF(K121="Media",0.6,IF(K121="Alta",0.8,IF(K121="Muy Alta",1,))))))</f>
        <v>0.6</v>
      </c>
      <c r="M121" s="333" t="s">
        <v>484</v>
      </c>
      <c r="N121" s="163" t="str">
        <f ca="1">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312" t="str">
        <f ca="1">IF(OR(N121='Tabla Impacto'!$C$11,N121='Tabla Impacto'!$D$11),"Leve",IF(OR(N121='Tabla Impacto'!$C$12,N121='Tabla Impacto'!$D$12),"Menor",IF(OR(N121='Tabla Impacto'!$C$13,N121='Tabla Impacto'!$D$13),"Moderado",IF(OR(N121='Tabla Impacto'!$C$14,N121='Tabla Impacto'!$D$14),"Mayor",IF(OR(N121='Tabla Impacto'!$C$15,N121='Tabla Impacto'!$D$15),"Catastrófico","")))))</f>
        <v>Moderado</v>
      </c>
      <c r="P121" s="315">
        <f ca="1">IF(O121="","",IF(O121="Leve",0.2,IF(O121="Menor",0.4,IF(O121="Moderado",0.6,IF(O121="Mayor",0.8,IF(O121="Catastrófico",1,))))))</f>
        <v>0.6</v>
      </c>
      <c r="Q121" s="318" t="str">
        <f ca="1">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59">
        <v>1</v>
      </c>
      <c r="S121" s="160" t="s">
        <v>510</v>
      </c>
      <c r="T121" s="161" t="str">
        <f t="shared" ref="T121:T150" si="180">IF(OR(U121="Preventivo",U121="Detectivo"),"Probabilidad",IF(U121="Correctivo","Impacto",""))</f>
        <v>Probabilidad</v>
      </c>
      <c r="U121" s="164" t="s">
        <v>15</v>
      </c>
      <c r="V121" s="164" t="s">
        <v>9</v>
      </c>
      <c r="W121" s="165" t="str">
        <f t="shared" ref="W121:W150" si="181">IF(AND(U121="Preventivo",V121="Automático"),"50%",IF(AND(U121="Preventivo",V121="Manual"),"40%",IF(AND(U121="Detectivo",V121="Automático"),"40%",IF(AND(U121="Detectivo",V121="Manual"),"30%",IF(AND(U121="Correctivo",V121="Automático"),"35%",IF(AND(U121="Correctivo",V121="Manual"),"25%",""))))))</f>
        <v>30%</v>
      </c>
      <c r="X121" s="164" t="s">
        <v>20</v>
      </c>
      <c r="Y121" s="164" t="s">
        <v>23</v>
      </c>
      <c r="Z121" s="164" t="s">
        <v>111</v>
      </c>
      <c r="AA121" s="143">
        <f t="shared" ref="AA121:AA150" si="182">IFERROR(IF(T121="Probabilidad",(L121-(+L121*W121)),IF(T121="Impacto",L121,"")),"")</f>
        <v>0.42</v>
      </c>
      <c r="AB121" s="154" t="str">
        <f t="shared" ref="AB121:AB150" si="183">IFERROR(IF(AA121="","",IF(AA121&lt;=0.2,"Muy Baja",IF(AA121&lt;=0.4,"Baja",IF(AA121&lt;=0.6,"Media",IF(AA121&lt;=0.8,"Alta","Muy Alta"))))),"")</f>
        <v>Media</v>
      </c>
      <c r="AC121" s="155">
        <f t="shared" ref="AC121:AC150" si="184">+AA121</f>
        <v>0.42</v>
      </c>
      <c r="AD121" s="154" t="str">
        <f t="shared" ref="AD121:AD150" ca="1" si="185">IFERROR(IF(AE121="","",IF(AE121&lt;=0.2,"Leve",IF(AE121&lt;=0.4,"Menor",IF(AE121&lt;=0.6,"Moderado",IF(AE121&lt;=0.8,"Mayor","Catastrófico"))))),"")</f>
        <v>Moderado</v>
      </c>
      <c r="AE121" s="155">
        <f t="shared" ref="AE121:AE150" ca="1" si="186">IFERROR(IF(T121="Impacto",(P121-(+P121*W121)),IF(T121="Probabilidad",P121,"")),"")</f>
        <v>0.6</v>
      </c>
      <c r="AF121" s="156" t="str">
        <f t="shared" ref="AF121:AF150" ca="1" si="187">IFERROR(IF(OR(AND(AB121="Muy Baja",AD121="Leve"),AND(AB121="Muy Baja",AD121="Menor"),AND(AB121="Baja",AD121="Leve")),"Bajo",IF(OR(AND(AB121="Muy baja",AD121="Moderado"),AND(AB121="Baja",AD121="Menor"),AND(AB121="Baja",AD121="Moderado"),AND(AB121="Media",AD121="Leve"),AND(AB121="Media",AD121="Menor"),AND(AB121="Media",AD121="Moderado"),AND(AB121="Alta",AD121="Leve"),AND(AB121="Alta",AD121="Menor")),"Moderado",IF(OR(AND(AB121="Muy Baja",AD121="Mayor"),AND(AB121="Baja",AD121="Mayor"),AND(AB121="Media",AD121="Mayor"),AND(AB121="Alta",AD121="Moderado"),AND(AB121="Alta",AD121="Mayor"),AND(AB121="Muy Alta",AD121="Leve"),AND(AB121="Muy Alta",AD121="Menor"),AND(AB121="Muy Alta",AD121="Moderado"),AND(AB121="Muy Alta",AD121="Mayor")),"Alto",IF(OR(AND(AB121="Muy Baja",AD121="Catastrófico"),AND(AB121="Baja",AD121="Catastrófico"),AND(AB121="Media",AD121="Catastrófico"),AND(AB121="Alta",AD121="Catastrófico"),AND(AB121="Muy Alta",AD121="Catastrófico")),"Extremo","")))),"")</f>
        <v>Moderado</v>
      </c>
      <c r="AG121" s="157" t="s">
        <v>122</v>
      </c>
      <c r="AH121" s="160" t="s">
        <v>503</v>
      </c>
      <c r="AI121" s="150" t="s">
        <v>420</v>
      </c>
      <c r="AJ121" s="151" t="s">
        <v>196</v>
      </c>
      <c r="AK121" s="151" t="s">
        <v>196</v>
      </c>
      <c r="AL121" s="160" t="s">
        <v>424</v>
      </c>
      <c r="AM121" s="150"/>
      <c r="AN121" s="216" t="s">
        <v>682</v>
      </c>
      <c r="AO121" s="216" t="s">
        <v>784</v>
      </c>
      <c r="AP121" s="215">
        <v>0.33</v>
      </c>
      <c r="AQ121" s="216" t="s">
        <v>683</v>
      </c>
      <c r="AR121" s="216" t="s">
        <v>785</v>
      </c>
      <c r="AS121" s="215">
        <v>0.33</v>
      </c>
      <c r="AT121" s="137"/>
      <c r="AU121" s="137" t="s">
        <v>616</v>
      </c>
      <c r="AV121" s="137" t="s">
        <v>622</v>
      </c>
      <c r="AW121" s="137" t="s">
        <v>622</v>
      </c>
      <c r="AX121" s="137" t="s">
        <v>622</v>
      </c>
      <c r="AY121" s="137"/>
    </row>
    <row r="122" spans="1:51" s="149" customFormat="1" ht="151.5" customHeight="1" x14ac:dyDescent="0.25">
      <c r="A122" s="311"/>
      <c r="B122" s="309"/>
      <c r="C122" s="346"/>
      <c r="D122" s="346"/>
      <c r="E122" s="325"/>
      <c r="F122" s="325"/>
      <c r="G122" s="325"/>
      <c r="H122" s="328"/>
      <c r="I122" s="325"/>
      <c r="J122" s="322"/>
      <c r="K122" s="313"/>
      <c r="L122" s="316"/>
      <c r="M122" s="334"/>
      <c r="N122" s="169"/>
      <c r="O122" s="313"/>
      <c r="P122" s="316"/>
      <c r="Q122" s="319"/>
      <c r="R122" s="159">
        <v>2</v>
      </c>
      <c r="S122" s="160"/>
      <c r="T122" s="161" t="str">
        <f t="shared" si="180"/>
        <v/>
      </c>
      <c r="U122" s="164"/>
      <c r="V122" s="164"/>
      <c r="W122" s="165"/>
      <c r="X122" s="164"/>
      <c r="Y122" s="164"/>
      <c r="Z122" s="164"/>
      <c r="AA122" s="143" t="str">
        <f>IFERROR(IF(T122="Probabilidad",(AA121-(+AA121*W122)),IF(T122="Impacto",L122,"")),"")</f>
        <v/>
      </c>
      <c r="AB122" s="154" t="str">
        <f t="shared" si="183"/>
        <v/>
      </c>
      <c r="AC122" s="155" t="str">
        <f t="shared" si="184"/>
        <v/>
      </c>
      <c r="AD122" s="154" t="str">
        <f t="shared" si="185"/>
        <v/>
      </c>
      <c r="AE122" s="155" t="str">
        <f t="shared" si="186"/>
        <v/>
      </c>
      <c r="AF122" s="156" t="str">
        <f t="shared" si="187"/>
        <v/>
      </c>
      <c r="AG122" s="157"/>
      <c r="AH122" s="97" t="s">
        <v>549</v>
      </c>
      <c r="AI122" s="139" t="s">
        <v>522</v>
      </c>
      <c r="AJ122" s="137" t="s">
        <v>196</v>
      </c>
      <c r="AK122" s="137" t="s">
        <v>196</v>
      </c>
      <c r="AL122" s="97" t="s">
        <v>424</v>
      </c>
      <c r="AM122" s="150"/>
      <c r="AN122" s="216" t="s">
        <v>617</v>
      </c>
      <c r="AO122" s="216" t="s">
        <v>617</v>
      </c>
      <c r="AP122" s="215" t="s">
        <v>617</v>
      </c>
      <c r="AQ122" s="216" t="s">
        <v>684</v>
      </c>
      <c r="AR122" s="216" t="s">
        <v>786</v>
      </c>
      <c r="AS122" s="215">
        <v>0.33</v>
      </c>
      <c r="AT122" s="137"/>
      <c r="AU122" s="137" t="s">
        <v>616</v>
      </c>
      <c r="AV122" s="137" t="s">
        <v>622</v>
      </c>
      <c r="AW122" s="137" t="s">
        <v>622</v>
      </c>
      <c r="AX122" s="137" t="s">
        <v>622</v>
      </c>
      <c r="AY122" s="137"/>
    </row>
    <row r="123" spans="1:51" s="149" customFormat="1" ht="151.5" hidden="1" customHeight="1" x14ac:dyDescent="0.25">
      <c r="A123" s="311"/>
      <c r="B123" s="310"/>
      <c r="C123" s="346"/>
      <c r="D123" s="346"/>
      <c r="E123" s="325"/>
      <c r="F123" s="325"/>
      <c r="G123" s="325"/>
      <c r="H123" s="328"/>
      <c r="I123" s="325"/>
      <c r="J123" s="322"/>
      <c r="K123" s="314"/>
      <c r="L123" s="317"/>
      <c r="M123" s="334"/>
      <c r="N123" s="169"/>
      <c r="O123" s="314"/>
      <c r="P123" s="317"/>
      <c r="Q123" s="320"/>
      <c r="R123" s="159">
        <v>3</v>
      </c>
      <c r="S123" s="160"/>
      <c r="T123" s="161" t="str">
        <f t="shared" si="180"/>
        <v/>
      </c>
      <c r="U123" s="164"/>
      <c r="V123" s="164"/>
      <c r="W123" s="165"/>
      <c r="X123" s="164"/>
      <c r="Y123" s="164"/>
      <c r="Z123" s="164"/>
      <c r="AA123" s="143" t="str">
        <f>IFERROR(IF(T123="Probabilidad",(AA122-(+AA122*W123)),IF(T123="Impacto",L123,"")),"")</f>
        <v/>
      </c>
      <c r="AB123" s="154" t="str">
        <f t="shared" si="183"/>
        <v/>
      </c>
      <c r="AC123" s="155" t="str">
        <f t="shared" si="184"/>
        <v/>
      </c>
      <c r="AD123" s="154" t="str">
        <f t="shared" si="185"/>
        <v/>
      </c>
      <c r="AE123" s="155" t="str">
        <f t="shared" si="186"/>
        <v/>
      </c>
      <c r="AF123" s="156" t="str">
        <f t="shared" si="187"/>
        <v/>
      </c>
      <c r="AG123" s="157"/>
      <c r="AH123" s="160"/>
      <c r="AI123" s="150"/>
      <c r="AJ123" s="151"/>
      <c r="AK123" s="151"/>
      <c r="AL123" s="160"/>
      <c r="AM123" s="150"/>
      <c r="AN123" s="216"/>
      <c r="AO123" s="216"/>
      <c r="AP123" s="137"/>
      <c r="AQ123" s="216"/>
      <c r="AR123" s="216"/>
      <c r="AS123" s="137"/>
      <c r="AT123" s="137"/>
      <c r="AU123" s="137" t="s">
        <v>616</v>
      </c>
      <c r="AV123" s="137" t="s">
        <v>622</v>
      </c>
      <c r="AW123" s="137" t="s">
        <v>622</v>
      </c>
      <c r="AX123" s="137" t="s">
        <v>622</v>
      </c>
      <c r="AY123" s="137"/>
    </row>
    <row r="124" spans="1:51" s="149" customFormat="1" ht="151.5" customHeight="1" x14ac:dyDescent="0.25">
      <c r="A124" s="311">
        <v>41</v>
      </c>
      <c r="B124" s="308" t="s">
        <v>416</v>
      </c>
      <c r="C124" s="345" t="s">
        <v>417</v>
      </c>
      <c r="D124" s="338" t="s">
        <v>418</v>
      </c>
      <c r="E124" s="324" t="s">
        <v>120</v>
      </c>
      <c r="F124" s="340" t="s">
        <v>425</v>
      </c>
      <c r="G124" s="324" t="s">
        <v>493</v>
      </c>
      <c r="H124" s="347" t="s">
        <v>494</v>
      </c>
      <c r="I124" s="324" t="s">
        <v>116</v>
      </c>
      <c r="J124" s="321">
        <v>13</v>
      </c>
      <c r="K124" s="312" t="str">
        <f>IF(J124&lt;=0,"",IF(J124&lt;=2,"Muy Baja",IF(J124&lt;=24,"Baja",IF(J124&lt;=500,"Media",IF(J124&lt;=5000,"Alta","Muy Alta")))))</f>
        <v>Baja</v>
      </c>
      <c r="L124" s="315">
        <f>IF(K124="","",IF(K124="Muy Baja",0.2,IF(K124="Baja",0.4,IF(K124="Media",0.6,IF(K124="Alta",0.8,IF(K124="Muy Alta",1,))))))</f>
        <v>0.4</v>
      </c>
      <c r="M124" s="333" t="s">
        <v>484</v>
      </c>
      <c r="N124" s="163" t="str">
        <f ca="1">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312" t="str">
        <f ca="1">IF(OR(N124='Tabla Impacto'!$C$11,N124='Tabla Impacto'!$D$11),"Leve",IF(OR(N124='Tabla Impacto'!$C$12,N124='Tabla Impacto'!$D$12),"Menor",IF(OR(N124='Tabla Impacto'!$C$13,N124='Tabla Impacto'!$D$13),"Moderado",IF(OR(N124='Tabla Impacto'!$C$14,N124='Tabla Impacto'!$D$14),"Mayor",IF(OR(N124='Tabla Impacto'!$C$15,N124='Tabla Impacto'!$D$15),"Catastrófico","")))))</f>
        <v>Moderado</v>
      </c>
      <c r="P124" s="315">
        <f ca="1">IF(O124="","",IF(O124="Leve",0.2,IF(O124="Menor",0.4,IF(O124="Moderado",0.6,IF(O124="Mayor",0.8,IF(O124="Catastrófico",1,))))))</f>
        <v>0.6</v>
      </c>
      <c r="Q124" s="318" t="str">
        <f ca="1">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59">
        <v>1</v>
      </c>
      <c r="S124" s="175" t="s">
        <v>504</v>
      </c>
      <c r="T124" s="161" t="str">
        <f t="shared" si="180"/>
        <v>Probabilidad</v>
      </c>
      <c r="U124" s="164" t="s">
        <v>15</v>
      </c>
      <c r="V124" s="164" t="s">
        <v>9</v>
      </c>
      <c r="W124" s="165" t="str">
        <f t="shared" si="181"/>
        <v>30%</v>
      </c>
      <c r="X124" s="164" t="s">
        <v>20</v>
      </c>
      <c r="Y124" s="164" t="s">
        <v>22</v>
      </c>
      <c r="Z124" s="164" t="s">
        <v>110</v>
      </c>
      <c r="AA124" s="143">
        <f t="shared" si="182"/>
        <v>0.28000000000000003</v>
      </c>
      <c r="AB124" s="154" t="str">
        <f t="shared" si="183"/>
        <v>Baja</v>
      </c>
      <c r="AC124" s="155">
        <f t="shared" si="184"/>
        <v>0.28000000000000003</v>
      </c>
      <c r="AD124" s="154" t="str">
        <f t="shared" ca="1" si="185"/>
        <v>Moderado</v>
      </c>
      <c r="AE124" s="155">
        <f t="shared" ca="1" si="186"/>
        <v>0.6</v>
      </c>
      <c r="AF124" s="156" t="str">
        <f t="shared" ca="1" si="187"/>
        <v>Moderado</v>
      </c>
      <c r="AG124" s="157" t="s">
        <v>122</v>
      </c>
      <c r="AH124" s="160" t="s">
        <v>505</v>
      </c>
      <c r="AI124" s="150" t="s">
        <v>212</v>
      </c>
      <c r="AJ124" s="151" t="s">
        <v>196</v>
      </c>
      <c r="AK124" s="151" t="s">
        <v>196</v>
      </c>
      <c r="AL124" s="160" t="s">
        <v>426</v>
      </c>
      <c r="AM124" s="150"/>
      <c r="AN124" s="216" t="s">
        <v>685</v>
      </c>
      <c r="AO124" s="216" t="s">
        <v>787</v>
      </c>
      <c r="AP124" s="215">
        <v>0.33</v>
      </c>
      <c r="AQ124" s="216" t="s">
        <v>686</v>
      </c>
      <c r="AR124" s="216" t="s">
        <v>788</v>
      </c>
      <c r="AS124" s="215">
        <v>0.33</v>
      </c>
      <c r="AT124" s="137"/>
      <c r="AU124" s="137" t="s">
        <v>616</v>
      </c>
      <c r="AV124" s="137" t="s">
        <v>622</v>
      </c>
      <c r="AW124" s="137" t="s">
        <v>622</v>
      </c>
      <c r="AX124" s="137" t="s">
        <v>622</v>
      </c>
      <c r="AY124" s="137"/>
    </row>
    <row r="125" spans="1:51" s="149" customFormat="1" ht="151.5" hidden="1" customHeight="1" x14ac:dyDescent="0.25">
      <c r="A125" s="311"/>
      <c r="B125" s="309"/>
      <c r="C125" s="346"/>
      <c r="D125" s="346"/>
      <c r="E125" s="325"/>
      <c r="F125" s="325"/>
      <c r="G125" s="325"/>
      <c r="H125" s="328"/>
      <c r="I125" s="325"/>
      <c r="J125" s="322"/>
      <c r="K125" s="313"/>
      <c r="L125" s="316"/>
      <c r="M125" s="334"/>
      <c r="N125" s="169"/>
      <c r="O125" s="313"/>
      <c r="P125" s="316"/>
      <c r="Q125" s="319"/>
      <c r="R125" s="159">
        <v>2</v>
      </c>
      <c r="S125" s="160"/>
      <c r="T125" s="161" t="str">
        <f t="shared" si="180"/>
        <v/>
      </c>
      <c r="U125" s="164"/>
      <c r="V125" s="164"/>
      <c r="W125" s="165"/>
      <c r="X125" s="164"/>
      <c r="Y125" s="164"/>
      <c r="Z125" s="164"/>
      <c r="AA125" s="143" t="str">
        <f>IFERROR(IF(T125="Probabilidad",(AA124-(+AA124*W125)),IF(T125="Impacto",L125,"")),"")</f>
        <v/>
      </c>
      <c r="AB125" s="154" t="str">
        <f t="shared" si="183"/>
        <v/>
      </c>
      <c r="AC125" s="155" t="str">
        <f t="shared" si="184"/>
        <v/>
      </c>
      <c r="AD125" s="154" t="str">
        <f t="shared" si="185"/>
        <v/>
      </c>
      <c r="AE125" s="155" t="str">
        <f t="shared" si="186"/>
        <v/>
      </c>
      <c r="AF125" s="156" t="str">
        <f t="shared" si="187"/>
        <v/>
      </c>
      <c r="AG125" s="157"/>
      <c r="AH125" s="160"/>
      <c r="AI125" s="150"/>
      <c r="AJ125" s="151"/>
      <c r="AK125" s="151"/>
      <c r="AL125" s="160"/>
      <c r="AM125" s="150"/>
      <c r="AN125" s="216"/>
      <c r="AO125" s="216"/>
      <c r="AP125" s="215"/>
      <c r="AQ125" s="216"/>
      <c r="AR125" s="216"/>
      <c r="AS125" s="215"/>
      <c r="AT125" s="137"/>
      <c r="AU125" s="137" t="s">
        <v>616</v>
      </c>
      <c r="AV125" s="137" t="s">
        <v>622</v>
      </c>
      <c r="AW125" s="137" t="s">
        <v>622</v>
      </c>
      <c r="AX125" s="137" t="s">
        <v>622</v>
      </c>
      <c r="AY125" s="137"/>
    </row>
    <row r="126" spans="1:51" s="149" customFormat="1" ht="151.5" hidden="1" customHeight="1" x14ac:dyDescent="0.25">
      <c r="A126" s="311"/>
      <c r="B126" s="310"/>
      <c r="C126" s="346"/>
      <c r="D126" s="346"/>
      <c r="E126" s="325"/>
      <c r="F126" s="325"/>
      <c r="G126" s="325"/>
      <c r="H126" s="328"/>
      <c r="I126" s="325"/>
      <c r="J126" s="322"/>
      <c r="K126" s="314"/>
      <c r="L126" s="317"/>
      <c r="M126" s="334"/>
      <c r="N126" s="169"/>
      <c r="O126" s="314"/>
      <c r="P126" s="317"/>
      <c r="Q126" s="320"/>
      <c r="R126" s="159">
        <v>3</v>
      </c>
      <c r="S126" s="160"/>
      <c r="T126" s="161" t="str">
        <f t="shared" si="180"/>
        <v/>
      </c>
      <c r="U126" s="164"/>
      <c r="V126" s="164"/>
      <c r="W126" s="165"/>
      <c r="X126" s="164"/>
      <c r="Y126" s="164"/>
      <c r="Z126" s="164"/>
      <c r="AA126" s="143" t="str">
        <f>IFERROR(IF(T126="Probabilidad",(AA125-(+AA125*W126)),IF(T126="Impacto",L126,"")),"")</f>
        <v/>
      </c>
      <c r="AB126" s="154" t="str">
        <f t="shared" si="183"/>
        <v/>
      </c>
      <c r="AC126" s="155" t="str">
        <f t="shared" si="184"/>
        <v/>
      </c>
      <c r="AD126" s="154" t="str">
        <f t="shared" si="185"/>
        <v/>
      </c>
      <c r="AE126" s="155" t="str">
        <f t="shared" si="186"/>
        <v/>
      </c>
      <c r="AF126" s="156" t="str">
        <f t="shared" si="187"/>
        <v/>
      </c>
      <c r="AG126" s="157"/>
      <c r="AH126" s="160"/>
      <c r="AI126" s="150"/>
      <c r="AJ126" s="151"/>
      <c r="AK126" s="151"/>
      <c r="AL126" s="160"/>
      <c r="AM126" s="150"/>
      <c r="AN126" s="216"/>
      <c r="AO126" s="216"/>
      <c r="AP126" s="215"/>
      <c r="AQ126" s="216"/>
      <c r="AR126" s="216"/>
      <c r="AS126" s="215"/>
      <c r="AT126" s="137"/>
      <c r="AU126" s="137" t="s">
        <v>616</v>
      </c>
      <c r="AV126" s="137" t="s">
        <v>622</v>
      </c>
      <c r="AW126" s="137" t="s">
        <v>622</v>
      </c>
      <c r="AX126" s="137" t="s">
        <v>622</v>
      </c>
      <c r="AY126" s="137"/>
    </row>
    <row r="127" spans="1:51" s="149" customFormat="1" ht="253.5" customHeight="1" x14ac:dyDescent="0.25">
      <c r="A127" s="311">
        <v>42</v>
      </c>
      <c r="B127" s="308" t="s">
        <v>318</v>
      </c>
      <c r="C127" s="338" t="s">
        <v>319</v>
      </c>
      <c r="D127" s="338" t="s">
        <v>320</v>
      </c>
      <c r="E127" s="324" t="s">
        <v>120</v>
      </c>
      <c r="F127" s="340" t="s">
        <v>472</v>
      </c>
      <c r="G127" s="324" t="s">
        <v>427</v>
      </c>
      <c r="H127" s="327" t="s">
        <v>428</v>
      </c>
      <c r="I127" s="324" t="s">
        <v>115</v>
      </c>
      <c r="J127" s="321">
        <v>53</v>
      </c>
      <c r="K127" s="312" t="str">
        <f>IF(J127&lt;=0,"",IF(J127&lt;=2,"Muy Baja",IF(J127&lt;=24,"Baja",IF(J127&lt;=500,"Media",IF(J127&lt;=5000,"Alta","Muy Alta")))))</f>
        <v>Media</v>
      </c>
      <c r="L127" s="315">
        <f>IF(K127="","",IF(K127="Muy Baja",0.2,IF(K127="Baja",0.4,IF(K127="Media",0.6,IF(K127="Alta",0.8,IF(K127="Muy Alta",1,))))))</f>
        <v>0.6</v>
      </c>
      <c r="M127" s="333" t="s">
        <v>491</v>
      </c>
      <c r="N127" s="163" t="str">
        <f ca="1">IF(NOT(ISERROR(MATCH(M127,'Tabla Impacto'!$B$221:$B$223,0))),'Tabla Impacto'!$F$223&amp;"Por favor no seleccionar los criterios de impacto(Afectación Económica o presupuestal y Pérdida Reputacional)",M127)</f>
        <v xml:space="preserve"> El riesgo afecta la imagen de la entidad con efecto publicitario sostenido a nivel de sector administrativo, nivel departamental o municipal</v>
      </c>
      <c r="O127" s="312" t="str">
        <f ca="1">IF(OR(N127='Tabla Impacto'!$C$11,N127='Tabla Impacto'!$D$11),"Leve",IF(OR(N127='Tabla Impacto'!$C$12,N127='Tabla Impacto'!$D$12),"Menor",IF(OR(N127='Tabla Impacto'!$C$13,N127='Tabla Impacto'!$D$13),"Moderado",IF(OR(N127='Tabla Impacto'!$C$14,N127='Tabla Impacto'!$D$14),"Mayor",IF(OR(N127='Tabla Impacto'!$C$15,N127='Tabla Impacto'!$D$15),"Catastrófico","")))))</f>
        <v>Mayor</v>
      </c>
      <c r="P127" s="315">
        <f ca="1">IF(O127="","",IF(O127="Leve",0.2,IF(O127="Menor",0.4,IF(O127="Moderado",0.6,IF(O127="Mayor",0.8,IF(O127="Catastrófico",1,))))))</f>
        <v>0.8</v>
      </c>
      <c r="Q127" s="318" t="str">
        <f ca="1">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Alto</v>
      </c>
      <c r="R127" s="159">
        <v>1</v>
      </c>
      <c r="S127" s="160" t="s">
        <v>473</v>
      </c>
      <c r="T127" s="161" t="str">
        <f t="shared" si="180"/>
        <v>Probabilidad</v>
      </c>
      <c r="U127" s="164" t="s">
        <v>15</v>
      </c>
      <c r="V127" s="164" t="s">
        <v>9</v>
      </c>
      <c r="W127" s="165" t="str">
        <f t="shared" si="181"/>
        <v>30%</v>
      </c>
      <c r="X127" s="164" t="s">
        <v>19</v>
      </c>
      <c r="Y127" s="164" t="s">
        <v>22</v>
      </c>
      <c r="Z127" s="164" t="s">
        <v>110</v>
      </c>
      <c r="AA127" s="143">
        <f t="shared" si="182"/>
        <v>0.42</v>
      </c>
      <c r="AB127" s="154" t="str">
        <f t="shared" si="183"/>
        <v>Media</v>
      </c>
      <c r="AC127" s="155">
        <f t="shared" si="184"/>
        <v>0.42</v>
      </c>
      <c r="AD127" s="154" t="str">
        <f t="shared" ca="1" si="185"/>
        <v>Mayor</v>
      </c>
      <c r="AE127" s="155">
        <f t="shared" ca="1" si="186"/>
        <v>0.8</v>
      </c>
      <c r="AF127" s="156" t="str">
        <f t="shared" ca="1" si="187"/>
        <v>Alto</v>
      </c>
      <c r="AG127" s="157" t="s">
        <v>122</v>
      </c>
      <c r="AH127" s="160" t="s">
        <v>475</v>
      </c>
      <c r="AI127" s="152" t="s">
        <v>260</v>
      </c>
      <c r="AJ127" s="151">
        <v>44562</v>
      </c>
      <c r="AK127" s="151" t="s">
        <v>373</v>
      </c>
      <c r="AL127" s="160" t="s">
        <v>474</v>
      </c>
      <c r="AM127" s="150"/>
      <c r="AN127" s="216" t="s">
        <v>735</v>
      </c>
      <c r="AO127" s="216" t="s">
        <v>691</v>
      </c>
      <c r="AP127" s="215">
        <v>0.33</v>
      </c>
      <c r="AQ127" s="216" t="s">
        <v>687</v>
      </c>
      <c r="AR127" s="216" t="s">
        <v>688</v>
      </c>
      <c r="AS127" s="215">
        <v>0.33</v>
      </c>
      <c r="AT127" s="137"/>
      <c r="AU127" s="137" t="s">
        <v>616</v>
      </c>
      <c r="AV127" s="137" t="s">
        <v>622</v>
      </c>
      <c r="AW127" s="137" t="s">
        <v>622</v>
      </c>
      <c r="AX127" s="137" t="s">
        <v>622</v>
      </c>
      <c r="AY127" s="137" t="s">
        <v>748</v>
      </c>
    </row>
    <row r="128" spans="1:51" s="149" customFormat="1" ht="244.5" customHeight="1" x14ac:dyDescent="0.25">
      <c r="A128" s="311"/>
      <c r="B128" s="309"/>
      <c r="C128" s="339"/>
      <c r="D128" s="339"/>
      <c r="E128" s="325"/>
      <c r="F128" s="325"/>
      <c r="G128" s="325"/>
      <c r="H128" s="328"/>
      <c r="I128" s="325"/>
      <c r="J128" s="322"/>
      <c r="K128" s="313"/>
      <c r="L128" s="316"/>
      <c r="M128" s="334"/>
      <c r="N128" s="169"/>
      <c r="O128" s="313"/>
      <c r="P128" s="316"/>
      <c r="Q128" s="319"/>
      <c r="R128" s="159">
        <v>2</v>
      </c>
      <c r="S128" s="160" t="s">
        <v>506</v>
      </c>
      <c r="T128" s="161" t="str">
        <f t="shared" si="180"/>
        <v>Probabilidad</v>
      </c>
      <c r="U128" s="164" t="s">
        <v>14</v>
      </c>
      <c r="V128" s="164" t="s">
        <v>9</v>
      </c>
      <c r="W128" s="165" t="str">
        <f t="shared" si="181"/>
        <v>40%</v>
      </c>
      <c r="X128" s="164" t="s">
        <v>19</v>
      </c>
      <c r="Y128" s="164" t="s">
        <v>22</v>
      </c>
      <c r="Z128" s="164" t="s">
        <v>110</v>
      </c>
      <c r="AA128" s="143">
        <f>IFERROR(IF(T128="Probabilidad",(AA127-(+AA127*W128)),IF(T128="Impacto",L128,"")),"")</f>
        <v>0.252</v>
      </c>
      <c r="AB128" s="154" t="str">
        <f t="shared" si="183"/>
        <v>Baja</v>
      </c>
      <c r="AC128" s="155">
        <f t="shared" si="184"/>
        <v>0.252</v>
      </c>
      <c r="AD128" s="154" t="str">
        <f t="shared" si="185"/>
        <v>Mayor</v>
      </c>
      <c r="AE128" s="155">
        <v>0.8</v>
      </c>
      <c r="AF128" s="156" t="str">
        <f t="shared" si="187"/>
        <v>Alto</v>
      </c>
      <c r="AG128" s="157" t="s">
        <v>122</v>
      </c>
      <c r="AH128" s="160" t="s">
        <v>507</v>
      </c>
      <c r="AI128" s="150" t="s">
        <v>203</v>
      </c>
      <c r="AJ128" s="151">
        <v>44562</v>
      </c>
      <c r="AK128" s="151" t="s">
        <v>373</v>
      </c>
      <c r="AL128" s="160" t="s">
        <v>474</v>
      </c>
      <c r="AM128" s="150"/>
      <c r="AN128" s="216" t="s">
        <v>692</v>
      </c>
      <c r="AO128" s="216" t="s">
        <v>856</v>
      </c>
      <c r="AP128" s="215">
        <v>0.33</v>
      </c>
      <c r="AQ128" s="216" t="s">
        <v>857</v>
      </c>
      <c r="AR128" s="216" t="s">
        <v>732</v>
      </c>
      <c r="AS128" s="215">
        <v>0.33</v>
      </c>
      <c r="AT128" s="137"/>
      <c r="AU128" s="137" t="s">
        <v>616</v>
      </c>
      <c r="AV128" s="137" t="s">
        <v>622</v>
      </c>
      <c r="AW128" s="137" t="s">
        <v>622</v>
      </c>
      <c r="AX128" s="137" t="s">
        <v>622</v>
      </c>
      <c r="AY128" s="137" t="s">
        <v>748</v>
      </c>
    </row>
    <row r="129" spans="1:51" s="149" customFormat="1" ht="215.25" customHeight="1" x14ac:dyDescent="0.25">
      <c r="A129" s="311"/>
      <c r="B129" s="310"/>
      <c r="C129" s="339"/>
      <c r="D129" s="339"/>
      <c r="E129" s="325"/>
      <c r="F129" s="325"/>
      <c r="G129" s="325"/>
      <c r="H129" s="328"/>
      <c r="I129" s="325"/>
      <c r="J129" s="322"/>
      <c r="K129" s="314"/>
      <c r="L129" s="317"/>
      <c r="M129" s="334"/>
      <c r="N129" s="169"/>
      <c r="O129" s="314"/>
      <c r="P129" s="317"/>
      <c r="Q129" s="320"/>
      <c r="R129" s="159">
        <v>3</v>
      </c>
      <c r="S129" s="160" t="s">
        <v>323</v>
      </c>
      <c r="T129" s="161" t="str">
        <f t="shared" si="180"/>
        <v>Probabilidad</v>
      </c>
      <c r="U129" s="164" t="s">
        <v>14</v>
      </c>
      <c r="V129" s="164" t="s">
        <v>9</v>
      </c>
      <c r="W129" s="165" t="str">
        <f t="shared" si="181"/>
        <v>40%</v>
      </c>
      <c r="X129" s="164" t="s">
        <v>19</v>
      </c>
      <c r="Y129" s="164" t="s">
        <v>22</v>
      </c>
      <c r="Z129" s="164" t="s">
        <v>110</v>
      </c>
      <c r="AA129" s="143">
        <f>IFERROR(IF(T129="Probabilidad",(AA128-(+AA128*W129)),IF(T129="Impacto",L129,"")),"")</f>
        <v>0.1512</v>
      </c>
      <c r="AB129" s="154" t="str">
        <f t="shared" si="183"/>
        <v>Muy Baja</v>
      </c>
      <c r="AC129" s="155">
        <f t="shared" si="184"/>
        <v>0.1512</v>
      </c>
      <c r="AD129" s="154" t="str">
        <f t="shared" si="185"/>
        <v>Mayor</v>
      </c>
      <c r="AE129" s="155">
        <v>0.8</v>
      </c>
      <c r="AF129" s="156" t="str">
        <f t="shared" si="187"/>
        <v>Alto</v>
      </c>
      <c r="AG129" s="157" t="s">
        <v>122</v>
      </c>
      <c r="AH129" s="160" t="s">
        <v>507</v>
      </c>
      <c r="AI129" s="150" t="s">
        <v>203</v>
      </c>
      <c r="AJ129" s="151">
        <v>44562</v>
      </c>
      <c r="AK129" s="151" t="s">
        <v>373</v>
      </c>
      <c r="AL129" s="160" t="s">
        <v>474</v>
      </c>
      <c r="AM129" s="150"/>
      <c r="AN129" s="216" t="s">
        <v>733</v>
      </c>
      <c r="AO129" s="216" t="s">
        <v>734</v>
      </c>
      <c r="AP129" s="215">
        <v>0.33</v>
      </c>
      <c r="AQ129" s="216" t="s">
        <v>857</v>
      </c>
      <c r="AR129" s="216" t="s">
        <v>732</v>
      </c>
      <c r="AS129" s="215">
        <v>0.33</v>
      </c>
      <c r="AT129" s="137"/>
      <c r="AU129" s="137" t="s">
        <v>616</v>
      </c>
      <c r="AV129" s="137" t="s">
        <v>622</v>
      </c>
      <c r="AW129" s="137" t="s">
        <v>622</v>
      </c>
      <c r="AX129" s="137" t="s">
        <v>622</v>
      </c>
      <c r="AY129" s="137" t="s">
        <v>748</v>
      </c>
    </row>
    <row r="130" spans="1:51" s="149" customFormat="1" ht="151.5" customHeight="1" x14ac:dyDescent="0.25">
      <c r="A130" s="311">
        <v>43</v>
      </c>
      <c r="B130" s="308" t="s">
        <v>318</v>
      </c>
      <c r="C130" s="338" t="s">
        <v>319</v>
      </c>
      <c r="D130" s="338" t="s">
        <v>320</v>
      </c>
      <c r="E130" s="324" t="s">
        <v>120</v>
      </c>
      <c r="F130" s="340" t="s">
        <v>324</v>
      </c>
      <c r="G130" s="340" t="s">
        <v>430</v>
      </c>
      <c r="H130" s="327" t="s">
        <v>348</v>
      </c>
      <c r="I130" s="324" t="s">
        <v>328</v>
      </c>
      <c r="J130" s="321">
        <v>56</v>
      </c>
      <c r="K130" s="312" t="str">
        <f>IF(J130&lt;=0,"",IF(J130&lt;=2,"Muy Baja",IF(J130&lt;=24,"Baja",IF(J130&lt;=500,"Media",IF(J130&lt;=5000,"Alta","Muy Alta")))))</f>
        <v>Media</v>
      </c>
      <c r="L130" s="315">
        <f>IF(K130="","",IF(K130="Muy Baja",0.2,IF(K130="Baja",0.4,IF(K130="Media",0.6,IF(K130="Alta",0.8,IF(K130="Muy Alta",1,))))))</f>
        <v>0.6</v>
      </c>
      <c r="M130" s="333" t="s">
        <v>484</v>
      </c>
      <c r="N130" s="163" t="str">
        <f ca="1">IF(NOT(ISERROR(MATCH(M130,'Tabla Impacto'!$B$221:$B$223,0))),'Tabla Impacto'!$F$223&amp;"Por favor no seleccionar los criterios de impacto(Afectación Económica o presupuestal y Pérdida Reputacional)",M130)</f>
        <v xml:space="preserve"> El riesgo afecta la imagen de la entidad con algunos usuarios de relevancia frente al logro de los objetivos</v>
      </c>
      <c r="O130" s="312" t="str">
        <f ca="1">IF(OR(N130='Tabla Impacto'!$C$11,N130='Tabla Impacto'!$D$11),"Leve",IF(OR(N130='Tabla Impacto'!$C$12,N130='Tabla Impacto'!$D$12),"Menor",IF(OR(N130='Tabla Impacto'!$C$13,N130='Tabla Impacto'!$D$13),"Moderado",IF(OR(N130='Tabla Impacto'!$C$14,N130='Tabla Impacto'!$D$14),"Mayor",IF(OR(N130='Tabla Impacto'!$C$15,N130='Tabla Impacto'!$D$15),"Catastrófico","")))))</f>
        <v>Moderado</v>
      </c>
      <c r="P130" s="315">
        <f ca="1">IF(O130="","",IF(O130="Leve",0.2,IF(O130="Menor",0.4,IF(O130="Moderado",0.6,IF(O130="Mayor",0.8,IF(O130="Catastrófico",1,))))))</f>
        <v>0.6</v>
      </c>
      <c r="Q130" s="318" t="str">
        <f ca="1">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Moderado</v>
      </c>
      <c r="R130" s="159">
        <v>1</v>
      </c>
      <c r="S130" s="160" t="s">
        <v>321</v>
      </c>
      <c r="T130" s="161" t="str">
        <f t="shared" si="180"/>
        <v>Probabilidad</v>
      </c>
      <c r="U130" s="164" t="s">
        <v>15</v>
      </c>
      <c r="V130" s="164" t="s">
        <v>9</v>
      </c>
      <c r="W130" s="165" t="str">
        <f t="shared" si="181"/>
        <v>30%</v>
      </c>
      <c r="X130" s="164" t="s">
        <v>20</v>
      </c>
      <c r="Y130" s="164" t="s">
        <v>23</v>
      </c>
      <c r="Z130" s="164" t="s">
        <v>111</v>
      </c>
      <c r="AA130" s="143">
        <f t="shared" si="182"/>
        <v>0.42</v>
      </c>
      <c r="AB130" s="154" t="str">
        <f t="shared" si="183"/>
        <v>Media</v>
      </c>
      <c r="AC130" s="155">
        <f t="shared" si="184"/>
        <v>0.42</v>
      </c>
      <c r="AD130" s="154" t="str">
        <f t="shared" ca="1" si="185"/>
        <v>Moderado</v>
      </c>
      <c r="AE130" s="155">
        <f t="shared" ca="1" si="186"/>
        <v>0.6</v>
      </c>
      <c r="AF130" s="156" t="str">
        <f t="shared" ca="1" si="187"/>
        <v>Moderado</v>
      </c>
      <c r="AG130" s="157" t="s">
        <v>122</v>
      </c>
      <c r="AH130" s="160" t="s">
        <v>325</v>
      </c>
      <c r="AI130" s="152" t="s">
        <v>212</v>
      </c>
      <c r="AJ130" s="151">
        <v>44562</v>
      </c>
      <c r="AK130" s="151" t="s">
        <v>373</v>
      </c>
      <c r="AL130" s="160" t="s">
        <v>476</v>
      </c>
      <c r="AM130" s="150"/>
      <c r="AN130" s="216" t="s">
        <v>736</v>
      </c>
      <c r="AO130" s="216" t="s">
        <v>689</v>
      </c>
      <c r="AP130" s="215">
        <v>0.33</v>
      </c>
      <c r="AQ130" s="216" t="s">
        <v>737</v>
      </c>
      <c r="AR130" s="216" t="s">
        <v>743</v>
      </c>
      <c r="AS130" s="215">
        <v>0.33</v>
      </c>
      <c r="AT130" s="137"/>
      <c r="AU130" s="137" t="s">
        <v>616</v>
      </c>
      <c r="AV130" s="137" t="s">
        <v>622</v>
      </c>
      <c r="AW130" s="137" t="s">
        <v>622</v>
      </c>
      <c r="AX130" s="137" t="s">
        <v>622</v>
      </c>
      <c r="AY130" s="137" t="s">
        <v>748</v>
      </c>
    </row>
    <row r="131" spans="1:51" s="149" customFormat="1" ht="210" customHeight="1" x14ac:dyDescent="0.25">
      <c r="A131" s="311"/>
      <c r="B131" s="309"/>
      <c r="C131" s="339"/>
      <c r="D131" s="339"/>
      <c r="E131" s="325"/>
      <c r="F131" s="325"/>
      <c r="G131" s="325"/>
      <c r="H131" s="328"/>
      <c r="I131" s="325"/>
      <c r="J131" s="322"/>
      <c r="K131" s="313"/>
      <c r="L131" s="316"/>
      <c r="M131" s="334"/>
      <c r="N131" s="169"/>
      <c r="O131" s="313"/>
      <c r="P131" s="316"/>
      <c r="Q131" s="319"/>
      <c r="R131" s="159">
        <v>2</v>
      </c>
      <c r="S131" s="160" t="s">
        <v>322</v>
      </c>
      <c r="T131" s="161" t="str">
        <f t="shared" si="180"/>
        <v>Probabilidad</v>
      </c>
      <c r="U131" s="164" t="s">
        <v>15</v>
      </c>
      <c r="V131" s="164" t="s">
        <v>9</v>
      </c>
      <c r="W131" s="165" t="str">
        <f t="shared" si="181"/>
        <v>30%</v>
      </c>
      <c r="X131" s="164" t="s">
        <v>20</v>
      </c>
      <c r="Y131" s="164" t="s">
        <v>23</v>
      </c>
      <c r="Z131" s="164" t="s">
        <v>111</v>
      </c>
      <c r="AA131" s="143">
        <f>IFERROR(IF(T131="Probabilidad",(AA130-(+AA130*W131)),IF(T131="Impacto",L131,"")),"")</f>
        <v>0.29399999999999998</v>
      </c>
      <c r="AB131" s="154" t="str">
        <f t="shared" si="183"/>
        <v>Baja</v>
      </c>
      <c r="AC131" s="155">
        <f t="shared" si="184"/>
        <v>0.29399999999999998</v>
      </c>
      <c r="AD131" s="154" t="str">
        <f t="shared" si="185"/>
        <v>Moderado</v>
      </c>
      <c r="AE131" s="155">
        <v>0.6</v>
      </c>
      <c r="AF131" s="156" t="str">
        <f t="shared" si="187"/>
        <v>Moderado</v>
      </c>
      <c r="AG131" s="157" t="s">
        <v>122</v>
      </c>
      <c r="AH131" s="160" t="s">
        <v>507</v>
      </c>
      <c r="AI131" s="150" t="s">
        <v>203</v>
      </c>
      <c r="AJ131" s="151">
        <v>44562</v>
      </c>
      <c r="AK131" s="151" t="s">
        <v>373</v>
      </c>
      <c r="AL131" s="160" t="s">
        <v>476</v>
      </c>
      <c r="AM131" s="150"/>
      <c r="AN131" s="216" t="s">
        <v>735</v>
      </c>
      <c r="AO131" s="216" t="s">
        <v>691</v>
      </c>
      <c r="AP131" s="215">
        <v>0.33</v>
      </c>
      <c r="AQ131" s="216" t="s">
        <v>857</v>
      </c>
      <c r="AR131" s="216" t="s">
        <v>732</v>
      </c>
      <c r="AS131" s="215">
        <v>0.33</v>
      </c>
      <c r="AT131" s="137"/>
      <c r="AU131" s="137" t="s">
        <v>616</v>
      </c>
      <c r="AV131" s="137" t="s">
        <v>622</v>
      </c>
      <c r="AW131" s="137" t="s">
        <v>622</v>
      </c>
      <c r="AX131" s="137" t="s">
        <v>622</v>
      </c>
      <c r="AY131" s="137" t="s">
        <v>748</v>
      </c>
    </row>
    <row r="132" spans="1:51" s="149" customFormat="1" ht="251.25" customHeight="1" x14ac:dyDescent="0.25">
      <c r="A132" s="311"/>
      <c r="B132" s="310"/>
      <c r="C132" s="339"/>
      <c r="D132" s="339"/>
      <c r="E132" s="325"/>
      <c r="F132" s="325"/>
      <c r="G132" s="325"/>
      <c r="H132" s="328"/>
      <c r="I132" s="325"/>
      <c r="J132" s="322"/>
      <c r="K132" s="314"/>
      <c r="L132" s="317"/>
      <c r="M132" s="334"/>
      <c r="N132" s="169"/>
      <c r="O132" s="314"/>
      <c r="P132" s="317"/>
      <c r="Q132" s="320"/>
      <c r="R132" s="159">
        <v>3</v>
      </c>
      <c r="S132" s="160" t="s">
        <v>323</v>
      </c>
      <c r="T132" s="161" t="str">
        <f t="shared" si="180"/>
        <v>Probabilidad</v>
      </c>
      <c r="U132" s="164" t="s">
        <v>15</v>
      </c>
      <c r="V132" s="164" t="s">
        <v>9</v>
      </c>
      <c r="W132" s="165" t="str">
        <f t="shared" si="181"/>
        <v>30%</v>
      </c>
      <c r="X132" s="164" t="s">
        <v>20</v>
      </c>
      <c r="Y132" s="164" t="s">
        <v>23</v>
      </c>
      <c r="Z132" s="164" t="s">
        <v>111</v>
      </c>
      <c r="AA132" s="143">
        <f>IFERROR(IF(T132="Probabilidad",(AA131-(+AA131*W132)),IF(T132="Impacto",L132,"")),"")</f>
        <v>0.20579999999999998</v>
      </c>
      <c r="AB132" s="154" t="str">
        <f t="shared" si="183"/>
        <v>Baja</v>
      </c>
      <c r="AC132" s="155">
        <f t="shared" si="184"/>
        <v>0.20579999999999998</v>
      </c>
      <c r="AD132" s="154" t="str">
        <f t="shared" si="185"/>
        <v>Moderado</v>
      </c>
      <c r="AE132" s="155">
        <v>0.6</v>
      </c>
      <c r="AF132" s="156" t="str">
        <f t="shared" si="187"/>
        <v>Moderado</v>
      </c>
      <c r="AG132" s="157" t="s">
        <v>122</v>
      </c>
      <c r="AH132" s="160" t="s">
        <v>477</v>
      </c>
      <c r="AI132" s="150" t="s">
        <v>212</v>
      </c>
      <c r="AJ132" s="151">
        <v>44562</v>
      </c>
      <c r="AK132" s="151" t="s">
        <v>373</v>
      </c>
      <c r="AL132" s="160" t="s">
        <v>476</v>
      </c>
      <c r="AM132" s="150"/>
      <c r="AN132" s="216" t="s">
        <v>692</v>
      </c>
      <c r="AO132" s="216" t="s">
        <v>856</v>
      </c>
      <c r="AP132" s="215">
        <v>0.33</v>
      </c>
      <c r="AQ132" s="216" t="s">
        <v>738</v>
      </c>
      <c r="AR132" s="216" t="s">
        <v>742</v>
      </c>
      <c r="AS132" s="215">
        <v>0.33</v>
      </c>
      <c r="AT132" s="137"/>
      <c r="AU132" s="137" t="s">
        <v>616</v>
      </c>
      <c r="AV132" s="137" t="s">
        <v>622</v>
      </c>
      <c r="AW132" s="137" t="s">
        <v>622</v>
      </c>
      <c r="AX132" s="137" t="s">
        <v>622</v>
      </c>
      <c r="AY132" s="137" t="s">
        <v>748</v>
      </c>
    </row>
    <row r="133" spans="1:51" s="149" customFormat="1" ht="151.5" customHeight="1" x14ac:dyDescent="0.25">
      <c r="A133" s="311">
        <v>44</v>
      </c>
      <c r="B133" s="342" t="s">
        <v>318</v>
      </c>
      <c r="C133" s="338" t="s">
        <v>319</v>
      </c>
      <c r="D133" s="338" t="s">
        <v>320</v>
      </c>
      <c r="E133" s="324" t="s">
        <v>120</v>
      </c>
      <c r="F133" s="324" t="s">
        <v>429</v>
      </c>
      <c r="G133" s="324" t="s">
        <v>431</v>
      </c>
      <c r="H133" s="327" t="s">
        <v>546</v>
      </c>
      <c r="I133" s="324" t="s">
        <v>115</v>
      </c>
      <c r="J133" s="321">
        <v>56</v>
      </c>
      <c r="K133" s="312" t="str">
        <f>IF(J133&lt;=0,"",IF(J133&lt;=2,"Muy Baja",IF(J133&lt;=24,"Baja",IF(J133&lt;=500,"Media",IF(J133&lt;=5000,"Alta","Muy Alta")))))</f>
        <v>Media</v>
      </c>
      <c r="L133" s="315">
        <f>IF(K133="","",IF(K133="Muy Baja",0.2,IF(K133="Baja",0.4,IF(K133="Media",0.6,IF(K133="Alta",0.8,IF(K133="Muy Alta",1,))))))</f>
        <v>0.6</v>
      </c>
      <c r="M133" s="333" t="s">
        <v>491</v>
      </c>
      <c r="N133" s="163" t="str">
        <f ca="1">IF(NOT(ISERROR(MATCH(M133,'Tabla Impacto'!$B$221:$B$223,0))),'Tabla Impacto'!$F$223&amp;"Por favor no seleccionar los criterios de impacto(Afectación Económica o presupuestal y Pérdida Reputacional)",M133)</f>
        <v xml:space="preserve"> El riesgo afecta la imagen de la entidad con efecto publicitario sostenido a nivel de sector administrativo, nivel departamental o municipal</v>
      </c>
      <c r="O133" s="341" t="str">
        <f ca="1">IF(OR(N133='Tabla Impacto'!$C$11,N133='Tabla Impacto'!$D$11),"Leve",IF(OR(N133='Tabla Impacto'!$C$12,N133='Tabla Impacto'!$D$12),"Menor",IF(OR(N133='Tabla Impacto'!$C$13,N133='Tabla Impacto'!$D$13),"Moderado",IF(OR(N133='Tabla Impacto'!$C$14,N133='Tabla Impacto'!$D$14),"Mayor",IF(OR(N133='Tabla Impacto'!$C$15,N133='Tabla Impacto'!$D$15),"Catastrófico","")))))</f>
        <v>Mayor</v>
      </c>
      <c r="P133" s="315">
        <f ca="1">IF(O133="","",IF(O133="Leve",0.2,IF(O133="Menor",0.4,IF(O133="Moderado",0.6,IF(O133="Mayor",0.8,IF(O133="Catastrófico",1,))))))</f>
        <v>0.8</v>
      </c>
      <c r="Q133" s="318" t="str">
        <f ca="1">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Alto</v>
      </c>
      <c r="R133" s="159">
        <v>1</v>
      </c>
      <c r="S133" s="160" t="s">
        <v>858</v>
      </c>
      <c r="T133" s="161" t="str">
        <f t="shared" si="180"/>
        <v>Probabilidad</v>
      </c>
      <c r="U133" s="164" t="s">
        <v>15</v>
      </c>
      <c r="V133" s="164" t="s">
        <v>9</v>
      </c>
      <c r="W133" s="165" t="str">
        <f t="shared" si="181"/>
        <v>30%</v>
      </c>
      <c r="X133" s="164" t="s">
        <v>20</v>
      </c>
      <c r="Y133" s="164" t="s">
        <v>23</v>
      </c>
      <c r="Z133" s="164" t="s">
        <v>111</v>
      </c>
      <c r="AA133" s="143">
        <f t="shared" si="182"/>
        <v>0.42</v>
      </c>
      <c r="AB133" s="154" t="str">
        <f t="shared" si="183"/>
        <v>Media</v>
      </c>
      <c r="AC133" s="155">
        <f t="shared" si="184"/>
        <v>0.42</v>
      </c>
      <c r="AD133" s="154" t="str">
        <f t="shared" ca="1" si="185"/>
        <v>Mayor</v>
      </c>
      <c r="AE133" s="155">
        <f t="shared" ca="1" si="186"/>
        <v>0.8</v>
      </c>
      <c r="AF133" s="156" t="str">
        <f t="shared" ca="1" si="187"/>
        <v>Alto</v>
      </c>
      <c r="AG133" s="157" t="s">
        <v>122</v>
      </c>
      <c r="AH133" s="176" t="s">
        <v>478</v>
      </c>
      <c r="AI133" s="150" t="s">
        <v>198</v>
      </c>
      <c r="AJ133" s="151">
        <v>44562</v>
      </c>
      <c r="AK133" s="151" t="s">
        <v>373</v>
      </c>
      <c r="AL133" s="176" t="s">
        <v>479</v>
      </c>
      <c r="AM133" s="150"/>
      <c r="AN133" s="216" t="s">
        <v>739</v>
      </c>
      <c r="AO133" s="216" t="s">
        <v>739</v>
      </c>
      <c r="AP133" s="215">
        <v>0.33</v>
      </c>
      <c r="AQ133" s="216" t="s">
        <v>740</v>
      </c>
      <c r="AR133" s="216" t="s">
        <v>741</v>
      </c>
      <c r="AS133" s="215">
        <v>0.33</v>
      </c>
      <c r="AT133" s="137"/>
      <c r="AU133" s="137" t="s">
        <v>616</v>
      </c>
      <c r="AV133" s="137" t="s">
        <v>622</v>
      </c>
      <c r="AW133" s="137" t="s">
        <v>622</v>
      </c>
      <c r="AX133" s="137" t="s">
        <v>622</v>
      </c>
      <c r="AY133" s="137" t="s">
        <v>748</v>
      </c>
    </row>
    <row r="134" spans="1:51" s="149" customFormat="1" ht="151.5" customHeight="1" x14ac:dyDescent="0.25">
      <c r="A134" s="311"/>
      <c r="B134" s="343"/>
      <c r="C134" s="339"/>
      <c r="D134" s="339"/>
      <c r="E134" s="325"/>
      <c r="F134" s="325"/>
      <c r="G134" s="325"/>
      <c r="H134" s="328"/>
      <c r="I134" s="325"/>
      <c r="J134" s="322"/>
      <c r="K134" s="313"/>
      <c r="L134" s="316"/>
      <c r="M134" s="334"/>
      <c r="N134" s="169"/>
      <c r="O134" s="313"/>
      <c r="P134" s="316"/>
      <c r="Q134" s="319"/>
      <c r="R134" s="159">
        <v>2</v>
      </c>
      <c r="S134" s="160"/>
      <c r="T134" s="129"/>
      <c r="U134" s="130"/>
      <c r="V134" s="130"/>
      <c r="W134" s="131"/>
      <c r="X134" s="130"/>
      <c r="Y134" s="130"/>
      <c r="Z134" s="130"/>
      <c r="AA134" s="141"/>
      <c r="AB134" s="133"/>
      <c r="AC134" s="134"/>
      <c r="AD134" s="133"/>
      <c r="AE134" s="134"/>
      <c r="AF134" s="135"/>
      <c r="AG134" s="136"/>
      <c r="AH134" s="160" t="s">
        <v>326</v>
      </c>
      <c r="AI134" s="150" t="s">
        <v>203</v>
      </c>
      <c r="AJ134" s="151">
        <v>44562</v>
      </c>
      <c r="AK134" s="151" t="s">
        <v>373</v>
      </c>
      <c r="AL134" s="176" t="s">
        <v>479</v>
      </c>
      <c r="AM134" s="150"/>
      <c r="AN134" s="217" t="s">
        <v>617</v>
      </c>
      <c r="AO134" s="217" t="s">
        <v>617</v>
      </c>
      <c r="AP134" s="215" t="s">
        <v>617</v>
      </c>
      <c r="AQ134" s="216" t="s">
        <v>690</v>
      </c>
      <c r="AR134" s="216" t="s">
        <v>617</v>
      </c>
      <c r="AS134" s="215" t="s">
        <v>617</v>
      </c>
      <c r="AT134" s="137"/>
      <c r="AU134" s="137" t="s">
        <v>616</v>
      </c>
      <c r="AV134" s="137" t="s">
        <v>622</v>
      </c>
      <c r="AW134" s="137" t="s">
        <v>622</v>
      </c>
      <c r="AX134" s="137" t="s">
        <v>622</v>
      </c>
      <c r="AY134" s="137" t="s">
        <v>748</v>
      </c>
    </row>
    <row r="135" spans="1:51" s="149" customFormat="1" ht="151.5" customHeight="1" x14ac:dyDescent="0.25">
      <c r="A135" s="311"/>
      <c r="B135" s="344"/>
      <c r="C135" s="339"/>
      <c r="D135" s="339"/>
      <c r="E135" s="325"/>
      <c r="F135" s="325"/>
      <c r="G135" s="325"/>
      <c r="H135" s="328"/>
      <c r="I135" s="325"/>
      <c r="J135" s="322"/>
      <c r="K135" s="314"/>
      <c r="L135" s="317"/>
      <c r="M135" s="334"/>
      <c r="N135" s="169"/>
      <c r="O135" s="314"/>
      <c r="P135" s="317"/>
      <c r="Q135" s="320"/>
      <c r="R135" s="159">
        <v>3</v>
      </c>
      <c r="S135" s="160"/>
      <c r="T135" s="129"/>
      <c r="U135" s="130"/>
      <c r="V135" s="130"/>
      <c r="W135" s="131"/>
      <c r="X135" s="130"/>
      <c r="Y135" s="130"/>
      <c r="Z135" s="130"/>
      <c r="AA135" s="141"/>
      <c r="AB135" s="133"/>
      <c r="AC135" s="134"/>
      <c r="AD135" s="133"/>
      <c r="AE135" s="134"/>
      <c r="AF135" s="135"/>
      <c r="AG135" s="136"/>
      <c r="AH135" s="176" t="s">
        <v>508</v>
      </c>
      <c r="AI135" s="150" t="s">
        <v>203</v>
      </c>
      <c r="AJ135" s="151">
        <v>44562</v>
      </c>
      <c r="AK135" s="151" t="s">
        <v>373</v>
      </c>
      <c r="AL135" s="176" t="s">
        <v>479</v>
      </c>
      <c r="AM135" s="150"/>
      <c r="AN135" s="217" t="s">
        <v>617</v>
      </c>
      <c r="AO135" s="217" t="s">
        <v>617</v>
      </c>
      <c r="AP135" s="215" t="s">
        <v>617</v>
      </c>
      <c r="AQ135" s="216" t="s">
        <v>857</v>
      </c>
      <c r="AR135" s="216" t="s">
        <v>732</v>
      </c>
      <c r="AS135" s="137"/>
      <c r="AT135" s="137"/>
      <c r="AU135" s="137" t="s">
        <v>616</v>
      </c>
      <c r="AV135" s="137" t="s">
        <v>622</v>
      </c>
      <c r="AW135" s="137" t="s">
        <v>622</v>
      </c>
      <c r="AX135" s="137" t="s">
        <v>622</v>
      </c>
      <c r="AY135" s="137" t="s">
        <v>748</v>
      </c>
    </row>
    <row r="136" spans="1:51" s="149" customFormat="1" ht="201" customHeight="1" x14ac:dyDescent="0.25">
      <c r="A136" s="311">
        <v>45</v>
      </c>
      <c r="B136" s="308" t="s">
        <v>562</v>
      </c>
      <c r="C136" s="308" t="s">
        <v>561</v>
      </c>
      <c r="D136" s="308" t="s">
        <v>563</v>
      </c>
      <c r="E136" s="324" t="s">
        <v>118</v>
      </c>
      <c r="F136" s="324" t="s">
        <v>567</v>
      </c>
      <c r="G136" s="324" t="s">
        <v>566</v>
      </c>
      <c r="H136" s="327" t="s">
        <v>558</v>
      </c>
      <c r="I136" s="324" t="s">
        <v>115</v>
      </c>
      <c r="J136" s="321">
        <v>10</v>
      </c>
      <c r="K136" s="312" t="str">
        <f>IF(J136&lt;=0,"",IF(J136&lt;=2,"Muy Baja",IF(J136&lt;=24,"Baja",IF(J136&lt;=500,"Media",IF(J136&lt;=5000,"Alta","Muy Alta")))))</f>
        <v>Baja</v>
      </c>
      <c r="L136" s="315">
        <f>IF(K136="","",IF(K136="Muy Baja",0.2,IF(K136="Baja",0.4,IF(K136="Media",0.6,IF(K136="Alta",0.8,IF(K136="Muy Alta",1,))))))</f>
        <v>0.4</v>
      </c>
      <c r="M136" s="333" t="s">
        <v>491</v>
      </c>
      <c r="N136" s="163" t="str">
        <f ca="1">IF(NOT(ISERROR(MATCH(M136,'Tabla Impacto'!$B$221:$B$223,0))),'Tabla Impacto'!$F$223&amp;"Por favor no seleccionar los criterios de impacto(Afectación Económica o presupuestal y Pérdida Reputacional)",M136)</f>
        <v xml:space="preserve"> El riesgo afecta la imagen de la entidad con efecto publicitario sostenido a nivel de sector administrativo, nivel departamental o municipal</v>
      </c>
      <c r="O136" s="312" t="str">
        <f ca="1">IF(OR(N136='Tabla Impacto'!$C$11,N136='Tabla Impacto'!$D$11),"Leve",IF(OR(N136='Tabla Impacto'!$C$12,N136='Tabla Impacto'!$D$12),"Menor",IF(OR(N136='Tabla Impacto'!$C$13,N136='Tabla Impacto'!$D$13),"Moderado",IF(OR(N136='Tabla Impacto'!$C$14,N136='Tabla Impacto'!$D$14),"Mayor",IF(OR(N136='Tabla Impacto'!$C$15,N136='Tabla Impacto'!$D$15),"Catastrófico","")))))</f>
        <v>Mayor</v>
      </c>
      <c r="P136" s="315">
        <f ca="1">IF(O136="","",IF(O136="Leve",0.2,IF(O136="Menor",0.4,IF(O136="Moderado",0.6,IF(O136="Mayor",0.8,IF(O136="Catastrófico",1,))))))</f>
        <v>0.8</v>
      </c>
      <c r="Q136" s="318" t="str">
        <f ca="1">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Alto</v>
      </c>
      <c r="R136" s="159">
        <v>1</v>
      </c>
      <c r="S136" s="160" t="s">
        <v>583</v>
      </c>
      <c r="T136" s="212" t="str">
        <f t="shared" si="180"/>
        <v>Probabilidad</v>
      </c>
      <c r="U136" s="164" t="s">
        <v>14</v>
      </c>
      <c r="V136" s="164" t="s">
        <v>9</v>
      </c>
      <c r="W136" s="165" t="str">
        <f t="shared" si="181"/>
        <v>40%</v>
      </c>
      <c r="X136" s="164" t="s">
        <v>19</v>
      </c>
      <c r="Y136" s="164" t="s">
        <v>22</v>
      </c>
      <c r="Z136" s="164" t="s">
        <v>110</v>
      </c>
      <c r="AA136" s="143">
        <f t="shared" si="182"/>
        <v>0.24</v>
      </c>
      <c r="AB136" s="154" t="str">
        <f t="shared" si="183"/>
        <v>Baja</v>
      </c>
      <c r="AC136" s="155">
        <f t="shared" si="184"/>
        <v>0.24</v>
      </c>
      <c r="AD136" s="154" t="str">
        <f t="shared" ca="1" si="185"/>
        <v>Mayor</v>
      </c>
      <c r="AE136" s="155">
        <f t="shared" ca="1" si="186"/>
        <v>0.8</v>
      </c>
      <c r="AF136" s="156" t="str">
        <f t="shared" ca="1" si="187"/>
        <v>Alto</v>
      </c>
      <c r="AG136" s="157" t="s">
        <v>122</v>
      </c>
      <c r="AH136" s="152" t="s">
        <v>584</v>
      </c>
      <c r="AI136" s="150" t="s">
        <v>260</v>
      </c>
      <c r="AJ136" s="151" t="s">
        <v>286</v>
      </c>
      <c r="AK136" s="151" t="s">
        <v>287</v>
      </c>
      <c r="AL136" s="152" t="s">
        <v>568</v>
      </c>
      <c r="AM136" s="150"/>
      <c r="AN136" s="426" t="s">
        <v>863</v>
      </c>
      <c r="AO136" s="429" t="s">
        <v>651</v>
      </c>
      <c r="AP136" s="363">
        <v>0.33</v>
      </c>
      <c r="AQ136" s="429" t="s">
        <v>864</v>
      </c>
      <c r="AR136" s="429" t="s">
        <v>652</v>
      </c>
      <c r="AS136" s="363">
        <v>0.33</v>
      </c>
      <c r="AT136" s="423"/>
      <c r="AU136" s="137" t="s">
        <v>616</v>
      </c>
      <c r="AV136" s="137" t="s">
        <v>622</v>
      </c>
      <c r="AW136" s="137" t="s">
        <v>622</v>
      </c>
      <c r="AX136" s="137" t="s">
        <v>622</v>
      </c>
      <c r="AY136" s="423" t="s">
        <v>859</v>
      </c>
    </row>
    <row r="137" spans="1:51" s="149" customFormat="1" ht="151.5" hidden="1" customHeight="1" x14ac:dyDescent="0.25">
      <c r="A137" s="311"/>
      <c r="B137" s="309"/>
      <c r="C137" s="309"/>
      <c r="D137" s="309"/>
      <c r="E137" s="325"/>
      <c r="F137" s="325"/>
      <c r="G137" s="325"/>
      <c r="H137" s="328"/>
      <c r="I137" s="325"/>
      <c r="J137" s="322"/>
      <c r="K137" s="313"/>
      <c r="L137" s="316"/>
      <c r="M137" s="334"/>
      <c r="N137" s="169"/>
      <c r="O137" s="313"/>
      <c r="P137" s="316"/>
      <c r="Q137" s="319"/>
      <c r="R137" s="159">
        <v>2</v>
      </c>
      <c r="S137" s="160"/>
      <c r="T137" s="161" t="str">
        <f t="shared" si="180"/>
        <v/>
      </c>
      <c r="U137" s="164"/>
      <c r="V137" s="164"/>
      <c r="W137" s="165" t="str">
        <f t="shared" si="181"/>
        <v/>
      </c>
      <c r="X137" s="164"/>
      <c r="Y137" s="164"/>
      <c r="Z137" s="164"/>
      <c r="AA137" s="143" t="str">
        <f t="shared" si="182"/>
        <v/>
      </c>
      <c r="AB137" s="154" t="str">
        <f t="shared" si="183"/>
        <v/>
      </c>
      <c r="AC137" s="155" t="str">
        <f t="shared" si="184"/>
        <v/>
      </c>
      <c r="AD137" s="154" t="str">
        <f t="shared" si="185"/>
        <v/>
      </c>
      <c r="AE137" s="155" t="str">
        <f t="shared" si="186"/>
        <v/>
      </c>
      <c r="AF137" s="156" t="str">
        <f t="shared" si="187"/>
        <v/>
      </c>
      <c r="AG137" s="157"/>
      <c r="AH137" s="152"/>
      <c r="AI137" s="150"/>
      <c r="AJ137" s="151"/>
      <c r="AK137" s="151"/>
      <c r="AL137" s="152"/>
      <c r="AM137" s="150"/>
      <c r="AN137" s="427"/>
      <c r="AO137" s="430"/>
      <c r="AP137" s="364"/>
      <c r="AQ137" s="430"/>
      <c r="AR137" s="430"/>
      <c r="AS137" s="364"/>
      <c r="AT137" s="424"/>
      <c r="AU137" s="137" t="s">
        <v>616</v>
      </c>
      <c r="AV137" s="137" t="s">
        <v>622</v>
      </c>
      <c r="AW137" s="137" t="s">
        <v>622</v>
      </c>
      <c r="AX137" s="137" t="s">
        <v>622</v>
      </c>
      <c r="AY137" s="424"/>
    </row>
    <row r="138" spans="1:51" s="149" customFormat="1" ht="12.75" hidden="1" customHeight="1" x14ac:dyDescent="0.25">
      <c r="A138" s="311"/>
      <c r="B138" s="310"/>
      <c r="C138" s="310"/>
      <c r="D138" s="310"/>
      <c r="E138" s="326"/>
      <c r="F138" s="326"/>
      <c r="G138" s="326"/>
      <c r="H138" s="329"/>
      <c r="I138" s="326"/>
      <c r="J138" s="323"/>
      <c r="K138" s="314"/>
      <c r="L138" s="317"/>
      <c r="M138" s="335"/>
      <c r="N138" s="169"/>
      <c r="O138" s="314"/>
      <c r="P138" s="317"/>
      <c r="Q138" s="320"/>
      <c r="R138" s="159">
        <v>3</v>
      </c>
      <c r="S138" s="160"/>
      <c r="T138" s="161" t="str">
        <f t="shared" si="180"/>
        <v/>
      </c>
      <c r="U138" s="164"/>
      <c r="V138" s="164"/>
      <c r="W138" s="165" t="str">
        <f t="shared" si="181"/>
        <v/>
      </c>
      <c r="X138" s="164"/>
      <c r="Y138" s="164"/>
      <c r="Z138" s="164"/>
      <c r="AA138" s="143" t="str">
        <f t="shared" si="182"/>
        <v/>
      </c>
      <c r="AB138" s="154" t="str">
        <f t="shared" si="183"/>
        <v/>
      </c>
      <c r="AC138" s="155" t="str">
        <f t="shared" si="184"/>
        <v/>
      </c>
      <c r="AD138" s="154" t="str">
        <f t="shared" si="185"/>
        <v/>
      </c>
      <c r="AE138" s="155" t="str">
        <f t="shared" si="186"/>
        <v/>
      </c>
      <c r="AF138" s="156" t="str">
        <f t="shared" si="187"/>
        <v/>
      </c>
      <c r="AG138" s="157"/>
      <c r="AH138" s="152"/>
      <c r="AI138" s="150"/>
      <c r="AJ138" s="151"/>
      <c r="AK138" s="151"/>
      <c r="AL138" s="152"/>
      <c r="AM138" s="150"/>
      <c r="AN138" s="428"/>
      <c r="AO138" s="431"/>
      <c r="AP138" s="377"/>
      <c r="AQ138" s="431"/>
      <c r="AR138" s="431"/>
      <c r="AS138" s="377"/>
      <c r="AT138" s="425"/>
      <c r="AU138" s="137" t="s">
        <v>616</v>
      </c>
      <c r="AV138" s="137" t="s">
        <v>622</v>
      </c>
      <c r="AW138" s="137" t="s">
        <v>622</v>
      </c>
      <c r="AX138" s="137" t="s">
        <v>622</v>
      </c>
      <c r="AY138" s="425"/>
    </row>
    <row r="139" spans="1:51" s="149" customFormat="1" ht="151.5" customHeight="1" x14ac:dyDescent="0.25">
      <c r="A139" s="311">
        <v>46</v>
      </c>
      <c r="B139" s="308" t="s">
        <v>562</v>
      </c>
      <c r="C139" s="308" t="s">
        <v>561</v>
      </c>
      <c r="D139" s="308" t="s">
        <v>563</v>
      </c>
      <c r="E139" s="324" t="s">
        <v>118</v>
      </c>
      <c r="F139" s="324" t="s">
        <v>564</v>
      </c>
      <c r="G139" s="324" t="s">
        <v>565</v>
      </c>
      <c r="H139" s="327" t="s">
        <v>559</v>
      </c>
      <c r="I139" s="324" t="s">
        <v>328</v>
      </c>
      <c r="J139" s="321">
        <v>20</v>
      </c>
      <c r="K139" s="312" t="str">
        <f>IF(J139&lt;=0,"",IF(J139&lt;=2,"Muy Baja",IF(J139&lt;=24,"Baja",IF(J139&lt;=500,"Media",IF(J139&lt;=5000,"Alta","Muy Alta")))))</f>
        <v>Baja</v>
      </c>
      <c r="L139" s="315">
        <f>IF(K139="","",IF(K139="Muy Baja",0.2,IF(K139="Baja",0.4,IF(K139="Media",0.6,IF(K139="Alta",0.8,IF(K139="Muy Alta",1,))))))</f>
        <v>0.4</v>
      </c>
      <c r="M139" s="333" t="s">
        <v>484</v>
      </c>
      <c r="N139" s="163" t="str">
        <f ca="1">IF(NOT(ISERROR(MATCH(M139,'Tabla Impacto'!$B$221:$B$223,0))),'Tabla Impacto'!$F$223&amp;"Por favor no seleccionar los criterios de impacto(Afectación Económica o presupuestal y Pérdida Reputacional)",M139)</f>
        <v xml:space="preserve"> El riesgo afecta la imagen de la entidad con algunos usuarios de relevancia frente al logro de los objetivos</v>
      </c>
      <c r="O139" s="312" t="str">
        <f ca="1">IF(OR(N139='Tabla Impacto'!$C$11,N139='Tabla Impacto'!$D$11),"Leve",IF(OR(N139='Tabla Impacto'!$C$12,N139='Tabla Impacto'!$D$12),"Menor",IF(OR(N139='Tabla Impacto'!$C$13,N139='Tabla Impacto'!$D$13),"Moderado",IF(OR(N139='Tabla Impacto'!$C$14,N139='Tabla Impacto'!$D$14),"Mayor",IF(OR(N139='Tabla Impacto'!$C$15,N139='Tabla Impacto'!$D$15),"Catastrófico","")))))</f>
        <v>Moderado</v>
      </c>
      <c r="P139" s="315">
        <f ca="1">IF(O139="","",IF(O139="Leve",0.2,IF(O139="Menor",0.4,IF(O139="Moderado",0.6,IF(O139="Mayor",0.8,IF(O139="Catastrófico",1,))))))</f>
        <v>0.6</v>
      </c>
      <c r="Q139" s="318" t="str">
        <f ca="1">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Moderado</v>
      </c>
      <c r="R139" s="159">
        <v>1</v>
      </c>
      <c r="S139" s="160" t="s">
        <v>569</v>
      </c>
      <c r="T139" s="212" t="str">
        <f t="shared" si="180"/>
        <v>Probabilidad</v>
      </c>
      <c r="U139" s="164" t="s">
        <v>15</v>
      </c>
      <c r="V139" s="164" t="s">
        <v>9</v>
      </c>
      <c r="W139" s="165" t="str">
        <f t="shared" si="181"/>
        <v>30%</v>
      </c>
      <c r="X139" s="164" t="s">
        <v>19</v>
      </c>
      <c r="Y139" s="164" t="s">
        <v>22</v>
      </c>
      <c r="Z139" s="164" t="s">
        <v>110</v>
      </c>
      <c r="AA139" s="143">
        <f t="shared" si="182"/>
        <v>0.28000000000000003</v>
      </c>
      <c r="AB139" s="154" t="str">
        <f t="shared" si="183"/>
        <v>Baja</v>
      </c>
      <c r="AC139" s="155">
        <f t="shared" si="184"/>
        <v>0.28000000000000003</v>
      </c>
      <c r="AD139" s="154" t="str">
        <f t="shared" ca="1" si="185"/>
        <v>Moderado</v>
      </c>
      <c r="AE139" s="155">
        <f t="shared" ca="1" si="186"/>
        <v>0.6</v>
      </c>
      <c r="AF139" s="156" t="str">
        <f t="shared" ca="1" si="187"/>
        <v>Moderado</v>
      </c>
      <c r="AG139" s="157" t="s">
        <v>122</v>
      </c>
      <c r="AH139" s="152" t="s">
        <v>560</v>
      </c>
      <c r="AI139" s="150" t="s">
        <v>260</v>
      </c>
      <c r="AJ139" s="151" t="s">
        <v>286</v>
      </c>
      <c r="AK139" s="151" t="s">
        <v>287</v>
      </c>
      <c r="AL139" s="152" t="s">
        <v>588</v>
      </c>
      <c r="AM139" s="150"/>
      <c r="AN139" s="216" t="s">
        <v>860</v>
      </c>
      <c r="AO139" s="216" t="s">
        <v>653</v>
      </c>
      <c r="AP139" s="215">
        <v>0.33</v>
      </c>
      <c r="AQ139" s="216" t="s">
        <v>861</v>
      </c>
      <c r="AR139" s="216" t="s">
        <v>654</v>
      </c>
      <c r="AS139" s="215">
        <v>0.33</v>
      </c>
      <c r="AT139" s="137"/>
      <c r="AU139" s="137" t="s">
        <v>616</v>
      </c>
      <c r="AV139" s="137" t="s">
        <v>622</v>
      </c>
      <c r="AW139" s="137" t="s">
        <v>622</v>
      </c>
      <c r="AX139" s="137" t="s">
        <v>622</v>
      </c>
      <c r="AY139" s="137"/>
    </row>
    <row r="140" spans="1:51" s="149" customFormat="1" ht="151.5" hidden="1" customHeight="1" x14ac:dyDescent="0.25">
      <c r="A140" s="311"/>
      <c r="B140" s="309"/>
      <c r="C140" s="309"/>
      <c r="D140" s="309"/>
      <c r="E140" s="325"/>
      <c r="F140" s="325"/>
      <c r="G140" s="325"/>
      <c r="H140" s="328"/>
      <c r="I140" s="325"/>
      <c r="J140" s="322"/>
      <c r="K140" s="313"/>
      <c r="L140" s="316"/>
      <c r="M140" s="334"/>
      <c r="N140" s="169"/>
      <c r="O140" s="313"/>
      <c r="P140" s="316"/>
      <c r="Q140" s="319"/>
      <c r="R140" s="159">
        <v>2</v>
      </c>
      <c r="S140" s="160"/>
      <c r="T140" s="161" t="str">
        <f t="shared" si="180"/>
        <v/>
      </c>
      <c r="U140" s="164"/>
      <c r="V140" s="164"/>
      <c r="W140" s="165" t="str">
        <f t="shared" si="181"/>
        <v/>
      </c>
      <c r="X140" s="164"/>
      <c r="Y140" s="164"/>
      <c r="Z140" s="164"/>
      <c r="AA140" s="143" t="str">
        <f t="shared" si="182"/>
        <v/>
      </c>
      <c r="AB140" s="154" t="str">
        <f t="shared" si="183"/>
        <v/>
      </c>
      <c r="AC140" s="155" t="str">
        <f t="shared" si="184"/>
        <v/>
      </c>
      <c r="AD140" s="154" t="str">
        <f t="shared" si="185"/>
        <v/>
      </c>
      <c r="AE140" s="155" t="str">
        <f t="shared" si="186"/>
        <v/>
      </c>
      <c r="AF140" s="156" t="str">
        <f t="shared" si="187"/>
        <v/>
      </c>
      <c r="AG140" s="157"/>
      <c r="AH140" s="152"/>
      <c r="AI140" s="150"/>
      <c r="AJ140" s="151"/>
      <c r="AK140" s="151"/>
      <c r="AL140" s="152"/>
      <c r="AM140" s="150"/>
      <c r="AN140" s="216"/>
      <c r="AO140" s="216"/>
      <c r="AP140" s="137"/>
      <c r="AQ140" s="216"/>
      <c r="AR140" s="216"/>
      <c r="AS140" s="137"/>
      <c r="AT140" s="137"/>
      <c r="AU140" s="137" t="s">
        <v>616</v>
      </c>
      <c r="AV140" s="137" t="s">
        <v>622</v>
      </c>
      <c r="AW140" s="137" t="s">
        <v>622</v>
      </c>
      <c r="AX140" s="137" t="s">
        <v>622</v>
      </c>
      <c r="AY140" s="137"/>
    </row>
    <row r="141" spans="1:51" s="149" customFormat="1" ht="12.75" hidden="1" x14ac:dyDescent="0.25">
      <c r="A141" s="311"/>
      <c r="B141" s="310"/>
      <c r="C141" s="310"/>
      <c r="D141" s="310"/>
      <c r="E141" s="326"/>
      <c r="F141" s="326"/>
      <c r="G141" s="326"/>
      <c r="H141" s="329"/>
      <c r="I141" s="326"/>
      <c r="J141" s="323"/>
      <c r="K141" s="314"/>
      <c r="L141" s="317"/>
      <c r="M141" s="335"/>
      <c r="N141" s="169"/>
      <c r="O141" s="314"/>
      <c r="P141" s="317"/>
      <c r="Q141" s="320"/>
      <c r="R141" s="159">
        <v>3</v>
      </c>
      <c r="S141" s="160"/>
      <c r="T141" s="161" t="str">
        <f t="shared" si="180"/>
        <v/>
      </c>
      <c r="U141" s="164"/>
      <c r="V141" s="164"/>
      <c r="W141" s="165" t="str">
        <f t="shared" si="181"/>
        <v/>
      </c>
      <c r="X141" s="164"/>
      <c r="Y141" s="164"/>
      <c r="Z141" s="164"/>
      <c r="AA141" s="143" t="str">
        <f t="shared" si="182"/>
        <v/>
      </c>
      <c r="AB141" s="154" t="str">
        <f t="shared" si="183"/>
        <v/>
      </c>
      <c r="AC141" s="155" t="str">
        <f t="shared" si="184"/>
        <v/>
      </c>
      <c r="AD141" s="154" t="str">
        <f t="shared" si="185"/>
        <v/>
      </c>
      <c r="AE141" s="155" t="str">
        <f t="shared" si="186"/>
        <v/>
      </c>
      <c r="AF141" s="156" t="str">
        <f t="shared" si="187"/>
        <v/>
      </c>
      <c r="AG141" s="157"/>
      <c r="AH141" s="152"/>
      <c r="AI141" s="150"/>
      <c r="AJ141" s="151"/>
      <c r="AK141" s="151"/>
      <c r="AL141" s="152"/>
      <c r="AM141" s="150"/>
      <c r="AN141" s="216"/>
      <c r="AO141" s="216"/>
      <c r="AP141" s="137"/>
      <c r="AQ141" s="216"/>
      <c r="AR141" s="216"/>
      <c r="AS141" s="137"/>
      <c r="AT141" s="137"/>
      <c r="AU141" s="137" t="s">
        <v>616</v>
      </c>
      <c r="AV141" s="137" t="s">
        <v>622</v>
      </c>
      <c r="AW141" s="137" t="s">
        <v>622</v>
      </c>
      <c r="AX141" s="137" t="s">
        <v>622</v>
      </c>
      <c r="AY141" s="137"/>
    </row>
    <row r="142" spans="1:51" s="149" customFormat="1" ht="151.5" customHeight="1" x14ac:dyDescent="0.25">
      <c r="A142" s="311"/>
      <c r="B142" s="308" t="s">
        <v>589</v>
      </c>
      <c r="C142" s="308" t="s">
        <v>590</v>
      </c>
      <c r="D142" s="308" t="s">
        <v>591</v>
      </c>
      <c r="E142" s="324" t="s">
        <v>118</v>
      </c>
      <c r="F142" s="324" t="s">
        <v>592</v>
      </c>
      <c r="G142" s="324" t="s">
        <v>593</v>
      </c>
      <c r="H142" s="327" t="s">
        <v>594</v>
      </c>
      <c r="I142" s="324" t="s">
        <v>328</v>
      </c>
      <c r="J142" s="321">
        <v>12</v>
      </c>
      <c r="K142" s="312" t="str">
        <f>IF(J142&lt;=0,"",IF(J142&lt;=2,"Muy Baja",IF(J142&lt;=24,"Baja",IF(J142&lt;=500,"Media",IF(J142&lt;=5000,"Alta","Muy Alta")))))</f>
        <v>Baja</v>
      </c>
      <c r="L142" s="315">
        <f>IF(K142="","",IF(K142="Muy Baja",0.2,IF(K142="Baja",0.4,IF(K142="Media",0.6,IF(K142="Alta",0.8,IF(K142="Muy Alta",1,))))))</f>
        <v>0.4</v>
      </c>
      <c r="M142" s="333" t="s">
        <v>484</v>
      </c>
      <c r="N142" s="163" t="str">
        <f ca="1">IF(NOT(ISERROR(MATCH(M142,'Tabla Impacto'!$B$221:$B$223,0))),'Tabla Impacto'!$F$223&amp;"Por favor no seleccionar los criterios de impacto(Afectación Económica o presupuestal y Pérdida Reputacional)",M142)</f>
        <v xml:space="preserve"> El riesgo afecta la imagen de la entidad con algunos usuarios de relevancia frente al logro de los objetivos</v>
      </c>
      <c r="O142" s="312" t="str">
        <f ca="1">IF(OR(N142='Tabla Impacto'!$C$11,N142='Tabla Impacto'!$D$11),"Leve",IF(OR(N142='Tabla Impacto'!$C$12,N142='Tabla Impacto'!$D$12),"Menor",IF(OR(N142='Tabla Impacto'!$C$13,N142='Tabla Impacto'!$D$13),"Moderado",IF(OR(N142='Tabla Impacto'!$C$14,N142='Tabla Impacto'!$D$14),"Mayor",IF(OR(N142='Tabla Impacto'!$C$15,N142='Tabla Impacto'!$D$15),"Catastrófico","")))))</f>
        <v>Moderado</v>
      </c>
      <c r="P142" s="315">
        <f ca="1">IF(O142="","",IF(O142="Leve",0.2,IF(O142="Menor",0.4,IF(O142="Moderado",0.6,IF(O142="Mayor",0.8,IF(O142="Catastrófico",1,))))))</f>
        <v>0.6</v>
      </c>
      <c r="Q142" s="318" t="str">
        <f ca="1">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Moderado</v>
      </c>
      <c r="R142" s="159">
        <v>1</v>
      </c>
      <c r="S142" s="160" t="s">
        <v>598</v>
      </c>
      <c r="T142" s="161" t="str">
        <f t="shared" si="180"/>
        <v/>
      </c>
      <c r="U142" s="164"/>
      <c r="V142" s="164"/>
      <c r="W142" s="165" t="str">
        <f t="shared" si="181"/>
        <v/>
      </c>
      <c r="X142" s="164"/>
      <c r="Y142" s="164"/>
      <c r="Z142" s="164"/>
      <c r="AA142" s="143" t="str">
        <f t="shared" si="182"/>
        <v/>
      </c>
      <c r="AB142" s="154" t="str">
        <f t="shared" si="183"/>
        <v/>
      </c>
      <c r="AC142" s="155" t="str">
        <f t="shared" si="184"/>
        <v/>
      </c>
      <c r="AD142" s="154" t="str">
        <f t="shared" si="185"/>
        <v/>
      </c>
      <c r="AE142" s="155" t="str">
        <f t="shared" si="186"/>
        <v/>
      </c>
      <c r="AF142" s="156" t="str">
        <f t="shared" si="187"/>
        <v/>
      </c>
      <c r="AG142" s="157"/>
      <c r="AH142" s="152" t="s">
        <v>595</v>
      </c>
      <c r="AI142" s="150" t="s">
        <v>212</v>
      </c>
      <c r="AJ142" s="151" t="s">
        <v>286</v>
      </c>
      <c r="AK142" s="151" t="s">
        <v>287</v>
      </c>
      <c r="AL142" s="152" t="s">
        <v>597</v>
      </c>
      <c r="AM142" s="150"/>
      <c r="AN142" s="160" t="s">
        <v>627</v>
      </c>
      <c r="AO142" s="216" t="s">
        <v>628</v>
      </c>
      <c r="AP142" s="137" t="s">
        <v>629</v>
      </c>
      <c r="AQ142" s="216" t="s">
        <v>630</v>
      </c>
      <c r="AR142" s="216" t="s">
        <v>862</v>
      </c>
      <c r="AS142" s="215">
        <v>0.33</v>
      </c>
      <c r="AT142" s="137"/>
      <c r="AU142" s="137" t="s">
        <v>616</v>
      </c>
      <c r="AV142" s="137" t="s">
        <v>622</v>
      </c>
      <c r="AW142" s="137" t="s">
        <v>622</v>
      </c>
      <c r="AX142" s="137" t="s">
        <v>622</v>
      </c>
      <c r="AY142" s="137"/>
    </row>
    <row r="143" spans="1:51" s="149" customFormat="1" ht="151.5" hidden="1" customHeight="1" x14ac:dyDescent="0.25">
      <c r="A143" s="311"/>
      <c r="B143" s="309"/>
      <c r="C143" s="309"/>
      <c r="D143" s="309"/>
      <c r="E143" s="325"/>
      <c r="F143" s="325"/>
      <c r="G143" s="325"/>
      <c r="H143" s="328"/>
      <c r="I143" s="325"/>
      <c r="J143" s="322"/>
      <c r="K143" s="313"/>
      <c r="L143" s="316"/>
      <c r="M143" s="334"/>
      <c r="N143" s="169"/>
      <c r="O143" s="313"/>
      <c r="P143" s="316"/>
      <c r="Q143" s="319"/>
      <c r="R143" s="159">
        <v>2</v>
      </c>
      <c r="S143" s="160"/>
      <c r="T143" s="161" t="str">
        <f t="shared" si="180"/>
        <v/>
      </c>
      <c r="U143" s="164"/>
      <c r="V143" s="164"/>
      <c r="W143" s="165" t="str">
        <f t="shared" si="181"/>
        <v/>
      </c>
      <c r="X143" s="164"/>
      <c r="Y143" s="164"/>
      <c r="Z143" s="164"/>
      <c r="AA143" s="143" t="str">
        <f t="shared" si="182"/>
        <v/>
      </c>
      <c r="AB143" s="154" t="str">
        <f t="shared" si="183"/>
        <v/>
      </c>
      <c r="AC143" s="155" t="str">
        <f t="shared" si="184"/>
        <v/>
      </c>
      <c r="AD143" s="154" t="str">
        <f t="shared" si="185"/>
        <v/>
      </c>
      <c r="AE143" s="155" t="str">
        <f t="shared" si="186"/>
        <v/>
      </c>
      <c r="AF143" s="156" t="str">
        <f t="shared" si="187"/>
        <v/>
      </c>
      <c r="AG143" s="157"/>
      <c r="AH143" s="152"/>
      <c r="AI143" s="150"/>
      <c r="AJ143" s="151"/>
      <c r="AK143" s="151"/>
      <c r="AL143" s="152"/>
      <c r="AM143" s="150"/>
      <c r="AN143" s="137"/>
      <c r="AO143" s="137"/>
      <c r="AP143" s="137"/>
      <c r="AQ143" s="216"/>
      <c r="AR143" s="216"/>
      <c r="AS143" s="137"/>
      <c r="AT143" s="137"/>
      <c r="AU143" s="137"/>
      <c r="AV143" s="137"/>
      <c r="AW143" s="137"/>
      <c r="AX143" s="137"/>
      <c r="AY143" s="137"/>
    </row>
    <row r="144" spans="1:51" s="149" customFormat="1" ht="151.5" hidden="1" customHeight="1" x14ac:dyDescent="0.25">
      <c r="A144" s="311"/>
      <c r="B144" s="310"/>
      <c r="C144" s="310"/>
      <c r="D144" s="310"/>
      <c r="E144" s="326"/>
      <c r="F144" s="326"/>
      <c r="G144" s="326"/>
      <c r="H144" s="329"/>
      <c r="I144" s="326"/>
      <c r="J144" s="323"/>
      <c r="K144" s="314"/>
      <c r="L144" s="317"/>
      <c r="M144" s="335"/>
      <c r="N144" s="169"/>
      <c r="O144" s="314"/>
      <c r="P144" s="317"/>
      <c r="Q144" s="320"/>
      <c r="R144" s="159">
        <v>3</v>
      </c>
      <c r="S144" s="160"/>
      <c r="T144" s="161" t="str">
        <f t="shared" si="180"/>
        <v/>
      </c>
      <c r="U144" s="164"/>
      <c r="V144" s="164"/>
      <c r="W144" s="165" t="str">
        <f t="shared" si="181"/>
        <v/>
      </c>
      <c r="X144" s="164"/>
      <c r="Y144" s="164"/>
      <c r="Z144" s="164"/>
      <c r="AA144" s="143" t="str">
        <f t="shared" si="182"/>
        <v/>
      </c>
      <c r="AB144" s="154" t="str">
        <f t="shared" si="183"/>
        <v/>
      </c>
      <c r="AC144" s="155" t="str">
        <f t="shared" si="184"/>
        <v/>
      </c>
      <c r="AD144" s="154" t="str">
        <f t="shared" si="185"/>
        <v/>
      </c>
      <c r="AE144" s="155" t="str">
        <f t="shared" si="186"/>
        <v/>
      </c>
      <c r="AF144" s="156" t="str">
        <f t="shared" si="187"/>
        <v/>
      </c>
      <c r="AG144" s="157"/>
      <c r="AH144" s="152"/>
      <c r="AI144" s="150"/>
      <c r="AJ144" s="151"/>
      <c r="AK144" s="151"/>
      <c r="AL144" s="152"/>
      <c r="AM144" s="150"/>
      <c r="AN144" s="137"/>
      <c r="AO144" s="137"/>
      <c r="AP144" s="137"/>
      <c r="AQ144" s="216"/>
      <c r="AR144" s="216"/>
      <c r="AS144" s="137"/>
      <c r="AT144" s="137"/>
      <c r="AU144" s="137"/>
      <c r="AV144" s="137"/>
      <c r="AW144" s="137"/>
      <c r="AX144" s="137"/>
      <c r="AY144" s="137"/>
    </row>
    <row r="145" spans="1:51" s="149" customFormat="1" ht="151.5" hidden="1" customHeight="1" x14ac:dyDescent="0.25">
      <c r="A145" s="311"/>
      <c r="B145" s="308"/>
      <c r="C145" s="337"/>
      <c r="D145" s="337"/>
      <c r="E145" s="324"/>
      <c r="F145" s="324"/>
      <c r="G145" s="324"/>
      <c r="H145" s="327"/>
      <c r="I145" s="324"/>
      <c r="J145" s="321"/>
      <c r="K145" s="312" t="str">
        <f>IF(J145&lt;=0,"",IF(J145&lt;=2,"Muy Baja",IF(J145&lt;=24,"Baja",IF(J145&lt;=500,"Media",IF(J145&lt;=5000,"Alta","Muy Alta")))))</f>
        <v/>
      </c>
      <c r="L145" s="315" t="str">
        <f>IF(K145="","",IF(K145="Muy Baja",0.2,IF(K145="Baja",0.4,IF(K145="Media",0.6,IF(K145="Alta",0.8,IF(K145="Muy Alta",1,))))))</f>
        <v/>
      </c>
      <c r="M145" s="333"/>
      <c r="N145" s="163">
        <f ca="1">IF(NOT(ISERROR(MATCH(M145,'Tabla Impacto'!$B$221:$B$223,0))),'Tabla Impacto'!$F$223&amp;"Por favor no seleccionar los criterios de impacto(Afectación Económica o presupuestal y Pérdida Reputacional)",M145)</f>
        <v>0</v>
      </c>
      <c r="O145" s="312" t="str">
        <f ca="1">IF(OR(N145='Tabla Impacto'!$C$11,N145='Tabla Impacto'!$D$11),"Leve",IF(OR(N145='Tabla Impacto'!$C$12,N145='Tabla Impacto'!$D$12),"Menor",IF(OR(N145='Tabla Impacto'!$C$13,N145='Tabla Impacto'!$D$13),"Moderado",IF(OR(N145='Tabla Impacto'!$C$14,N145='Tabla Impacto'!$D$14),"Mayor",IF(OR(N145='Tabla Impacto'!$C$15,N145='Tabla Impacto'!$D$15),"Catastrófico","")))))</f>
        <v/>
      </c>
      <c r="P145" s="315" t="str">
        <f ca="1">IF(O145="","",IF(O145="Leve",0.2,IF(O145="Menor",0.4,IF(O145="Moderado",0.6,IF(O145="Mayor",0.8,IF(O145="Catastrófico",1,))))))</f>
        <v/>
      </c>
      <c r="Q145" s="318" t="str">
        <f ca="1">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
      </c>
      <c r="R145" s="159">
        <v>1</v>
      </c>
      <c r="S145" s="160"/>
      <c r="T145" s="161" t="str">
        <f t="shared" si="180"/>
        <v/>
      </c>
      <c r="U145" s="164"/>
      <c r="V145" s="164"/>
      <c r="W145" s="165" t="str">
        <f t="shared" si="181"/>
        <v/>
      </c>
      <c r="X145" s="164"/>
      <c r="Y145" s="164"/>
      <c r="Z145" s="164"/>
      <c r="AA145" s="143" t="str">
        <f t="shared" si="182"/>
        <v/>
      </c>
      <c r="AB145" s="154" t="str">
        <f t="shared" si="183"/>
        <v/>
      </c>
      <c r="AC145" s="155" t="str">
        <f t="shared" si="184"/>
        <v/>
      </c>
      <c r="AD145" s="154" t="str">
        <f t="shared" si="185"/>
        <v/>
      </c>
      <c r="AE145" s="155" t="str">
        <f t="shared" si="186"/>
        <v/>
      </c>
      <c r="AF145" s="156" t="str">
        <f t="shared" si="187"/>
        <v/>
      </c>
      <c r="AG145" s="157"/>
      <c r="AH145" s="152"/>
      <c r="AI145" s="150"/>
      <c r="AJ145" s="151"/>
      <c r="AK145" s="151"/>
      <c r="AL145" s="152"/>
      <c r="AM145" s="150"/>
      <c r="AN145" s="137"/>
      <c r="AO145" s="137"/>
      <c r="AP145" s="137"/>
      <c r="AQ145" s="216"/>
      <c r="AR145" s="216"/>
      <c r="AS145" s="137"/>
      <c r="AT145" s="137"/>
      <c r="AU145" s="137"/>
      <c r="AV145" s="137"/>
      <c r="AW145" s="137"/>
      <c r="AX145" s="137"/>
      <c r="AY145" s="137"/>
    </row>
    <row r="146" spans="1:51" s="149" customFormat="1" ht="151.5" hidden="1" customHeight="1" x14ac:dyDescent="0.25">
      <c r="A146" s="311"/>
      <c r="B146" s="309"/>
      <c r="C146" s="311"/>
      <c r="D146" s="311"/>
      <c r="E146" s="325"/>
      <c r="F146" s="325"/>
      <c r="G146" s="325"/>
      <c r="H146" s="328"/>
      <c r="I146" s="325"/>
      <c r="J146" s="322"/>
      <c r="K146" s="313"/>
      <c r="L146" s="316"/>
      <c r="M146" s="334"/>
      <c r="N146" s="169"/>
      <c r="O146" s="313"/>
      <c r="P146" s="316"/>
      <c r="Q146" s="319"/>
      <c r="R146" s="159">
        <v>2</v>
      </c>
      <c r="S146" s="160"/>
      <c r="T146" s="161" t="str">
        <f t="shared" si="180"/>
        <v/>
      </c>
      <c r="U146" s="164"/>
      <c r="V146" s="164"/>
      <c r="W146" s="165" t="str">
        <f t="shared" si="181"/>
        <v/>
      </c>
      <c r="X146" s="164"/>
      <c r="Y146" s="164"/>
      <c r="Z146" s="164"/>
      <c r="AA146" s="143" t="str">
        <f t="shared" si="182"/>
        <v/>
      </c>
      <c r="AB146" s="154" t="str">
        <f t="shared" si="183"/>
        <v/>
      </c>
      <c r="AC146" s="155" t="str">
        <f t="shared" si="184"/>
        <v/>
      </c>
      <c r="AD146" s="154" t="str">
        <f t="shared" si="185"/>
        <v/>
      </c>
      <c r="AE146" s="155" t="str">
        <f t="shared" si="186"/>
        <v/>
      </c>
      <c r="AF146" s="156" t="str">
        <f t="shared" si="187"/>
        <v/>
      </c>
      <c r="AG146" s="157"/>
      <c r="AH146" s="152"/>
      <c r="AI146" s="150"/>
      <c r="AJ146" s="151"/>
      <c r="AK146" s="151"/>
      <c r="AL146" s="152"/>
      <c r="AM146" s="150"/>
      <c r="AN146" s="137"/>
      <c r="AO146" s="137"/>
      <c r="AP146" s="137"/>
      <c r="AQ146" s="216"/>
      <c r="AR146" s="216"/>
      <c r="AS146" s="137"/>
      <c r="AT146" s="137"/>
      <c r="AU146" s="137"/>
      <c r="AV146" s="137"/>
      <c r="AW146" s="137"/>
      <c r="AX146" s="137"/>
      <c r="AY146" s="137"/>
    </row>
    <row r="147" spans="1:51" s="149" customFormat="1" ht="151.5" hidden="1" customHeight="1" x14ac:dyDescent="0.25">
      <c r="A147" s="311"/>
      <c r="B147" s="310"/>
      <c r="C147" s="336"/>
      <c r="D147" s="336"/>
      <c r="E147" s="326"/>
      <c r="F147" s="326"/>
      <c r="G147" s="326"/>
      <c r="H147" s="329"/>
      <c r="I147" s="326"/>
      <c r="J147" s="323"/>
      <c r="K147" s="314"/>
      <c r="L147" s="317"/>
      <c r="M147" s="335"/>
      <c r="N147" s="169"/>
      <c r="O147" s="314"/>
      <c r="P147" s="317"/>
      <c r="Q147" s="320"/>
      <c r="R147" s="159">
        <v>3</v>
      </c>
      <c r="S147" s="160"/>
      <c r="T147" s="161" t="str">
        <f t="shared" si="180"/>
        <v/>
      </c>
      <c r="U147" s="164"/>
      <c r="V147" s="164"/>
      <c r="W147" s="165" t="str">
        <f t="shared" si="181"/>
        <v/>
      </c>
      <c r="X147" s="164"/>
      <c r="Y147" s="164"/>
      <c r="Z147" s="164"/>
      <c r="AA147" s="143" t="str">
        <f t="shared" si="182"/>
        <v/>
      </c>
      <c r="AB147" s="154" t="str">
        <f t="shared" si="183"/>
        <v/>
      </c>
      <c r="AC147" s="155" t="str">
        <f t="shared" si="184"/>
        <v/>
      </c>
      <c r="AD147" s="154" t="str">
        <f t="shared" si="185"/>
        <v/>
      </c>
      <c r="AE147" s="155" t="str">
        <f t="shared" si="186"/>
        <v/>
      </c>
      <c r="AF147" s="156" t="str">
        <f t="shared" si="187"/>
        <v/>
      </c>
      <c r="AG147" s="157"/>
      <c r="AH147" s="152"/>
      <c r="AI147" s="150"/>
      <c r="AJ147" s="151"/>
      <c r="AK147" s="151"/>
      <c r="AL147" s="152"/>
      <c r="AM147" s="150"/>
      <c r="AN147" s="137"/>
      <c r="AO147" s="137"/>
      <c r="AP147" s="137"/>
      <c r="AQ147" s="216"/>
      <c r="AR147" s="216"/>
      <c r="AS147" s="137"/>
      <c r="AT147" s="137"/>
      <c r="AU147" s="137"/>
      <c r="AV147" s="137"/>
      <c r="AW147" s="137"/>
      <c r="AX147" s="137"/>
      <c r="AY147" s="137"/>
    </row>
    <row r="148" spans="1:51" s="149" customFormat="1" ht="151.5" hidden="1" customHeight="1" x14ac:dyDescent="0.25">
      <c r="A148" s="311"/>
      <c r="B148" s="308"/>
      <c r="C148" s="337"/>
      <c r="D148" s="337"/>
      <c r="E148" s="324"/>
      <c r="F148" s="324"/>
      <c r="G148" s="324"/>
      <c r="H148" s="327"/>
      <c r="I148" s="324"/>
      <c r="J148" s="321"/>
      <c r="K148" s="312" t="str">
        <f>IF(J148&lt;=0,"",IF(J148&lt;=2,"Muy Baja",IF(J148&lt;=24,"Baja",IF(J148&lt;=500,"Media",IF(J148&lt;=5000,"Alta","Muy Alta")))))</f>
        <v/>
      </c>
      <c r="L148" s="315" t="str">
        <f>IF(K148="","",IF(K148="Muy Baja",0.2,IF(K148="Baja",0.4,IF(K148="Media",0.6,IF(K148="Alta",0.8,IF(K148="Muy Alta",1,))))))</f>
        <v/>
      </c>
      <c r="M148" s="333"/>
      <c r="N148" s="163">
        <f ca="1">IF(NOT(ISERROR(MATCH(M148,'Tabla Impacto'!$B$221:$B$223,0))),'Tabla Impacto'!$F$223&amp;"Por favor no seleccionar los criterios de impacto(Afectación Económica o presupuestal y Pérdida Reputacional)",M148)</f>
        <v>0</v>
      </c>
      <c r="O148" s="312" t="str">
        <f ca="1">IF(OR(N148='Tabla Impacto'!$C$11,N148='Tabla Impacto'!$D$11),"Leve",IF(OR(N148='Tabla Impacto'!$C$12,N148='Tabla Impacto'!$D$12),"Menor",IF(OR(N148='Tabla Impacto'!$C$13,N148='Tabla Impacto'!$D$13),"Moderado",IF(OR(N148='Tabla Impacto'!$C$14,N148='Tabla Impacto'!$D$14),"Mayor",IF(OR(N148='Tabla Impacto'!$C$15,N148='Tabla Impacto'!$D$15),"Catastrófico","")))))</f>
        <v/>
      </c>
      <c r="P148" s="315" t="str">
        <f ca="1">IF(O148="","",IF(O148="Leve",0.2,IF(O148="Menor",0.4,IF(O148="Moderado",0.6,IF(O148="Mayor",0.8,IF(O148="Catastrófico",1,))))))</f>
        <v/>
      </c>
      <c r="Q148" s="318" t="str">
        <f ca="1">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59">
        <v>1</v>
      </c>
      <c r="S148" s="160"/>
      <c r="T148" s="161" t="str">
        <f t="shared" si="180"/>
        <v/>
      </c>
      <c r="U148" s="164"/>
      <c r="V148" s="164"/>
      <c r="W148" s="165" t="str">
        <f t="shared" si="181"/>
        <v/>
      </c>
      <c r="X148" s="164"/>
      <c r="Y148" s="164"/>
      <c r="Z148" s="164"/>
      <c r="AA148" s="143" t="str">
        <f t="shared" si="182"/>
        <v/>
      </c>
      <c r="AB148" s="154" t="str">
        <f t="shared" si="183"/>
        <v/>
      </c>
      <c r="AC148" s="155" t="str">
        <f t="shared" si="184"/>
        <v/>
      </c>
      <c r="AD148" s="154" t="str">
        <f t="shared" si="185"/>
        <v/>
      </c>
      <c r="AE148" s="155" t="str">
        <f t="shared" si="186"/>
        <v/>
      </c>
      <c r="AF148" s="156" t="str">
        <f t="shared" si="187"/>
        <v/>
      </c>
      <c r="AG148" s="157"/>
      <c r="AH148" s="152"/>
      <c r="AI148" s="150"/>
      <c r="AJ148" s="151"/>
      <c r="AK148" s="151"/>
      <c r="AL148" s="152"/>
      <c r="AM148" s="150"/>
      <c r="AN148" s="137"/>
      <c r="AO148" s="137"/>
      <c r="AP148" s="137"/>
      <c r="AQ148" s="216"/>
      <c r="AR148" s="216"/>
      <c r="AS148" s="137"/>
      <c r="AT148" s="137"/>
      <c r="AU148" s="137"/>
      <c r="AV148" s="137"/>
      <c r="AW148" s="137"/>
      <c r="AX148" s="137"/>
      <c r="AY148" s="137"/>
    </row>
    <row r="149" spans="1:51" s="149" customFormat="1" ht="151.5" hidden="1" customHeight="1" x14ac:dyDescent="0.25">
      <c r="A149" s="311"/>
      <c r="B149" s="309"/>
      <c r="C149" s="311"/>
      <c r="D149" s="311"/>
      <c r="E149" s="325"/>
      <c r="F149" s="325"/>
      <c r="G149" s="325"/>
      <c r="H149" s="328"/>
      <c r="I149" s="325"/>
      <c r="J149" s="322"/>
      <c r="K149" s="313"/>
      <c r="L149" s="316"/>
      <c r="M149" s="334"/>
      <c r="N149" s="169"/>
      <c r="O149" s="313"/>
      <c r="P149" s="316"/>
      <c r="Q149" s="319"/>
      <c r="R149" s="159">
        <v>2</v>
      </c>
      <c r="S149" s="160"/>
      <c r="T149" s="161" t="str">
        <f t="shared" si="180"/>
        <v/>
      </c>
      <c r="U149" s="164"/>
      <c r="V149" s="164"/>
      <c r="W149" s="165" t="str">
        <f t="shared" si="181"/>
        <v/>
      </c>
      <c r="X149" s="164"/>
      <c r="Y149" s="164"/>
      <c r="Z149" s="164"/>
      <c r="AA149" s="143" t="str">
        <f t="shared" si="182"/>
        <v/>
      </c>
      <c r="AB149" s="154" t="str">
        <f t="shared" si="183"/>
        <v/>
      </c>
      <c r="AC149" s="155" t="str">
        <f t="shared" si="184"/>
        <v/>
      </c>
      <c r="AD149" s="154" t="str">
        <f t="shared" si="185"/>
        <v/>
      </c>
      <c r="AE149" s="155" t="str">
        <f t="shared" si="186"/>
        <v/>
      </c>
      <c r="AF149" s="156" t="str">
        <f t="shared" si="187"/>
        <v/>
      </c>
      <c r="AG149" s="157"/>
      <c r="AH149" s="152"/>
      <c r="AI149" s="150"/>
      <c r="AJ149" s="151"/>
      <c r="AK149" s="151"/>
      <c r="AL149" s="152"/>
      <c r="AM149" s="150"/>
      <c r="AQ149" s="223"/>
      <c r="AR149" s="223"/>
    </row>
    <row r="150" spans="1:51" s="149" customFormat="1" ht="48" customHeight="1" x14ac:dyDescent="0.25">
      <c r="A150" s="336"/>
      <c r="B150" s="310"/>
      <c r="C150" s="336"/>
      <c r="D150" s="336"/>
      <c r="E150" s="326"/>
      <c r="F150" s="326"/>
      <c r="G150" s="326"/>
      <c r="H150" s="329"/>
      <c r="I150" s="326"/>
      <c r="J150" s="323"/>
      <c r="K150" s="314"/>
      <c r="L150" s="317"/>
      <c r="M150" s="335"/>
      <c r="N150" s="169"/>
      <c r="O150" s="314"/>
      <c r="P150" s="317"/>
      <c r="Q150" s="320"/>
      <c r="R150" s="159">
        <v>3</v>
      </c>
      <c r="S150" s="160"/>
      <c r="T150" s="161" t="str">
        <f t="shared" si="180"/>
        <v/>
      </c>
      <c r="U150" s="164"/>
      <c r="V150" s="164"/>
      <c r="W150" s="165" t="str">
        <f t="shared" si="181"/>
        <v/>
      </c>
      <c r="X150" s="164"/>
      <c r="Y150" s="164"/>
      <c r="Z150" s="164"/>
      <c r="AA150" s="143" t="str">
        <f t="shared" si="182"/>
        <v/>
      </c>
      <c r="AB150" s="154" t="str">
        <f t="shared" si="183"/>
        <v/>
      </c>
      <c r="AC150" s="155" t="str">
        <f t="shared" si="184"/>
        <v/>
      </c>
      <c r="AD150" s="154" t="str">
        <f t="shared" si="185"/>
        <v/>
      </c>
      <c r="AE150" s="155" t="str">
        <f t="shared" si="186"/>
        <v/>
      </c>
      <c r="AF150" s="156" t="str">
        <f t="shared" si="187"/>
        <v/>
      </c>
      <c r="AG150" s="157"/>
      <c r="AH150" s="152"/>
      <c r="AI150" s="150"/>
      <c r="AJ150" s="151"/>
      <c r="AK150" s="151"/>
      <c r="AL150" s="152"/>
      <c r="AM150" s="150"/>
      <c r="AP150" s="226">
        <f>AVERAGE(AP7:AP142)</f>
        <v>0.30999999999999966</v>
      </c>
      <c r="AQ150" s="223"/>
      <c r="AR150" s="223"/>
      <c r="AS150" s="226">
        <f>AVERAGE(AS7:AS142)</f>
        <v>0.32507462686567123</v>
      </c>
    </row>
    <row r="151" spans="1:51" ht="49.5" customHeight="1" x14ac:dyDescent="0.25">
      <c r="A151" s="3"/>
      <c r="B151" s="96"/>
      <c r="C151" s="96"/>
      <c r="D151" s="96"/>
      <c r="E151" s="389" t="s">
        <v>511</v>
      </c>
      <c r="F151" s="390"/>
      <c r="G151" s="390"/>
      <c r="H151" s="390"/>
      <c r="I151" s="390"/>
      <c r="J151" s="390"/>
      <c r="K151" s="390"/>
      <c r="L151" s="390"/>
      <c r="M151" s="390"/>
      <c r="N151" s="390"/>
      <c r="O151" s="390"/>
      <c r="P151" s="390"/>
      <c r="Q151" s="390"/>
      <c r="R151" s="390"/>
      <c r="S151" s="390"/>
      <c r="T151" s="390"/>
      <c r="U151" s="390"/>
      <c r="V151" s="390"/>
      <c r="W151" s="390"/>
      <c r="X151" s="390"/>
      <c r="Y151" s="390"/>
      <c r="Z151" s="390"/>
      <c r="AA151" s="390"/>
      <c r="AB151" s="390"/>
      <c r="AC151" s="390"/>
      <c r="AD151" s="390"/>
      <c r="AE151" s="390"/>
      <c r="AF151" s="390"/>
      <c r="AG151" s="390"/>
      <c r="AH151" s="390"/>
      <c r="AI151" s="390"/>
      <c r="AJ151" s="390"/>
      <c r="AK151" s="390"/>
      <c r="AL151" s="390"/>
      <c r="AM151" s="391"/>
    </row>
    <row r="153" spans="1:51" x14ac:dyDescent="0.25">
      <c r="A153" s="2"/>
      <c r="B153" s="2"/>
      <c r="C153" s="2"/>
      <c r="D153" s="2"/>
      <c r="E153" s="20" t="s">
        <v>349</v>
      </c>
      <c r="F153" s="2"/>
      <c r="G153" s="2"/>
    </row>
  </sheetData>
  <autoFilter ref="A6:CP151"/>
  <dataConsolidate/>
  <mergeCells count="824">
    <mergeCell ref="AN4:AY4"/>
    <mergeCell ref="AN5:AP5"/>
    <mergeCell ref="AQ5:AS5"/>
    <mergeCell ref="AT5:AV5"/>
    <mergeCell ref="AW5:AX5"/>
    <mergeCell ref="AY5:AY6"/>
    <mergeCell ref="L5:L6"/>
    <mergeCell ref="O5:O6"/>
    <mergeCell ref="P5:P6"/>
    <mergeCell ref="AH5:AH6"/>
    <mergeCell ref="AM5:AM6"/>
    <mergeCell ref="AL5:AL6"/>
    <mergeCell ref="AK5:AK6"/>
    <mergeCell ref="AJ5:AJ6"/>
    <mergeCell ref="AI5:AI6"/>
    <mergeCell ref="AG5:AG6"/>
    <mergeCell ref="AD5:AD6"/>
    <mergeCell ref="AB5:AB6"/>
    <mergeCell ref="AY136:AY138"/>
    <mergeCell ref="AN136:AN138"/>
    <mergeCell ref="AO136:AO138"/>
    <mergeCell ref="AP136:AP138"/>
    <mergeCell ref="AQ136:AQ138"/>
    <mergeCell ref="AR136:AR138"/>
    <mergeCell ref="AS136:AS138"/>
    <mergeCell ref="AT136:AT138"/>
    <mergeCell ref="Q67:Q69"/>
    <mergeCell ref="Q85:Q87"/>
    <mergeCell ref="Q88:Q90"/>
    <mergeCell ref="Q118:Q120"/>
    <mergeCell ref="Q136:Q138"/>
    <mergeCell ref="AC5:AC6"/>
    <mergeCell ref="L82:L84"/>
    <mergeCell ref="M82:M84"/>
    <mergeCell ref="O82:O84"/>
    <mergeCell ref="P82:P84"/>
    <mergeCell ref="A67:A69"/>
    <mergeCell ref="B67:B69"/>
    <mergeCell ref="C67:C69"/>
    <mergeCell ref="D67:D69"/>
    <mergeCell ref="E67:E69"/>
    <mergeCell ref="F67:F69"/>
    <mergeCell ref="G67:G69"/>
    <mergeCell ref="H67:H69"/>
    <mergeCell ref="I67:I69"/>
    <mergeCell ref="J67:J69"/>
    <mergeCell ref="K67:K69"/>
    <mergeCell ref="L67:L69"/>
    <mergeCell ref="M67:M69"/>
    <mergeCell ref="O67:O69"/>
    <mergeCell ref="P67:P69"/>
    <mergeCell ref="B5:B6"/>
    <mergeCell ref="C5:C6"/>
    <mergeCell ref="D5:D6"/>
    <mergeCell ref="E151:AM151"/>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Q82:Q84"/>
    <mergeCell ref="G82:G84"/>
    <mergeCell ref="H82:H84"/>
    <mergeCell ref="I82:I84"/>
    <mergeCell ref="J82:J84"/>
    <mergeCell ref="K82:K84"/>
    <mergeCell ref="L13:L15"/>
    <mergeCell ref="M13:M15"/>
    <mergeCell ref="O13:O15"/>
    <mergeCell ref="K7:K9"/>
    <mergeCell ref="L7:L9"/>
    <mergeCell ref="M7:M9"/>
    <mergeCell ref="O7:O9"/>
    <mergeCell ref="E7:E9"/>
    <mergeCell ref="I7:I9"/>
    <mergeCell ref="J7:J9"/>
    <mergeCell ref="E5:E6"/>
    <mergeCell ref="Q5:Q6"/>
    <mergeCell ref="M5:M6"/>
    <mergeCell ref="N5:N6"/>
    <mergeCell ref="T5:T6"/>
    <mergeCell ref="D7:D9"/>
    <mergeCell ref="P7:P9"/>
    <mergeCell ref="J5:J6"/>
    <mergeCell ref="K5:K6"/>
    <mergeCell ref="Q7:Q9"/>
    <mergeCell ref="A13:A15"/>
    <mergeCell ref="B13:B15"/>
    <mergeCell ref="C13:C15"/>
    <mergeCell ref="D13:D15"/>
    <mergeCell ref="E13:E15"/>
    <mergeCell ref="F13:F15"/>
    <mergeCell ref="G13:G15"/>
    <mergeCell ref="H13:H15"/>
    <mergeCell ref="F7:F9"/>
    <mergeCell ref="G7:G9"/>
    <mergeCell ref="H7:H9"/>
    <mergeCell ref="A7:A9"/>
    <mergeCell ref="B7:B9"/>
    <mergeCell ref="C7:C9"/>
    <mergeCell ref="A16:A18"/>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B16:B18"/>
    <mergeCell ref="C16:C18"/>
    <mergeCell ref="I13:I15"/>
    <mergeCell ref="J13:J15"/>
    <mergeCell ref="K13:K15"/>
    <mergeCell ref="D16:D18"/>
    <mergeCell ref="E16:E18"/>
    <mergeCell ref="F16:F18"/>
    <mergeCell ref="G16:G18"/>
    <mergeCell ref="H16:H18"/>
    <mergeCell ref="K16:K18"/>
    <mergeCell ref="L16:L18"/>
    <mergeCell ref="I16:I18"/>
    <mergeCell ref="Q19:Q21"/>
    <mergeCell ref="P16:P18"/>
    <mergeCell ref="Q16:Q18"/>
    <mergeCell ref="J16:J18"/>
    <mergeCell ref="M16:M18"/>
    <mergeCell ref="O16:O18"/>
    <mergeCell ref="Q22:Q24"/>
    <mergeCell ref="A19:A21"/>
    <mergeCell ref="B19:B21"/>
    <mergeCell ref="C19:C21"/>
    <mergeCell ref="D19:D21"/>
    <mergeCell ref="E19:E21"/>
    <mergeCell ref="F19:F21"/>
    <mergeCell ref="G19:G21"/>
    <mergeCell ref="A22:A24"/>
    <mergeCell ref="B22:B24"/>
    <mergeCell ref="C22:C24"/>
    <mergeCell ref="D22:D24"/>
    <mergeCell ref="E22:E24"/>
    <mergeCell ref="F22:F24"/>
    <mergeCell ref="G22:G24"/>
    <mergeCell ref="H22:H24"/>
    <mergeCell ref="I22:I24"/>
    <mergeCell ref="H25:H27"/>
    <mergeCell ref="I25:I27"/>
    <mergeCell ref="I19:I21"/>
    <mergeCell ref="J19:J21"/>
    <mergeCell ref="K19:K21"/>
    <mergeCell ref="L19:L21"/>
    <mergeCell ref="M19:M21"/>
    <mergeCell ref="O19:O21"/>
    <mergeCell ref="P19:P21"/>
    <mergeCell ref="P25:P27"/>
    <mergeCell ref="H19:H21"/>
    <mergeCell ref="J22:J24"/>
    <mergeCell ref="K22:K24"/>
    <mergeCell ref="L22:L24"/>
    <mergeCell ref="M22:M24"/>
    <mergeCell ref="O22:O24"/>
    <mergeCell ref="P22:P24"/>
    <mergeCell ref="Q25:Q27"/>
    <mergeCell ref="P28:P30"/>
    <mergeCell ref="O28:O30"/>
    <mergeCell ref="Q28:Q30"/>
    <mergeCell ref="C28:C30"/>
    <mergeCell ref="B28:B30"/>
    <mergeCell ref="A28:A30"/>
    <mergeCell ref="J25:J27"/>
    <mergeCell ref="K25:K27"/>
    <mergeCell ref="L25:L27"/>
    <mergeCell ref="M25:M27"/>
    <mergeCell ref="O25:O27"/>
    <mergeCell ref="M28:M30"/>
    <mergeCell ref="L28:L30"/>
    <mergeCell ref="K28:K30"/>
    <mergeCell ref="J28:J30"/>
    <mergeCell ref="A25:A27"/>
    <mergeCell ref="B25:B27"/>
    <mergeCell ref="C25:C27"/>
    <mergeCell ref="D25:D27"/>
    <mergeCell ref="E25:E27"/>
    <mergeCell ref="F25:F27"/>
    <mergeCell ref="G25:G27"/>
    <mergeCell ref="H28:H30"/>
    <mergeCell ref="G28:G30"/>
    <mergeCell ref="F28:F30"/>
    <mergeCell ref="E28:E30"/>
    <mergeCell ref="D28:D30"/>
    <mergeCell ref="F31:F33"/>
    <mergeCell ref="G31:G33"/>
    <mergeCell ref="H31:H33"/>
    <mergeCell ref="I28:I30"/>
    <mergeCell ref="I31:I33"/>
    <mergeCell ref="J31:J33"/>
    <mergeCell ref="A34:A36"/>
    <mergeCell ref="B34:B36"/>
    <mergeCell ref="C31:C33"/>
    <mergeCell ref="D31:D33"/>
    <mergeCell ref="E31:E33"/>
    <mergeCell ref="L34:L36"/>
    <mergeCell ref="K34:K36"/>
    <mergeCell ref="J34:J36"/>
    <mergeCell ref="I34:I36"/>
    <mergeCell ref="H34:H36"/>
    <mergeCell ref="A31:A33"/>
    <mergeCell ref="B31:B33"/>
    <mergeCell ref="Q31:Q33"/>
    <mergeCell ref="Q34:Q36"/>
    <mergeCell ref="P34:P36"/>
    <mergeCell ref="O34:O36"/>
    <mergeCell ref="M34:M36"/>
    <mergeCell ref="K31:K33"/>
    <mergeCell ref="L31:L33"/>
    <mergeCell ref="M31:M33"/>
    <mergeCell ref="O31:O33"/>
    <mergeCell ref="P31:P33"/>
    <mergeCell ref="A37:A39"/>
    <mergeCell ref="B37:B39"/>
    <mergeCell ref="C37:C39"/>
    <mergeCell ref="D37:D39"/>
    <mergeCell ref="E37:E39"/>
    <mergeCell ref="G34:G36"/>
    <mergeCell ref="F34:F36"/>
    <mergeCell ref="E34:E36"/>
    <mergeCell ref="D34:D36"/>
    <mergeCell ref="C34:C36"/>
    <mergeCell ref="Q37:Q39"/>
    <mergeCell ref="K37:K39"/>
    <mergeCell ref="L37:L39"/>
    <mergeCell ref="M37:M39"/>
    <mergeCell ref="O37:O39"/>
    <mergeCell ref="P37:P39"/>
    <mergeCell ref="F37:F39"/>
    <mergeCell ref="G37:G39"/>
    <mergeCell ref="H37:H39"/>
    <mergeCell ref="I37:I39"/>
    <mergeCell ref="J37:J39"/>
    <mergeCell ref="A40:A42"/>
    <mergeCell ref="B40:B42"/>
    <mergeCell ref="C40:C42"/>
    <mergeCell ref="D40:D42"/>
    <mergeCell ref="E40:E42"/>
    <mergeCell ref="F40:F42"/>
    <mergeCell ref="G40:G42"/>
    <mergeCell ref="H40:H42"/>
    <mergeCell ref="I40:I42"/>
    <mergeCell ref="J40:J42"/>
    <mergeCell ref="K40:K42"/>
    <mergeCell ref="L40:L42"/>
    <mergeCell ref="M40:M42"/>
    <mergeCell ref="O40:O42"/>
    <mergeCell ref="P40:P42"/>
    <mergeCell ref="Q40:Q42"/>
    <mergeCell ref="J43:J45"/>
    <mergeCell ref="K43:K45"/>
    <mergeCell ref="L43:L45"/>
    <mergeCell ref="M43:M45"/>
    <mergeCell ref="O43:O45"/>
    <mergeCell ref="P43:P45"/>
    <mergeCell ref="Q43:Q45"/>
    <mergeCell ref="H46:H48"/>
    <mergeCell ref="I46:I48"/>
    <mergeCell ref="B43:B45"/>
    <mergeCell ref="C43:C45"/>
    <mergeCell ref="D43:D45"/>
    <mergeCell ref="E43:E45"/>
    <mergeCell ref="F43:F45"/>
    <mergeCell ref="G43:G45"/>
    <mergeCell ref="H43:H45"/>
    <mergeCell ref="I43:I45"/>
    <mergeCell ref="J46:J48"/>
    <mergeCell ref="K46:K48"/>
    <mergeCell ref="L46:L48"/>
    <mergeCell ref="M46:M48"/>
    <mergeCell ref="O46:O48"/>
    <mergeCell ref="P46:P48"/>
    <mergeCell ref="Q46:Q48"/>
    <mergeCell ref="A43:A45"/>
    <mergeCell ref="A49:A51"/>
    <mergeCell ref="B49:B51"/>
    <mergeCell ref="C49:C51"/>
    <mergeCell ref="D49:D51"/>
    <mergeCell ref="E49:E51"/>
    <mergeCell ref="F49:F51"/>
    <mergeCell ref="G49:G51"/>
    <mergeCell ref="H49:H51"/>
    <mergeCell ref="I49:I51"/>
    <mergeCell ref="B46:B48"/>
    <mergeCell ref="A46:A48"/>
    <mergeCell ref="C46:C48"/>
    <mergeCell ref="D46:D48"/>
    <mergeCell ref="E46:E48"/>
    <mergeCell ref="F46:F48"/>
    <mergeCell ref="G46:G48"/>
    <mergeCell ref="I52:I54"/>
    <mergeCell ref="P49:P51"/>
    <mergeCell ref="Q49:Q51"/>
    <mergeCell ref="Q52:Q54"/>
    <mergeCell ref="P52:P54"/>
    <mergeCell ref="O52:O54"/>
    <mergeCell ref="D55:D57"/>
    <mergeCell ref="E55:E57"/>
    <mergeCell ref="F55:F57"/>
    <mergeCell ref="G55:G57"/>
    <mergeCell ref="H55:H57"/>
    <mergeCell ref="J49:J51"/>
    <mergeCell ref="K49:K51"/>
    <mergeCell ref="L49:L51"/>
    <mergeCell ref="M49:M51"/>
    <mergeCell ref="O49:O51"/>
    <mergeCell ref="M52:M54"/>
    <mergeCell ref="L52:L54"/>
    <mergeCell ref="K52:K54"/>
    <mergeCell ref="J52:J54"/>
    <mergeCell ref="C52:C54"/>
    <mergeCell ref="B52:B54"/>
    <mergeCell ref="A52:A54"/>
    <mergeCell ref="A55:A57"/>
    <mergeCell ref="B55:B57"/>
    <mergeCell ref="C55:C57"/>
    <mergeCell ref="H52:H54"/>
    <mergeCell ref="G52:G54"/>
    <mergeCell ref="F52:F54"/>
    <mergeCell ref="E52:E54"/>
    <mergeCell ref="D52:D54"/>
    <mergeCell ref="J112:J114"/>
    <mergeCell ref="I112:I114"/>
    <mergeCell ref="O55:O57"/>
    <mergeCell ref="P55:P57"/>
    <mergeCell ref="Q55:Q57"/>
    <mergeCell ref="O58:O60"/>
    <mergeCell ref="P58:P60"/>
    <mergeCell ref="Q58:Q60"/>
    <mergeCell ref="O61:O63"/>
    <mergeCell ref="P61:P63"/>
    <mergeCell ref="Q61:Q63"/>
    <mergeCell ref="O64:O66"/>
    <mergeCell ref="I55:I57"/>
    <mergeCell ref="J55:J57"/>
    <mergeCell ref="K55:K57"/>
    <mergeCell ref="L55:L57"/>
    <mergeCell ref="M55:M57"/>
    <mergeCell ref="I109:I111"/>
    <mergeCell ref="J109:J111"/>
    <mergeCell ref="K109:K111"/>
    <mergeCell ref="L109:L111"/>
    <mergeCell ref="M109:M111"/>
    <mergeCell ref="I58:I60"/>
    <mergeCell ref="J58:J60"/>
    <mergeCell ref="C112:C114"/>
    <mergeCell ref="B112:B114"/>
    <mergeCell ref="A112:A114"/>
    <mergeCell ref="A109:A111"/>
    <mergeCell ref="B109:B111"/>
    <mergeCell ref="C109:C111"/>
    <mergeCell ref="H112:H114"/>
    <mergeCell ref="G112:G114"/>
    <mergeCell ref="F112:F114"/>
    <mergeCell ref="E112:E114"/>
    <mergeCell ref="D112:D114"/>
    <mergeCell ref="D109:D111"/>
    <mergeCell ref="E109:E111"/>
    <mergeCell ref="F109:F111"/>
    <mergeCell ref="G109:G111"/>
    <mergeCell ref="H109:H111"/>
    <mergeCell ref="D121:D123"/>
    <mergeCell ref="E121:E123"/>
    <mergeCell ref="F121:F123"/>
    <mergeCell ref="G121:G123"/>
    <mergeCell ref="A115:A117"/>
    <mergeCell ref="B115:B117"/>
    <mergeCell ref="C115:C117"/>
    <mergeCell ref="D115:D117"/>
    <mergeCell ref="E115:E117"/>
    <mergeCell ref="F115:F117"/>
    <mergeCell ref="G115:G117"/>
    <mergeCell ref="F118:F120"/>
    <mergeCell ref="G118:G120"/>
    <mergeCell ref="A118:A120"/>
    <mergeCell ref="B118:B120"/>
    <mergeCell ref="C118:C120"/>
    <mergeCell ref="D118:D120"/>
    <mergeCell ref="E118:E120"/>
    <mergeCell ref="M121:M123"/>
    <mergeCell ref="O121:O123"/>
    <mergeCell ref="P121:P123"/>
    <mergeCell ref="Q121:Q123"/>
    <mergeCell ref="A103:A105"/>
    <mergeCell ref="B103:B105"/>
    <mergeCell ref="C103:C105"/>
    <mergeCell ref="D103:D105"/>
    <mergeCell ref="E103:E105"/>
    <mergeCell ref="F103:F105"/>
    <mergeCell ref="G103:G105"/>
    <mergeCell ref="H103:H105"/>
    <mergeCell ref="I103:I105"/>
    <mergeCell ref="J103:J105"/>
    <mergeCell ref="K103:K105"/>
    <mergeCell ref="L103:L105"/>
    <mergeCell ref="H121:H123"/>
    <mergeCell ref="I121:I123"/>
    <mergeCell ref="J121:J123"/>
    <mergeCell ref="K121:K123"/>
    <mergeCell ref="L121:L123"/>
    <mergeCell ref="A121:A123"/>
    <mergeCell ref="B121:B123"/>
    <mergeCell ref="C121:C123"/>
    <mergeCell ref="A85:A87"/>
    <mergeCell ref="A79:A81"/>
    <mergeCell ref="A76:A78"/>
    <mergeCell ref="A73:A75"/>
    <mergeCell ref="A70:A72"/>
    <mergeCell ref="A100:A102"/>
    <mergeCell ref="A94:A96"/>
    <mergeCell ref="A91:A93"/>
    <mergeCell ref="A88:A90"/>
    <mergeCell ref="A82:A84"/>
    <mergeCell ref="A97:A99"/>
    <mergeCell ref="A64:A66"/>
    <mergeCell ref="A61:A63"/>
    <mergeCell ref="A58:A60"/>
    <mergeCell ref="B58:B60"/>
    <mergeCell ref="C58:C60"/>
    <mergeCell ref="B61:B63"/>
    <mergeCell ref="C61:C63"/>
    <mergeCell ref="B64:B66"/>
    <mergeCell ref="C64:C66"/>
    <mergeCell ref="K58:K60"/>
    <mergeCell ref="L58:L60"/>
    <mergeCell ref="M58:M60"/>
    <mergeCell ref="D58:D60"/>
    <mergeCell ref="E58:E60"/>
    <mergeCell ref="F58:F60"/>
    <mergeCell ref="G58:G60"/>
    <mergeCell ref="H58:H60"/>
    <mergeCell ref="G64:G66"/>
    <mergeCell ref="H64:H66"/>
    <mergeCell ref="I61:I63"/>
    <mergeCell ref="J61:J63"/>
    <mergeCell ref="K61:K63"/>
    <mergeCell ref="L61:L63"/>
    <mergeCell ref="M61:M63"/>
    <mergeCell ref="D61:D63"/>
    <mergeCell ref="E61:E63"/>
    <mergeCell ref="F61:F63"/>
    <mergeCell ref="G61:G63"/>
    <mergeCell ref="H61:H63"/>
    <mergeCell ref="P64:P66"/>
    <mergeCell ref="Q64:Q66"/>
    <mergeCell ref="B70:B72"/>
    <mergeCell ref="C70:C72"/>
    <mergeCell ref="D70:D72"/>
    <mergeCell ref="E70:E72"/>
    <mergeCell ref="F70:F72"/>
    <mergeCell ref="G70:G72"/>
    <mergeCell ref="H70:H72"/>
    <mergeCell ref="I70:I72"/>
    <mergeCell ref="J70:J72"/>
    <mergeCell ref="K70:K72"/>
    <mergeCell ref="L70:L72"/>
    <mergeCell ref="M70:M72"/>
    <mergeCell ref="O70:O72"/>
    <mergeCell ref="P70:P72"/>
    <mergeCell ref="I64:I66"/>
    <mergeCell ref="J64:J66"/>
    <mergeCell ref="K64:K66"/>
    <mergeCell ref="L64:L66"/>
    <mergeCell ref="M64:M66"/>
    <mergeCell ref="D64:D66"/>
    <mergeCell ref="E64:E66"/>
    <mergeCell ref="F64:F66"/>
    <mergeCell ref="B76:B78"/>
    <mergeCell ref="C76:C78"/>
    <mergeCell ref="D76:D78"/>
    <mergeCell ref="E76:E78"/>
    <mergeCell ref="F76:F78"/>
    <mergeCell ref="Q70:Q72"/>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Q73:Q75"/>
    <mergeCell ref="L76:L78"/>
    <mergeCell ref="M76:M78"/>
    <mergeCell ref="O76:O78"/>
    <mergeCell ref="P76:P78"/>
    <mergeCell ref="Q76:Q78"/>
    <mergeCell ref="G76:G78"/>
    <mergeCell ref="H76:H78"/>
    <mergeCell ref="I76:I78"/>
    <mergeCell ref="J76:J78"/>
    <mergeCell ref="K76:K78"/>
    <mergeCell ref="K79:K81"/>
    <mergeCell ref="J79:J81"/>
    <mergeCell ref="I79:I81"/>
    <mergeCell ref="H79:H81"/>
    <mergeCell ref="G79:G81"/>
    <mergeCell ref="Q79:Q81"/>
    <mergeCell ref="P79:P81"/>
    <mergeCell ref="O79:O81"/>
    <mergeCell ref="M79:M81"/>
    <mergeCell ref="L79:L81"/>
    <mergeCell ref="C85:C87"/>
    <mergeCell ref="D85:D87"/>
    <mergeCell ref="E85:E87"/>
    <mergeCell ref="F85:F87"/>
    <mergeCell ref="F79:F81"/>
    <mergeCell ref="E79:E81"/>
    <mergeCell ref="D79:D81"/>
    <mergeCell ref="C79:C81"/>
    <mergeCell ref="B79:B81"/>
    <mergeCell ref="B82:B84"/>
    <mergeCell ref="C82:C84"/>
    <mergeCell ref="D82:D84"/>
    <mergeCell ref="E82:E84"/>
    <mergeCell ref="F82:F84"/>
    <mergeCell ref="B88:B90"/>
    <mergeCell ref="C88:C90"/>
    <mergeCell ref="D88:D90"/>
    <mergeCell ref="E88:E90"/>
    <mergeCell ref="F88:F90"/>
    <mergeCell ref="L85:L87"/>
    <mergeCell ref="M85:M87"/>
    <mergeCell ref="O85:O87"/>
    <mergeCell ref="P85:P87"/>
    <mergeCell ref="L88:L90"/>
    <mergeCell ref="M88:M90"/>
    <mergeCell ref="O88:O90"/>
    <mergeCell ref="P88:P90"/>
    <mergeCell ref="G88:G90"/>
    <mergeCell ref="H88:H90"/>
    <mergeCell ref="I88:I90"/>
    <mergeCell ref="J88:J90"/>
    <mergeCell ref="K88:K90"/>
    <mergeCell ref="G85:G87"/>
    <mergeCell ref="H85:H87"/>
    <mergeCell ref="I85:I87"/>
    <mergeCell ref="J85:J87"/>
    <mergeCell ref="K85:K87"/>
    <mergeCell ref="B85:B87"/>
    <mergeCell ref="E91:E93"/>
    <mergeCell ref="D91:D93"/>
    <mergeCell ref="C91:C93"/>
    <mergeCell ref="B91:B93"/>
    <mergeCell ref="K91:K93"/>
    <mergeCell ref="J91:J93"/>
    <mergeCell ref="I91:I93"/>
    <mergeCell ref="H91:H93"/>
    <mergeCell ref="G91:G93"/>
    <mergeCell ref="O94:O96"/>
    <mergeCell ref="P94:P96"/>
    <mergeCell ref="Q94:Q96"/>
    <mergeCell ref="G94:G96"/>
    <mergeCell ref="H94:H96"/>
    <mergeCell ref="I94:I96"/>
    <mergeCell ref="J94:J96"/>
    <mergeCell ref="K94:K96"/>
    <mergeCell ref="F91:F93"/>
    <mergeCell ref="Q91:Q93"/>
    <mergeCell ref="P91:P93"/>
    <mergeCell ref="O91:O93"/>
    <mergeCell ref="M91:M93"/>
    <mergeCell ref="L91:L93"/>
    <mergeCell ref="B94:B96"/>
    <mergeCell ref="C94:C96"/>
    <mergeCell ref="D94:D96"/>
    <mergeCell ref="E94:E96"/>
    <mergeCell ref="F94:F96"/>
    <mergeCell ref="K97:K99"/>
    <mergeCell ref="L97:L99"/>
    <mergeCell ref="N97:N99"/>
    <mergeCell ref="M97:M99"/>
    <mergeCell ref="L94:L96"/>
    <mergeCell ref="M94:M96"/>
    <mergeCell ref="B100:B102"/>
    <mergeCell ref="C100:C102"/>
    <mergeCell ref="D100:D102"/>
    <mergeCell ref="E100:E102"/>
    <mergeCell ref="F100:F102"/>
    <mergeCell ref="G100:G102"/>
    <mergeCell ref="H100:H102"/>
    <mergeCell ref="I100:I102"/>
    <mergeCell ref="J100:J102"/>
    <mergeCell ref="K100:K102"/>
    <mergeCell ref="M103:M105"/>
    <mergeCell ref="O103:O105"/>
    <mergeCell ref="P103:P105"/>
    <mergeCell ref="Q103:Q105"/>
    <mergeCell ref="L100:L102"/>
    <mergeCell ref="M100:M102"/>
    <mergeCell ref="O100:O102"/>
    <mergeCell ref="P100:P102"/>
    <mergeCell ref="Q100:Q102"/>
    <mergeCell ref="P118:P120"/>
    <mergeCell ref="O118:O120"/>
    <mergeCell ref="M118:M120"/>
    <mergeCell ref="M115:M117"/>
    <mergeCell ref="O115:O117"/>
    <mergeCell ref="P115:P117"/>
    <mergeCell ref="Q115:Q117"/>
    <mergeCell ref="H115:H117"/>
    <mergeCell ref="I115:I117"/>
    <mergeCell ref="J115:J117"/>
    <mergeCell ref="K115:K117"/>
    <mergeCell ref="L115:L117"/>
    <mergeCell ref="K118:K120"/>
    <mergeCell ref="L118:L120"/>
    <mergeCell ref="H118:H120"/>
    <mergeCell ref="I118:I120"/>
    <mergeCell ref="J118:J120"/>
    <mergeCell ref="G106:G108"/>
    <mergeCell ref="H106:H108"/>
    <mergeCell ref="I106:I108"/>
    <mergeCell ref="J106:J108"/>
    <mergeCell ref="A106:A108"/>
    <mergeCell ref="B106:B108"/>
    <mergeCell ref="C106:C108"/>
    <mergeCell ref="D106:D108"/>
    <mergeCell ref="E106:E108"/>
    <mergeCell ref="B124:B126"/>
    <mergeCell ref="C124:C126"/>
    <mergeCell ref="D124:D126"/>
    <mergeCell ref="E124:E126"/>
    <mergeCell ref="F124:F126"/>
    <mergeCell ref="G124:G126"/>
    <mergeCell ref="H124:H126"/>
    <mergeCell ref="I124:I126"/>
    <mergeCell ref="Q106:Q108"/>
    <mergeCell ref="O109:O111"/>
    <mergeCell ref="P109:P111"/>
    <mergeCell ref="Q109:Q111"/>
    <mergeCell ref="O112:O114"/>
    <mergeCell ref="P112:P114"/>
    <mergeCell ref="Q112:Q114"/>
    <mergeCell ref="K106:K108"/>
    <mergeCell ref="L106:L108"/>
    <mergeCell ref="M106:M108"/>
    <mergeCell ref="O106:O108"/>
    <mergeCell ref="P106:P108"/>
    <mergeCell ref="M112:M114"/>
    <mergeCell ref="L112:L114"/>
    <mergeCell ref="K112:K114"/>
    <mergeCell ref="F106:F108"/>
    <mergeCell ref="J124:J126"/>
    <mergeCell ref="K124:K126"/>
    <mergeCell ref="L124:L126"/>
    <mergeCell ref="M124:M126"/>
    <mergeCell ref="O124:O126"/>
    <mergeCell ref="P124:P126"/>
    <mergeCell ref="Q124:Q126"/>
    <mergeCell ref="A127:A129"/>
    <mergeCell ref="B127:B129"/>
    <mergeCell ref="C127:C129"/>
    <mergeCell ref="D127:D129"/>
    <mergeCell ref="E127:E129"/>
    <mergeCell ref="F127:F129"/>
    <mergeCell ref="G127:G129"/>
    <mergeCell ref="H127:H129"/>
    <mergeCell ref="I127:I129"/>
    <mergeCell ref="J127:J129"/>
    <mergeCell ref="K127:K129"/>
    <mergeCell ref="L127:L129"/>
    <mergeCell ref="M127:M129"/>
    <mergeCell ref="O127:O129"/>
    <mergeCell ref="P127:P129"/>
    <mergeCell ref="Q127:Q129"/>
    <mergeCell ref="A124:A126"/>
    <mergeCell ref="A130:A132"/>
    <mergeCell ref="B130:B132"/>
    <mergeCell ref="J130:J132"/>
    <mergeCell ref="A133:A135"/>
    <mergeCell ref="B133:B135"/>
    <mergeCell ref="C133:C135"/>
    <mergeCell ref="D133:D135"/>
    <mergeCell ref="E133:E135"/>
    <mergeCell ref="F133:F135"/>
    <mergeCell ref="G133:G135"/>
    <mergeCell ref="H133:H135"/>
    <mergeCell ref="I133:I135"/>
    <mergeCell ref="O130:O132"/>
    <mergeCell ref="P130:P132"/>
    <mergeCell ref="Q130:Q132"/>
    <mergeCell ref="J133:J135"/>
    <mergeCell ref="K133:K135"/>
    <mergeCell ref="L133:L135"/>
    <mergeCell ref="M133:M135"/>
    <mergeCell ref="O133:O135"/>
    <mergeCell ref="P133:P135"/>
    <mergeCell ref="Q133:Q135"/>
    <mergeCell ref="C130:C132"/>
    <mergeCell ref="D130:D132"/>
    <mergeCell ref="E130:E132"/>
    <mergeCell ref="F130:F132"/>
    <mergeCell ref="G130:G132"/>
    <mergeCell ref="H130:H132"/>
    <mergeCell ref="I130:I132"/>
    <mergeCell ref="K130:K132"/>
    <mergeCell ref="M136:M138"/>
    <mergeCell ref="D136:D138"/>
    <mergeCell ref="C136:C138"/>
    <mergeCell ref="L130:L132"/>
    <mergeCell ref="M130:M132"/>
    <mergeCell ref="K142:K144"/>
    <mergeCell ref="L142:L144"/>
    <mergeCell ref="M142:M144"/>
    <mergeCell ref="O142:O144"/>
    <mergeCell ref="P142:P144"/>
    <mergeCell ref="Q142:Q144"/>
    <mergeCell ref="A139:A141"/>
    <mergeCell ref="B139:B141"/>
    <mergeCell ref="A142:A144"/>
    <mergeCell ref="B142:B144"/>
    <mergeCell ref="C142:C144"/>
    <mergeCell ref="D142:D144"/>
    <mergeCell ref="E142:E144"/>
    <mergeCell ref="F142:F144"/>
    <mergeCell ref="G142:G144"/>
    <mergeCell ref="H142:H144"/>
    <mergeCell ref="I142:I144"/>
    <mergeCell ref="K139:K141"/>
    <mergeCell ref="L139:L141"/>
    <mergeCell ref="M139:M141"/>
    <mergeCell ref="O139:O141"/>
    <mergeCell ref="P139:P141"/>
    <mergeCell ref="Q139:Q141"/>
    <mergeCell ref="C145:C147"/>
    <mergeCell ref="D145:D147"/>
    <mergeCell ref="E145:E147"/>
    <mergeCell ref="F145:F147"/>
    <mergeCell ref="G145:G147"/>
    <mergeCell ref="H145:H147"/>
    <mergeCell ref="I145:I147"/>
    <mergeCell ref="J139:J141"/>
    <mergeCell ref="C139:C141"/>
    <mergeCell ref="D139:D141"/>
    <mergeCell ref="E139:E141"/>
    <mergeCell ref="F139:F141"/>
    <mergeCell ref="G139:G141"/>
    <mergeCell ref="H139:H141"/>
    <mergeCell ref="I139:I141"/>
    <mergeCell ref="J145:J147"/>
    <mergeCell ref="J142:J144"/>
    <mergeCell ref="K145:K147"/>
    <mergeCell ref="L145:L147"/>
    <mergeCell ref="M145:M147"/>
    <mergeCell ref="O145:O147"/>
    <mergeCell ref="P145:P147"/>
    <mergeCell ref="Q145:Q147"/>
    <mergeCell ref="A148:A150"/>
    <mergeCell ref="B148:B150"/>
    <mergeCell ref="C148:C150"/>
    <mergeCell ref="D148:D150"/>
    <mergeCell ref="E148:E150"/>
    <mergeCell ref="F148:F150"/>
    <mergeCell ref="G148:G150"/>
    <mergeCell ref="H148:H150"/>
    <mergeCell ref="I148:I150"/>
    <mergeCell ref="J148:J150"/>
    <mergeCell ref="K148:K150"/>
    <mergeCell ref="L148:L150"/>
    <mergeCell ref="M148:M150"/>
    <mergeCell ref="O148:O150"/>
    <mergeCell ref="P148:P150"/>
    <mergeCell ref="Q148:Q150"/>
    <mergeCell ref="A145:A147"/>
    <mergeCell ref="B145:B147"/>
    <mergeCell ref="B136:B138"/>
    <mergeCell ref="A136:A138"/>
    <mergeCell ref="O97:O99"/>
    <mergeCell ref="P97:P99"/>
    <mergeCell ref="Q97:Q99"/>
    <mergeCell ref="J136:J138"/>
    <mergeCell ref="I136:I138"/>
    <mergeCell ref="H136:H138"/>
    <mergeCell ref="G136:G138"/>
    <mergeCell ref="F136:F138"/>
    <mergeCell ref="E136:E138"/>
    <mergeCell ref="B97:B99"/>
    <mergeCell ref="C97:C99"/>
    <mergeCell ref="D97:D99"/>
    <mergeCell ref="E97:E99"/>
    <mergeCell ref="F97:F99"/>
    <mergeCell ref="G97:G99"/>
    <mergeCell ref="H97:H99"/>
    <mergeCell ref="I97:I99"/>
    <mergeCell ref="J97:J99"/>
    <mergeCell ref="K136:K138"/>
    <mergeCell ref="L136:L138"/>
    <mergeCell ref="O136:O138"/>
    <mergeCell ref="P136:P138"/>
  </mergeCells>
  <conditionalFormatting sqref="K7">
    <cfRule type="cellIs" dxfId="691" priority="3310" operator="equal">
      <formula>"Alta"</formula>
    </cfRule>
    <cfRule type="cellIs" dxfId="690" priority="3313" operator="equal">
      <formula>"Muy Baja"</formula>
    </cfRule>
    <cfRule type="cellIs" dxfId="689" priority="3309" operator="equal">
      <formula>"Muy Alta"</formula>
    </cfRule>
    <cfRule type="cellIs" dxfId="688" priority="3312" operator="equal">
      <formula>"Baja"</formula>
    </cfRule>
    <cfRule type="cellIs" dxfId="687" priority="3311" operator="equal">
      <formula>"Media"</formula>
    </cfRule>
  </conditionalFormatting>
  <conditionalFormatting sqref="K10">
    <cfRule type="cellIs" dxfId="686" priority="1858" operator="equal">
      <formula>"Muy Alta"</formula>
    </cfRule>
    <cfRule type="cellIs" dxfId="685" priority="1859" operator="equal">
      <formula>"Alta"</formula>
    </cfRule>
    <cfRule type="cellIs" dxfId="684" priority="1860" operator="equal">
      <formula>"Media"</formula>
    </cfRule>
    <cfRule type="cellIs" dxfId="683" priority="1861" operator="equal">
      <formula>"Baja"</formula>
    </cfRule>
    <cfRule type="cellIs" dxfId="682" priority="1862" operator="equal">
      <formula>"Muy Baja"</formula>
    </cfRule>
  </conditionalFormatting>
  <conditionalFormatting sqref="K13">
    <cfRule type="cellIs" dxfId="681" priority="1845" operator="equal">
      <formula>"Media"</formula>
    </cfRule>
    <cfRule type="cellIs" dxfId="680" priority="1843" operator="equal">
      <formula>"Muy Alta"</formula>
    </cfRule>
    <cfRule type="cellIs" dxfId="679" priority="1847" operator="equal">
      <formula>"Muy Baja"</formula>
    </cfRule>
    <cfRule type="cellIs" dxfId="678" priority="1844" operator="equal">
      <formula>"Alta"</formula>
    </cfRule>
    <cfRule type="cellIs" dxfId="677" priority="1846" operator="equal">
      <formula>"Baja"</formula>
    </cfRule>
  </conditionalFormatting>
  <conditionalFormatting sqref="K16">
    <cfRule type="cellIs" dxfId="676" priority="1800" operator="equal">
      <formula>"Media"</formula>
    </cfRule>
    <cfRule type="cellIs" dxfId="675" priority="1799" operator="equal">
      <formula>"Alta"</formula>
    </cfRule>
    <cfRule type="cellIs" dxfId="674" priority="1798" operator="equal">
      <formula>"Muy Alta"</formula>
    </cfRule>
    <cfRule type="cellIs" dxfId="673" priority="1802" operator="equal">
      <formula>"Muy Baja"</formula>
    </cfRule>
    <cfRule type="cellIs" dxfId="672" priority="1801" operator="equal">
      <formula>"Baja"</formula>
    </cfRule>
  </conditionalFormatting>
  <conditionalFormatting sqref="K19">
    <cfRule type="cellIs" dxfId="671" priority="1784" operator="equal">
      <formula>"Alta"</formula>
    </cfRule>
    <cfRule type="cellIs" dxfId="670" priority="1787" operator="equal">
      <formula>"Muy Baja"</formula>
    </cfRule>
    <cfRule type="cellIs" dxfId="669" priority="1786" operator="equal">
      <formula>"Baja"</formula>
    </cfRule>
    <cfRule type="cellIs" dxfId="668" priority="1785" operator="equal">
      <formula>"Media"</formula>
    </cfRule>
    <cfRule type="cellIs" dxfId="667" priority="1783" operator="equal">
      <formula>"Muy Alta"</formula>
    </cfRule>
  </conditionalFormatting>
  <conditionalFormatting sqref="K22">
    <cfRule type="cellIs" dxfId="666" priority="1770" operator="equal">
      <formula>"Media"</formula>
    </cfRule>
    <cfRule type="cellIs" dxfId="665" priority="1768" operator="equal">
      <formula>"Muy Alta"</formula>
    </cfRule>
    <cfRule type="cellIs" dxfId="664" priority="1772" operator="equal">
      <formula>"Muy Baja"</formula>
    </cfRule>
    <cfRule type="cellIs" dxfId="663" priority="1769" operator="equal">
      <formula>"Alta"</formula>
    </cfRule>
    <cfRule type="cellIs" dxfId="662" priority="1771" operator="equal">
      <formula>"Baja"</formula>
    </cfRule>
  </conditionalFormatting>
  <conditionalFormatting sqref="K25">
    <cfRule type="cellIs" dxfId="661" priority="1755" operator="equal">
      <formula>"Media"</formula>
    </cfRule>
    <cfRule type="cellIs" dxfId="660" priority="1756" operator="equal">
      <formula>"Baja"</formula>
    </cfRule>
    <cfRule type="cellIs" dxfId="659" priority="1754" operator="equal">
      <formula>"Alta"</formula>
    </cfRule>
    <cfRule type="cellIs" dxfId="658" priority="1753" operator="equal">
      <formula>"Muy Alta"</formula>
    </cfRule>
    <cfRule type="cellIs" dxfId="657" priority="1757" operator="equal">
      <formula>"Muy Baja"</formula>
    </cfRule>
  </conditionalFormatting>
  <conditionalFormatting sqref="K28">
    <cfRule type="cellIs" dxfId="656" priority="1742" operator="equal">
      <formula>"Muy Baja"</formula>
    </cfRule>
    <cfRule type="cellIs" dxfId="655" priority="1739" operator="equal">
      <formula>"Alta"</formula>
    </cfRule>
    <cfRule type="cellIs" dxfId="654" priority="1738" operator="equal">
      <formula>"Muy Alta"</formula>
    </cfRule>
    <cfRule type="cellIs" dxfId="653" priority="1740" operator="equal">
      <formula>"Media"</formula>
    </cfRule>
    <cfRule type="cellIs" dxfId="652" priority="1741" operator="equal">
      <formula>"Baja"</formula>
    </cfRule>
  </conditionalFormatting>
  <conditionalFormatting sqref="K31">
    <cfRule type="cellIs" dxfId="651" priority="1725" operator="equal">
      <formula>"Media"</formula>
    </cfRule>
    <cfRule type="cellIs" dxfId="650" priority="1727" operator="equal">
      <formula>"Muy Baja"</formula>
    </cfRule>
    <cfRule type="cellIs" dxfId="649" priority="1726" operator="equal">
      <formula>"Baja"</formula>
    </cfRule>
    <cfRule type="cellIs" dxfId="648" priority="1724" operator="equal">
      <formula>"Alta"</formula>
    </cfRule>
    <cfRule type="cellIs" dxfId="647" priority="1723" operator="equal">
      <formula>"Muy Alta"</formula>
    </cfRule>
  </conditionalFormatting>
  <conditionalFormatting sqref="K34">
    <cfRule type="cellIs" dxfId="646" priority="1712" operator="equal">
      <formula>"Muy Baja"</formula>
    </cfRule>
    <cfRule type="cellIs" dxfId="645" priority="1709" operator="equal">
      <formula>"Alta"</formula>
    </cfRule>
    <cfRule type="cellIs" dxfId="644" priority="1710" operator="equal">
      <formula>"Media"</formula>
    </cfRule>
    <cfRule type="cellIs" dxfId="643" priority="1711" operator="equal">
      <formula>"Baja"</formula>
    </cfRule>
    <cfRule type="cellIs" dxfId="642" priority="1708" operator="equal">
      <formula>"Muy Alta"</formula>
    </cfRule>
  </conditionalFormatting>
  <conditionalFormatting sqref="K37">
    <cfRule type="cellIs" dxfId="641" priority="1693" operator="equal">
      <formula>"Muy Alta"</formula>
    </cfRule>
    <cfRule type="cellIs" dxfId="640" priority="1694" operator="equal">
      <formula>"Alta"</formula>
    </cfRule>
    <cfRule type="cellIs" dxfId="639" priority="1695" operator="equal">
      <formula>"Media"</formula>
    </cfRule>
    <cfRule type="cellIs" dxfId="638" priority="1697" operator="equal">
      <formula>"Muy Baja"</formula>
    </cfRule>
    <cfRule type="cellIs" dxfId="637" priority="1696" operator="equal">
      <formula>"Baja"</formula>
    </cfRule>
  </conditionalFormatting>
  <conditionalFormatting sqref="K40">
    <cfRule type="cellIs" dxfId="636" priority="1663" operator="equal">
      <formula>"Muy Alta"</formula>
    </cfRule>
    <cfRule type="cellIs" dxfId="635" priority="1666" operator="equal">
      <formula>"Baja"</formula>
    </cfRule>
    <cfRule type="cellIs" dxfId="634" priority="1665" operator="equal">
      <formula>"Media"</formula>
    </cfRule>
    <cfRule type="cellIs" dxfId="633" priority="1664" operator="equal">
      <formula>"Alta"</formula>
    </cfRule>
    <cfRule type="cellIs" dxfId="632" priority="1667" operator="equal">
      <formula>"Muy Baja"</formula>
    </cfRule>
  </conditionalFormatting>
  <conditionalFormatting sqref="K43">
    <cfRule type="cellIs" dxfId="631" priority="1652" operator="equal">
      <formula>"Muy Baja"</formula>
    </cfRule>
    <cfRule type="cellIs" dxfId="630" priority="1651" operator="equal">
      <formula>"Baja"</formula>
    </cfRule>
    <cfRule type="cellIs" dxfId="629" priority="1650" operator="equal">
      <formula>"Media"</formula>
    </cfRule>
    <cfRule type="cellIs" dxfId="628" priority="1649" operator="equal">
      <formula>"Alta"</formula>
    </cfRule>
    <cfRule type="cellIs" dxfId="627" priority="1648" operator="equal">
      <formula>"Muy Alta"</formula>
    </cfRule>
  </conditionalFormatting>
  <conditionalFormatting sqref="K46">
    <cfRule type="cellIs" dxfId="626" priority="1637" operator="equal">
      <formula>"Muy Baja"</formula>
    </cfRule>
    <cfRule type="cellIs" dxfId="625" priority="1636" operator="equal">
      <formula>"Baja"</formula>
    </cfRule>
    <cfRule type="cellIs" dxfId="624" priority="1635" operator="equal">
      <formula>"Media"</formula>
    </cfRule>
    <cfRule type="cellIs" dxfId="623" priority="1634" operator="equal">
      <formula>"Alta"</formula>
    </cfRule>
    <cfRule type="cellIs" dxfId="622" priority="1633" operator="equal">
      <formula>"Muy Alta"</formula>
    </cfRule>
  </conditionalFormatting>
  <conditionalFormatting sqref="K49">
    <cfRule type="cellIs" dxfId="621" priority="1618" operator="equal">
      <formula>"Muy Alta"</formula>
    </cfRule>
    <cfRule type="cellIs" dxfId="620" priority="1619" operator="equal">
      <formula>"Alta"</formula>
    </cfRule>
    <cfRule type="cellIs" dxfId="619" priority="1620" operator="equal">
      <formula>"Media"</formula>
    </cfRule>
    <cfRule type="cellIs" dxfId="618" priority="1621" operator="equal">
      <formula>"Baja"</formula>
    </cfRule>
    <cfRule type="cellIs" dxfId="617" priority="1622" operator="equal">
      <formula>"Muy Baja"</formula>
    </cfRule>
  </conditionalFormatting>
  <conditionalFormatting sqref="K52">
    <cfRule type="cellIs" dxfId="616" priority="1604" operator="equal">
      <formula>"Alta"</formula>
    </cfRule>
    <cfRule type="cellIs" dxfId="615" priority="1605" operator="equal">
      <formula>"Media"</formula>
    </cfRule>
    <cfRule type="cellIs" dxfId="614" priority="1606" operator="equal">
      <formula>"Baja"</formula>
    </cfRule>
    <cfRule type="cellIs" dxfId="613" priority="1607" operator="equal">
      <formula>"Muy Baja"</formula>
    </cfRule>
    <cfRule type="cellIs" dxfId="612" priority="1603" operator="equal">
      <formula>"Muy Alta"</formula>
    </cfRule>
  </conditionalFormatting>
  <conditionalFormatting sqref="K55">
    <cfRule type="cellIs" dxfId="611" priority="1588" operator="equal">
      <formula>"Muy Alta"</formula>
    </cfRule>
    <cfRule type="cellIs" dxfId="610" priority="1589" operator="equal">
      <formula>"Alta"</formula>
    </cfRule>
    <cfRule type="cellIs" dxfId="609" priority="1590" operator="equal">
      <formula>"Media"</formula>
    </cfRule>
    <cfRule type="cellIs" dxfId="608" priority="1591" operator="equal">
      <formula>"Baja"</formula>
    </cfRule>
    <cfRule type="cellIs" dxfId="607" priority="1592" operator="equal">
      <formula>"Muy Baja"</formula>
    </cfRule>
  </conditionalFormatting>
  <conditionalFormatting sqref="K58">
    <cfRule type="cellIs" dxfId="606" priority="1573" operator="equal">
      <formula>"Muy Alta"</formula>
    </cfRule>
    <cfRule type="cellIs" dxfId="605" priority="1574" operator="equal">
      <formula>"Alta"</formula>
    </cfRule>
    <cfRule type="cellIs" dxfId="604" priority="1575" operator="equal">
      <formula>"Media"</formula>
    </cfRule>
    <cfRule type="cellIs" dxfId="603" priority="1576" operator="equal">
      <formula>"Baja"</formula>
    </cfRule>
    <cfRule type="cellIs" dxfId="602" priority="1577" operator="equal">
      <formula>"Muy Baja"</formula>
    </cfRule>
  </conditionalFormatting>
  <conditionalFormatting sqref="K61">
    <cfRule type="cellIs" dxfId="601" priority="1562" operator="equal">
      <formula>"Muy Baja"</formula>
    </cfRule>
    <cfRule type="cellIs" dxfId="600" priority="1559" operator="equal">
      <formula>"Alta"</formula>
    </cfRule>
    <cfRule type="cellIs" dxfId="599" priority="1558" operator="equal">
      <formula>"Muy Alta"</formula>
    </cfRule>
    <cfRule type="cellIs" dxfId="598" priority="1560" operator="equal">
      <formula>"Media"</formula>
    </cfRule>
    <cfRule type="cellIs" dxfId="597" priority="1561" operator="equal">
      <formula>"Baja"</formula>
    </cfRule>
  </conditionalFormatting>
  <conditionalFormatting sqref="K64">
    <cfRule type="cellIs" dxfId="596" priority="1547" operator="equal">
      <formula>"Muy Baja"</formula>
    </cfRule>
    <cfRule type="cellIs" dxfId="595" priority="1543" operator="equal">
      <formula>"Muy Alta"</formula>
    </cfRule>
    <cfRule type="cellIs" dxfId="594" priority="1544" operator="equal">
      <formula>"Alta"</formula>
    </cfRule>
    <cfRule type="cellIs" dxfId="593" priority="1545" operator="equal">
      <formula>"Media"</formula>
    </cfRule>
    <cfRule type="cellIs" dxfId="592" priority="1546" operator="equal">
      <formula>"Baja"</formula>
    </cfRule>
  </conditionalFormatting>
  <conditionalFormatting sqref="K67">
    <cfRule type="cellIs" dxfId="591" priority="14" operator="equal">
      <formula>"Baja"</formula>
    </cfRule>
    <cfRule type="cellIs" dxfId="590" priority="11" operator="equal">
      <formula>"Muy Alta"</formula>
    </cfRule>
    <cfRule type="cellIs" dxfId="589" priority="12" operator="equal">
      <formula>"Alta"</formula>
    </cfRule>
    <cfRule type="cellIs" dxfId="588" priority="13" operator="equal">
      <formula>"Media"</formula>
    </cfRule>
    <cfRule type="cellIs" dxfId="587" priority="15" operator="equal">
      <formula>"Muy Baja"</formula>
    </cfRule>
  </conditionalFormatting>
  <conditionalFormatting sqref="K70">
    <cfRule type="cellIs" dxfId="586" priority="1531" operator="equal">
      <formula>"Baja"</formula>
    </cfRule>
    <cfRule type="cellIs" dxfId="585" priority="1530" operator="equal">
      <formula>"Media"</formula>
    </cfRule>
    <cfRule type="cellIs" dxfId="584" priority="1529" operator="equal">
      <formula>"Alta"</formula>
    </cfRule>
    <cfRule type="cellIs" dxfId="583" priority="1528" operator="equal">
      <formula>"Muy Alta"</formula>
    </cfRule>
    <cfRule type="cellIs" dxfId="582" priority="1532" operator="equal">
      <formula>"Muy Baja"</formula>
    </cfRule>
  </conditionalFormatting>
  <conditionalFormatting sqref="K73">
    <cfRule type="cellIs" dxfId="581" priority="1515" operator="equal">
      <formula>"Media"</formula>
    </cfRule>
    <cfRule type="cellIs" dxfId="580" priority="1514" operator="equal">
      <formula>"Alta"</formula>
    </cfRule>
    <cfRule type="cellIs" dxfId="579" priority="1513" operator="equal">
      <formula>"Muy Alta"</formula>
    </cfRule>
    <cfRule type="cellIs" dxfId="578" priority="1517" operator="equal">
      <formula>"Muy Baja"</formula>
    </cfRule>
    <cfRule type="cellIs" dxfId="577" priority="1516" operator="equal">
      <formula>"Baja"</formula>
    </cfRule>
  </conditionalFormatting>
  <conditionalFormatting sqref="K76">
    <cfRule type="cellIs" dxfId="576" priority="1499" operator="equal">
      <formula>"Alta"</formula>
    </cfRule>
    <cfRule type="cellIs" dxfId="575" priority="1501" operator="equal">
      <formula>"Baja"</formula>
    </cfRule>
    <cfRule type="cellIs" dxfId="574" priority="1498" operator="equal">
      <formula>"Muy Alta"</formula>
    </cfRule>
    <cfRule type="cellIs" dxfId="573" priority="1502" operator="equal">
      <formula>"Muy Baja"</formula>
    </cfRule>
    <cfRule type="cellIs" dxfId="572" priority="1500" operator="equal">
      <formula>"Media"</formula>
    </cfRule>
  </conditionalFormatting>
  <conditionalFormatting sqref="K79">
    <cfRule type="cellIs" dxfId="571" priority="1485" operator="equal">
      <formula>"Media"</formula>
    </cfRule>
    <cfRule type="cellIs" dxfId="570" priority="1487" operator="equal">
      <formula>"Muy Baja"</formula>
    </cfRule>
    <cfRule type="cellIs" dxfId="569" priority="1486" operator="equal">
      <formula>"Baja"</formula>
    </cfRule>
    <cfRule type="cellIs" dxfId="568" priority="1484" operator="equal">
      <formula>"Alta"</formula>
    </cfRule>
    <cfRule type="cellIs" dxfId="567" priority="1483" operator="equal">
      <formula>"Muy Alta"</formula>
    </cfRule>
  </conditionalFormatting>
  <conditionalFormatting sqref="K82">
    <cfRule type="cellIs" dxfId="566" priority="172" operator="equal">
      <formula>"Muy Baja"</formula>
    </cfRule>
    <cfRule type="cellIs" dxfId="565" priority="171" operator="equal">
      <formula>"Baja"</formula>
    </cfRule>
    <cfRule type="cellIs" dxfId="564" priority="170" operator="equal">
      <formula>"Media"</formula>
    </cfRule>
    <cfRule type="cellIs" dxfId="563" priority="169" operator="equal">
      <formula>"Alta"</formula>
    </cfRule>
    <cfRule type="cellIs" dxfId="562" priority="168" operator="equal">
      <formula>"Muy Alta"</formula>
    </cfRule>
  </conditionalFormatting>
  <conditionalFormatting sqref="K85">
    <cfRule type="cellIs" dxfId="561" priority="1471" operator="equal">
      <formula>"Baja"</formula>
    </cfRule>
    <cfRule type="cellIs" dxfId="560" priority="1472" operator="equal">
      <formula>"Muy Baja"</formula>
    </cfRule>
    <cfRule type="cellIs" dxfId="559" priority="1470" operator="equal">
      <formula>"Media"</formula>
    </cfRule>
    <cfRule type="cellIs" dxfId="558" priority="1469" operator="equal">
      <formula>"Alta"</formula>
    </cfRule>
    <cfRule type="cellIs" dxfId="557" priority="1468" operator="equal">
      <formula>"Muy Alta"</formula>
    </cfRule>
  </conditionalFormatting>
  <conditionalFormatting sqref="K88">
    <cfRule type="cellIs" dxfId="556" priority="1453" operator="equal">
      <formula>"Muy Alta"</formula>
    </cfRule>
    <cfRule type="cellIs" dxfId="555" priority="1454" operator="equal">
      <formula>"Alta"</formula>
    </cfRule>
    <cfRule type="cellIs" dxfId="554" priority="1455" operator="equal">
      <formula>"Media"</formula>
    </cfRule>
    <cfRule type="cellIs" dxfId="553" priority="1456" operator="equal">
      <formula>"Baja"</formula>
    </cfRule>
    <cfRule type="cellIs" dxfId="552" priority="1457" operator="equal">
      <formula>"Muy Baja"</formula>
    </cfRule>
  </conditionalFormatting>
  <conditionalFormatting sqref="K91">
    <cfRule type="cellIs" dxfId="551" priority="1438" operator="equal">
      <formula>"Muy Alta"</formula>
    </cfRule>
    <cfRule type="cellIs" dxfId="550" priority="1439" operator="equal">
      <formula>"Alta"</formula>
    </cfRule>
    <cfRule type="cellIs" dxfId="549" priority="1440" operator="equal">
      <formula>"Media"</formula>
    </cfRule>
    <cfRule type="cellIs" dxfId="548" priority="1441" operator="equal">
      <formula>"Baja"</formula>
    </cfRule>
    <cfRule type="cellIs" dxfId="547" priority="1442" operator="equal">
      <formula>"Muy Baja"</formula>
    </cfRule>
  </conditionalFormatting>
  <conditionalFormatting sqref="K94:K95">
    <cfRule type="cellIs" dxfId="546" priority="1427" operator="equal">
      <formula>"Muy Baja"</formula>
    </cfRule>
    <cfRule type="cellIs" dxfId="545" priority="1426" operator="equal">
      <formula>"Baja"</formula>
    </cfRule>
    <cfRule type="cellIs" dxfId="544" priority="1425" operator="equal">
      <formula>"Media"</formula>
    </cfRule>
    <cfRule type="cellIs" dxfId="543" priority="1424" operator="equal">
      <formula>"Alta"</formula>
    </cfRule>
    <cfRule type="cellIs" dxfId="542" priority="1423" operator="equal">
      <formula>"Muy Alta"</formula>
    </cfRule>
  </conditionalFormatting>
  <conditionalFormatting sqref="K97">
    <cfRule type="cellIs" dxfId="541" priority="83" operator="equal">
      <formula>"Muy Alta"</formula>
    </cfRule>
    <cfRule type="cellIs" dxfId="540" priority="84" operator="equal">
      <formula>"Alta"</formula>
    </cfRule>
    <cfRule type="cellIs" dxfId="539" priority="87" operator="equal">
      <formula>"Muy Baja"</formula>
    </cfRule>
    <cfRule type="cellIs" dxfId="538" priority="86" operator="equal">
      <formula>"Baja"</formula>
    </cfRule>
    <cfRule type="cellIs" dxfId="537" priority="85" operator="equal">
      <formula>"Media"</formula>
    </cfRule>
  </conditionalFormatting>
  <conditionalFormatting sqref="K100">
    <cfRule type="cellIs" dxfId="536" priority="1396" operator="equal">
      <formula>"Baja"</formula>
    </cfRule>
    <cfRule type="cellIs" dxfId="535" priority="1397" operator="equal">
      <formula>"Muy Baja"</formula>
    </cfRule>
    <cfRule type="cellIs" dxfId="534" priority="1393" operator="equal">
      <formula>"Muy Alta"</formula>
    </cfRule>
    <cfRule type="cellIs" dxfId="533" priority="1394" operator="equal">
      <formula>"Alta"</formula>
    </cfRule>
    <cfRule type="cellIs" dxfId="532" priority="1395" operator="equal">
      <formula>"Media"</formula>
    </cfRule>
  </conditionalFormatting>
  <conditionalFormatting sqref="K103">
    <cfRule type="cellIs" dxfId="531" priority="1378" operator="equal">
      <formula>"Muy Alta"</formula>
    </cfRule>
    <cfRule type="cellIs" dxfId="530" priority="1379" operator="equal">
      <formula>"Alta"</formula>
    </cfRule>
    <cfRule type="cellIs" dxfId="529" priority="1380" operator="equal">
      <formula>"Media"</formula>
    </cfRule>
    <cfRule type="cellIs" dxfId="528" priority="1381" operator="equal">
      <formula>"Baja"</formula>
    </cfRule>
    <cfRule type="cellIs" dxfId="527" priority="1382" operator="equal">
      <formula>"Muy Baja"</formula>
    </cfRule>
  </conditionalFormatting>
  <conditionalFormatting sqref="K106">
    <cfRule type="cellIs" dxfId="526" priority="1310" operator="equal">
      <formula>"Muy Baja"</formula>
    </cfRule>
    <cfRule type="cellIs" dxfId="525" priority="1308" operator="equal">
      <formula>"Media"</formula>
    </cfRule>
    <cfRule type="cellIs" dxfId="524" priority="1307" operator="equal">
      <formula>"Alta"</formula>
    </cfRule>
    <cfRule type="cellIs" dxfId="523" priority="1306" operator="equal">
      <formula>"Muy Alta"</formula>
    </cfRule>
    <cfRule type="cellIs" dxfId="522" priority="1309" operator="equal">
      <formula>"Baja"</formula>
    </cfRule>
  </conditionalFormatting>
  <conditionalFormatting sqref="K109">
    <cfRule type="cellIs" dxfId="521" priority="1251" operator="equal">
      <formula>"Media"</formula>
    </cfRule>
    <cfRule type="cellIs" dxfId="520" priority="1250" operator="equal">
      <formula>"Alta"</formula>
    </cfRule>
    <cfRule type="cellIs" dxfId="519" priority="1249" operator="equal">
      <formula>"Muy Alta"</formula>
    </cfRule>
    <cfRule type="cellIs" dxfId="518" priority="1252" operator="equal">
      <formula>"Baja"</formula>
    </cfRule>
    <cfRule type="cellIs" dxfId="517" priority="1253" operator="equal">
      <formula>"Muy Baja"</formula>
    </cfRule>
  </conditionalFormatting>
  <conditionalFormatting sqref="K112">
    <cfRule type="cellIs" dxfId="516" priority="1196" operator="equal">
      <formula>"Muy Baja"</formula>
    </cfRule>
    <cfRule type="cellIs" dxfId="515" priority="1195" operator="equal">
      <formula>"Baja"</formula>
    </cfRule>
    <cfRule type="cellIs" dxfId="514" priority="1194" operator="equal">
      <formula>"Media"</formula>
    </cfRule>
    <cfRule type="cellIs" dxfId="513" priority="1193" operator="equal">
      <formula>"Alta"</formula>
    </cfRule>
    <cfRule type="cellIs" dxfId="512" priority="1192" operator="equal">
      <formula>"Muy Alta"</formula>
    </cfRule>
  </conditionalFormatting>
  <conditionalFormatting sqref="K115">
    <cfRule type="cellIs" dxfId="511" priority="1138" operator="equal">
      <formula>"Baja"</formula>
    </cfRule>
    <cfRule type="cellIs" dxfId="510" priority="1139" operator="equal">
      <formula>"Muy Baja"</formula>
    </cfRule>
    <cfRule type="cellIs" dxfId="509" priority="1135" operator="equal">
      <formula>"Muy Alta"</formula>
    </cfRule>
    <cfRule type="cellIs" dxfId="508" priority="1136" operator="equal">
      <formula>"Alta"</formula>
    </cfRule>
    <cfRule type="cellIs" dxfId="507" priority="1137" operator="equal">
      <formula>"Media"</formula>
    </cfRule>
  </conditionalFormatting>
  <conditionalFormatting sqref="K118">
    <cfRule type="cellIs" dxfId="506" priority="1078" operator="equal">
      <formula>"Muy Alta"</formula>
    </cfRule>
    <cfRule type="cellIs" dxfId="505" priority="1079" operator="equal">
      <formula>"Alta"</formula>
    </cfRule>
    <cfRule type="cellIs" dxfId="504" priority="1080" operator="equal">
      <formula>"Media"</formula>
    </cfRule>
    <cfRule type="cellIs" dxfId="503" priority="1081" operator="equal">
      <formula>"Baja"</formula>
    </cfRule>
    <cfRule type="cellIs" dxfId="502" priority="1082" operator="equal">
      <formula>"Muy Baja"</formula>
    </cfRule>
  </conditionalFormatting>
  <conditionalFormatting sqref="K121">
    <cfRule type="cellIs" dxfId="501" priority="1367" operator="equal">
      <formula>"Muy Baja"</formula>
    </cfRule>
    <cfRule type="cellIs" dxfId="500" priority="1365" operator="equal">
      <formula>"Media"</formula>
    </cfRule>
    <cfRule type="cellIs" dxfId="499" priority="1364" operator="equal">
      <formula>"Alta"</formula>
    </cfRule>
    <cfRule type="cellIs" dxfId="498" priority="1366" operator="equal">
      <formula>"Baja"</formula>
    </cfRule>
    <cfRule type="cellIs" dxfId="497" priority="1363" operator="equal">
      <formula>"Muy Alta"</formula>
    </cfRule>
  </conditionalFormatting>
  <conditionalFormatting sqref="K124">
    <cfRule type="cellIs" dxfId="496" priority="1023" operator="equal">
      <formula>"Media"</formula>
    </cfRule>
    <cfRule type="cellIs" dxfId="495" priority="1024" operator="equal">
      <formula>"Baja"</formula>
    </cfRule>
    <cfRule type="cellIs" dxfId="494" priority="1025" operator="equal">
      <formula>"Muy Baja"</formula>
    </cfRule>
    <cfRule type="cellIs" dxfId="493" priority="1021" operator="equal">
      <formula>"Muy Alta"</formula>
    </cfRule>
    <cfRule type="cellIs" dxfId="492" priority="1022" operator="equal">
      <formula>"Alta"</formula>
    </cfRule>
  </conditionalFormatting>
  <conditionalFormatting sqref="K127">
    <cfRule type="cellIs" dxfId="491" priority="951" operator="equal">
      <formula>"Media"</formula>
    </cfRule>
    <cfRule type="cellIs" dxfId="490" priority="949" operator="equal">
      <formula>"Muy Alta"</formula>
    </cfRule>
    <cfRule type="cellIs" dxfId="489" priority="950" operator="equal">
      <formula>"Alta"</formula>
    </cfRule>
    <cfRule type="cellIs" dxfId="488" priority="952" operator="equal">
      <formula>"Baja"</formula>
    </cfRule>
    <cfRule type="cellIs" dxfId="487" priority="953" operator="equal">
      <formula>"Muy Baja"</formula>
    </cfRule>
  </conditionalFormatting>
  <conditionalFormatting sqref="K130">
    <cfRule type="cellIs" dxfId="486" priority="880" operator="equal">
      <formula>"Baja"</formula>
    </cfRule>
    <cfRule type="cellIs" dxfId="485" priority="879" operator="equal">
      <formula>"Media"</formula>
    </cfRule>
    <cfRule type="cellIs" dxfId="484" priority="877" operator="equal">
      <formula>"Muy Alta"</formula>
    </cfRule>
    <cfRule type="cellIs" dxfId="483" priority="881" operator="equal">
      <formula>"Muy Baja"</formula>
    </cfRule>
    <cfRule type="cellIs" dxfId="482" priority="878" operator="equal">
      <formula>"Alta"</formula>
    </cfRule>
  </conditionalFormatting>
  <conditionalFormatting sqref="K133">
    <cfRule type="cellIs" dxfId="481" priority="809" operator="equal">
      <formula>"Muy Baja"</formula>
    </cfRule>
    <cfRule type="cellIs" dxfId="480" priority="808" operator="equal">
      <formula>"Baja"</formula>
    </cfRule>
    <cfRule type="cellIs" dxfId="479" priority="807" operator="equal">
      <formula>"Media"</formula>
    </cfRule>
    <cfRule type="cellIs" dxfId="478" priority="806" operator="equal">
      <formula>"Alta"</formula>
    </cfRule>
    <cfRule type="cellIs" dxfId="477" priority="805" operator="equal">
      <formula>"Muy Alta"</formula>
    </cfRule>
  </conditionalFormatting>
  <conditionalFormatting sqref="K136">
    <cfRule type="cellIs" dxfId="476" priority="664" operator="equal">
      <formula>"Baja"</formula>
    </cfRule>
    <cfRule type="cellIs" dxfId="475" priority="663" operator="equal">
      <formula>"Media"</formula>
    </cfRule>
    <cfRule type="cellIs" dxfId="474" priority="661" operator="equal">
      <formula>"Muy Alta"</formula>
    </cfRule>
    <cfRule type="cellIs" dxfId="473" priority="662" operator="equal">
      <formula>"Alta"</formula>
    </cfRule>
    <cfRule type="cellIs" dxfId="472" priority="665" operator="equal">
      <formula>"Muy Baja"</formula>
    </cfRule>
  </conditionalFormatting>
  <conditionalFormatting sqref="K139">
    <cfRule type="cellIs" dxfId="471" priority="592" operator="equal">
      <formula>"Baja"</formula>
    </cfRule>
    <cfRule type="cellIs" dxfId="470" priority="591" operator="equal">
      <formula>"Media"</formula>
    </cfRule>
    <cfRule type="cellIs" dxfId="469" priority="590" operator="equal">
      <formula>"Alta"</formula>
    </cfRule>
    <cfRule type="cellIs" dxfId="468" priority="589" operator="equal">
      <formula>"Muy Alta"</formula>
    </cfRule>
    <cfRule type="cellIs" dxfId="467" priority="593" operator="equal">
      <formula>"Muy Baja"</formula>
    </cfRule>
  </conditionalFormatting>
  <conditionalFormatting sqref="K142">
    <cfRule type="cellIs" dxfId="466" priority="521" operator="equal">
      <formula>"Muy Baja"</formula>
    </cfRule>
    <cfRule type="cellIs" dxfId="465" priority="520" operator="equal">
      <formula>"Baja"</formula>
    </cfRule>
    <cfRule type="cellIs" dxfId="464" priority="519" operator="equal">
      <formula>"Media"</formula>
    </cfRule>
    <cfRule type="cellIs" dxfId="463" priority="518" operator="equal">
      <formula>"Alta"</formula>
    </cfRule>
    <cfRule type="cellIs" dxfId="462" priority="517" operator="equal">
      <formula>"Muy Alta"</formula>
    </cfRule>
  </conditionalFormatting>
  <conditionalFormatting sqref="K145">
    <cfRule type="cellIs" dxfId="461" priority="449" operator="equal">
      <formula>"Muy Baja"</formula>
    </cfRule>
    <cfRule type="cellIs" dxfId="460" priority="445" operator="equal">
      <formula>"Muy Alta"</formula>
    </cfRule>
    <cfRule type="cellIs" dxfId="459" priority="448" operator="equal">
      <formula>"Baja"</formula>
    </cfRule>
    <cfRule type="cellIs" dxfId="458" priority="446" operator="equal">
      <formula>"Alta"</formula>
    </cfRule>
    <cfRule type="cellIs" dxfId="457" priority="447" operator="equal">
      <formula>"Media"</formula>
    </cfRule>
  </conditionalFormatting>
  <conditionalFormatting sqref="K148">
    <cfRule type="cellIs" dxfId="456" priority="376" operator="equal">
      <formula>"Baja"</formula>
    </cfRule>
    <cfRule type="cellIs" dxfId="455" priority="375" operator="equal">
      <formula>"Media"</formula>
    </cfRule>
    <cfRule type="cellIs" dxfId="454" priority="374" operator="equal">
      <formula>"Alta"</formula>
    </cfRule>
    <cfRule type="cellIs" dxfId="453" priority="373" operator="equal">
      <formula>"Muy Alta"</formula>
    </cfRule>
    <cfRule type="cellIs" dxfId="452" priority="377" operator="equal">
      <formula>"Muy Baja"</formula>
    </cfRule>
  </conditionalFormatting>
  <conditionalFormatting sqref="N7:N97">
    <cfRule type="containsText" dxfId="451" priority="1" operator="containsText" text="❌">
      <formula>NOT(ISERROR(SEARCH("❌",N7)))</formula>
    </cfRule>
  </conditionalFormatting>
  <conditionalFormatting sqref="N100:N150">
    <cfRule type="containsText" dxfId="450" priority="348" operator="containsText" text="❌">
      <formula>NOT(ISERROR(SEARCH("❌",N100)))</formula>
    </cfRule>
  </conditionalFormatting>
  <conditionalFormatting sqref="O7">
    <cfRule type="cellIs" dxfId="449" priority="289" operator="equal">
      <formula>"Moderado"</formula>
    </cfRule>
    <cfRule type="cellIs" dxfId="448" priority="291" operator="equal">
      <formula>"Leve"</formula>
    </cfRule>
    <cfRule type="cellIs" dxfId="447" priority="290" operator="equal">
      <formula>"Menor"</formula>
    </cfRule>
    <cfRule type="cellIs" dxfId="446" priority="287" operator="equal">
      <formula>"Catastrófico"</formula>
    </cfRule>
    <cfRule type="cellIs" dxfId="445" priority="288" operator="equal">
      <formula>"Mayor"</formula>
    </cfRule>
  </conditionalFormatting>
  <conditionalFormatting sqref="O10">
    <cfRule type="cellIs" dxfId="444" priority="1854" operator="equal">
      <formula>"Mayor"</formula>
    </cfRule>
    <cfRule type="cellIs" dxfId="443" priority="1853" operator="equal">
      <formula>"Catastrófico"</formula>
    </cfRule>
    <cfRule type="cellIs" dxfId="442" priority="1855" operator="equal">
      <formula>"Moderado"</formula>
    </cfRule>
    <cfRule type="cellIs" dxfId="441" priority="1857" operator="equal">
      <formula>"Leve"</formula>
    </cfRule>
    <cfRule type="cellIs" dxfId="440" priority="1856" operator="equal">
      <formula>"Menor"</formula>
    </cfRule>
  </conditionalFormatting>
  <conditionalFormatting sqref="O13">
    <cfRule type="cellIs" dxfId="439" priority="1838" operator="equal">
      <formula>"Catastrófico"</formula>
    </cfRule>
    <cfRule type="cellIs" dxfId="438" priority="1839" operator="equal">
      <formula>"Mayor"</formula>
    </cfRule>
    <cfRule type="cellIs" dxfId="437" priority="1840" operator="equal">
      <formula>"Moderado"</formula>
    </cfRule>
    <cfRule type="cellIs" dxfId="436" priority="1841" operator="equal">
      <formula>"Menor"</formula>
    </cfRule>
    <cfRule type="cellIs" dxfId="435" priority="1842" operator="equal">
      <formula>"Leve"</formula>
    </cfRule>
  </conditionalFormatting>
  <conditionalFormatting sqref="O16">
    <cfRule type="cellIs" dxfId="434" priority="1793" operator="equal">
      <formula>"Catastrófico"</formula>
    </cfRule>
    <cfRule type="cellIs" dxfId="433" priority="1794" operator="equal">
      <formula>"Mayor"</formula>
    </cfRule>
    <cfRule type="cellIs" dxfId="432" priority="1796" operator="equal">
      <formula>"Menor"</formula>
    </cfRule>
    <cfRule type="cellIs" dxfId="431" priority="1795" operator="equal">
      <formula>"Moderado"</formula>
    </cfRule>
    <cfRule type="cellIs" dxfId="430" priority="1797" operator="equal">
      <formula>"Leve"</formula>
    </cfRule>
  </conditionalFormatting>
  <conditionalFormatting sqref="O19">
    <cfRule type="cellIs" dxfId="429" priority="1778" operator="equal">
      <formula>"Catastrófico"</formula>
    </cfRule>
    <cfRule type="cellIs" dxfId="428" priority="1779" operator="equal">
      <formula>"Mayor"</formula>
    </cfRule>
    <cfRule type="cellIs" dxfId="427" priority="1780" operator="equal">
      <formula>"Moderado"</formula>
    </cfRule>
    <cfRule type="cellIs" dxfId="426" priority="1781" operator="equal">
      <formula>"Menor"</formula>
    </cfRule>
    <cfRule type="cellIs" dxfId="425" priority="1782" operator="equal">
      <formula>"Leve"</formula>
    </cfRule>
  </conditionalFormatting>
  <conditionalFormatting sqref="O22">
    <cfRule type="cellIs" dxfId="424" priority="1765" operator="equal">
      <formula>"Moderado"</formula>
    </cfRule>
    <cfRule type="cellIs" dxfId="423" priority="1766" operator="equal">
      <formula>"Menor"</formula>
    </cfRule>
    <cfRule type="cellIs" dxfId="422" priority="1767" operator="equal">
      <formula>"Leve"</formula>
    </cfRule>
    <cfRule type="cellIs" dxfId="421" priority="1764" operator="equal">
      <formula>"Mayor"</formula>
    </cfRule>
    <cfRule type="cellIs" dxfId="420" priority="1763" operator="equal">
      <formula>"Catastrófico"</formula>
    </cfRule>
  </conditionalFormatting>
  <conditionalFormatting sqref="O25">
    <cfRule type="cellIs" dxfId="419" priority="1751" operator="equal">
      <formula>"Menor"</formula>
    </cfRule>
    <cfRule type="cellIs" dxfId="418" priority="1752" operator="equal">
      <formula>"Leve"</formula>
    </cfRule>
    <cfRule type="cellIs" dxfId="417" priority="1750" operator="equal">
      <formula>"Moderado"</formula>
    </cfRule>
    <cfRule type="cellIs" dxfId="416" priority="1748" operator="equal">
      <formula>"Catastrófico"</formula>
    </cfRule>
    <cfRule type="cellIs" dxfId="415" priority="1749" operator="equal">
      <formula>"Mayor"</formula>
    </cfRule>
  </conditionalFormatting>
  <conditionalFormatting sqref="O28">
    <cfRule type="cellIs" dxfId="414" priority="1736" operator="equal">
      <formula>"Menor"</formula>
    </cfRule>
    <cfRule type="cellIs" dxfId="413" priority="1737" operator="equal">
      <formula>"Leve"</formula>
    </cfRule>
    <cfRule type="cellIs" dxfId="412" priority="1733" operator="equal">
      <formula>"Catastrófico"</formula>
    </cfRule>
    <cfRule type="cellIs" dxfId="411" priority="1734" operator="equal">
      <formula>"Mayor"</formula>
    </cfRule>
    <cfRule type="cellIs" dxfId="410" priority="1735" operator="equal">
      <formula>"Moderado"</formula>
    </cfRule>
  </conditionalFormatting>
  <conditionalFormatting sqref="O31">
    <cfRule type="cellIs" dxfId="409" priority="1718" operator="equal">
      <formula>"Catastrófico"</formula>
    </cfRule>
    <cfRule type="cellIs" dxfId="408" priority="1719" operator="equal">
      <formula>"Mayor"</formula>
    </cfRule>
    <cfRule type="cellIs" dxfId="407" priority="1720" operator="equal">
      <formula>"Moderado"</formula>
    </cfRule>
    <cfRule type="cellIs" dxfId="406" priority="1721" operator="equal">
      <formula>"Menor"</formula>
    </cfRule>
    <cfRule type="cellIs" dxfId="405" priority="1722" operator="equal">
      <formula>"Leve"</formula>
    </cfRule>
  </conditionalFormatting>
  <conditionalFormatting sqref="O34">
    <cfRule type="cellIs" dxfId="404" priority="1706" operator="equal">
      <formula>"Menor"</formula>
    </cfRule>
    <cfRule type="cellIs" dxfId="403" priority="1705" operator="equal">
      <formula>"Moderado"</formula>
    </cfRule>
    <cfRule type="cellIs" dxfId="402" priority="1704" operator="equal">
      <formula>"Mayor"</formula>
    </cfRule>
    <cfRule type="cellIs" dxfId="401" priority="1703" operator="equal">
      <formula>"Catastrófico"</formula>
    </cfRule>
    <cfRule type="cellIs" dxfId="400" priority="1707" operator="equal">
      <formula>"Leve"</formula>
    </cfRule>
  </conditionalFormatting>
  <conditionalFormatting sqref="O37">
    <cfRule type="cellIs" dxfId="399" priority="1692" operator="equal">
      <formula>"Leve"</formula>
    </cfRule>
    <cfRule type="cellIs" dxfId="398" priority="1691" operator="equal">
      <formula>"Menor"</formula>
    </cfRule>
    <cfRule type="cellIs" dxfId="397" priority="1690" operator="equal">
      <formula>"Moderado"</formula>
    </cfRule>
    <cfRule type="cellIs" dxfId="396" priority="1689" operator="equal">
      <formula>"Mayor"</formula>
    </cfRule>
    <cfRule type="cellIs" dxfId="395" priority="1688" operator="equal">
      <formula>"Catastrófico"</formula>
    </cfRule>
  </conditionalFormatting>
  <conditionalFormatting sqref="O40">
    <cfRule type="cellIs" dxfId="394" priority="1662" operator="equal">
      <formula>"Leve"</formula>
    </cfRule>
    <cfRule type="cellIs" dxfId="393" priority="1661" operator="equal">
      <formula>"Menor"</formula>
    </cfRule>
    <cfRule type="cellIs" dxfId="392" priority="1660" operator="equal">
      <formula>"Moderado"</formula>
    </cfRule>
    <cfRule type="cellIs" dxfId="391" priority="1659" operator="equal">
      <formula>"Mayor"</formula>
    </cfRule>
    <cfRule type="cellIs" dxfId="390" priority="1658" operator="equal">
      <formula>"Catastrófico"</formula>
    </cfRule>
  </conditionalFormatting>
  <conditionalFormatting sqref="O43">
    <cfRule type="cellIs" dxfId="389" priority="1646" operator="equal">
      <formula>"Menor"</formula>
    </cfRule>
    <cfRule type="cellIs" dxfId="388" priority="1645" operator="equal">
      <formula>"Moderado"</formula>
    </cfRule>
    <cfRule type="cellIs" dxfId="387" priority="1644" operator="equal">
      <formula>"Mayor"</formula>
    </cfRule>
    <cfRule type="cellIs" dxfId="386" priority="1643" operator="equal">
      <formula>"Catastrófico"</formula>
    </cfRule>
    <cfRule type="cellIs" dxfId="385" priority="1647" operator="equal">
      <formula>"Leve"</formula>
    </cfRule>
  </conditionalFormatting>
  <conditionalFormatting sqref="O46">
    <cfRule type="cellIs" dxfId="384" priority="1632" operator="equal">
      <formula>"Leve"</formula>
    </cfRule>
    <cfRule type="cellIs" dxfId="383" priority="1631" operator="equal">
      <formula>"Menor"</formula>
    </cfRule>
    <cfRule type="cellIs" dxfId="382" priority="1630" operator="equal">
      <formula>"Moderado"</formula>
    </cfRule>
    <cfRule type="cellIs" dxfId="381" priority="1629" operator="equal">
      <formula>"Mayor"</formula>
    </cfRule>
    <cfRule type="cellIs" dxfId="380" priority="1628" operator="equal">
      <formula>"Catastrófico"</formula>
    </cfRule>
  </conditionalFormatting>
  <conditionalFormatting sqref="O49">
    <cfRule type="cellIs" dxfId="379" priority="1614" operator="equal">
      <formula>"Mayor"</formula>
    </cfRule>
    <cfRule type="cellIs" dxfId="378" priority="1617" operator="equal">
      <formula>"Leve"</formula>
    </cfRule>
    <cfRule type="cellIs" dxfId="377" priority="1616" operator="equal">
      <formula>"Menor"</formula>
    </cfRule>
    <cfRule type="cellIs" dxfId="376" priority="1615" operator="equal">
      <formula>"Moderado"</formula>
    </cfRule>
    <cfRule type="cellIs" dxfId="375" priority="1613" operator="equal">
      <formula>"Catastrófico"</formula>
    </cfRule>
  </conditionalFormatting>
  <conditionalFormatting sqref="O52">
    <cfRule type="cellIs" dxfId="374" priority="1598" operator="equal">
      <formula>"Catastrófico"</formula>
    </cfRule>
    <cfRule type="cellIs" dxfId="373" priority="1601" operator="equal">
      <formula>"Menor"</formula>
    </cfRule>
    <cfRule type="cellIs" dxfId="372" priority="1602" operator="equal">
      <formula>"Leve"</formula>
    </cfRule>
    <cfRule type="cellIs" dxfId="371" priority="1599" operator="equal">
      <formula>"Mayor"</formula>
    </cfRule>
    <cfRule type="cellIs" dxfId="370" priority="1600" operator="equal">
      <formula>"Moderado"</formula>
    </cfRule>
  </conditionalFormatting>
  <conditionalFormatting sqref="O55">
    <cfRule type="cellIs" dxfId="369" priority="1585" operator="equal">
      <formula>"Moderado"</formula>
    </cfRule>
    <cfRule type="cellIs" dxfId="368" priority="1587" operator="equal">
      <formula>"Leve"</formula>
    </cfRule>
    <cfRule type="cellIs" dxfId="367" priority="1583" operator="equal">
      <formula>"Catastrófico"</formula>
    </cfRule>
    <cfRule type="cellIs" dxfId="366" priority="1586" operator="equal">
      <formula>"Menor"</formula>
    </cfRule>
    <cfRule type="cellIs" dxfId="365" priority="1584" operator="equal">
      <formula>"Mayor"</formula>
    </cfRule>
  </conditionalFormatting>
  <conditionalFormatting sqref="O58">
    <cfRule type="cellIs" dxfId="364" priority="1570" operator="equal">
      <formula>"Moderado"</formula>
    </cfRule>
    <cfRule type="cellIs" dxfId="363" priority="1569" operator="equal">
      <formula>"Mayor"</formula>
    </cfRule>
    <cfRule type="cellIs" dxfId="362" priority="1572" operator="equal">
      <formula>"Leve"</formula>
    </cfRule>
    <cfRule type="cellIs" dxfId="361" priority="1571" operator="equal">
      <formula>"Menor"</formula>
    </cfRule>
    <cfRule type="cellIs" dxfId="360" priority="1568" operator="equal">
      <formula>"Catastrófico"</formula>
    </cfRule>
  </conditionalFormatting>
  <conditionalFormatting sqref="O61">
    <cfRule type="cellIs" dxfId="359" priority="1553" operator="equal">
      <formula>"Catastrófico"</formula>
    </cfRule>
    <cfRule type="cellIs" dxfId="358" priority="1554" operator="equal">
      <formula>"Mayor"</formula>
    </cfRule>
    <cfRule type="cellIs" dxfId="357" priority="1555" operator="equal">
      <formula>"Moderado"</formula>
    </cfRule>
    <cfRule type="cellIs" dxfId="356" priority="1556" operator="equal">
      <formula>"Menor"</formula>
    </cfRule>
    <cfRule type="cellIs" dxfId="355" priority="1557" operator="equal">
      <formula>"Leve"</formula>
    </cfRule>
  </conditionalFormatting>
  <conditionalFormatting sqref="O64">
    <cfRule type="cellIs" dxfId="354" priority="1541" operator="equal">
      <formula>"Menor"</formula>
    </cfRule>
    <cfRule type="cellIs" dxfId="353" priority="1539" operator="equal">
      <formula>"Mayor"</formula>
    </cfRule>
    <cfRule type="cellIs" dxfId="352" priority="1538" operator="equal">
      <formula>"Catastrófico"</formula>
    </cfRule>
    <cfRule type="cellIs" dxfId="351" priority="1542" operator="equal">
      <formula>"Leve"</formula>
    </cfRule>
    <cfRule type="cellIs" dxfId="350" priority="1540" operator="equal">
      <formula>"Moderado"</formula>
    </cfRule>
  </conditionalFormatting>
  <conditionalFormatting sqref="O67">
    <cfRule type="cellIs" dxfId="349" priority="6" operator="equal">
      <formula>"Catastrófico"</formula>
    </cfRule>
    <cfRule type="cellIs" dxfId="348" priority="7" operator="equal">
      <formula>"Mayor"</formula>
    </cfRule>
    <cfRule type="cellIs" dxfId="347" priority="8" operator="equal">
      <formula>"Moderado"</formula>
    </cfRule>
    <cfRule type="cellIs" dxfId="346" priority="9" operator="equal">
      <formula>"Menor"</formula>
    </cfRule>
    <cfRule type="cellIs" dxfId="345" priority="10" operator="equal">
      <formula>"Leve"</formula>
    </cfRule>
  </conditionalFormatting>
  <conditionalFormatting sqref="O70">
    <cfRule type="cellIs" dxfId="344" priority="1527" operator="equal">
      <formula>"Leve"</formula>
    </cfRule>
    <cfRule type="cellIs" dxfId="343" priority="1524" operator="equal">
      <formula>"Mayor"</formula>
    </cfRule>
    <cfRule type="cellIs" dxfId="342" priority="1523" operator="equal">
      <formula>"Catastrófico"</formula>
    </cfRule>
    <cfRule type="cellIs" dxfId="341" priority="1526" operator="equal">
      <formula>"Menor"</formula>
    </cfRule>
    <cfRule type="cellIs" dxfId="340" priority="1525" operator="equal">
      <formula>"Moderado"</formula>
    </cfRule>
  </conditionalFormatting>
  <conditionalFormatting sqref="O73">
    <cfRule type="cellIs" dxfId="339" priority="1512" operator="equal">
      <formula>"Leve"</formula>
    </cfRule>
    <cfRule type="cellIs" dxfId="338" priority="1508" operator="equal">
      <formula>"Catastrófico"</formula>
    </cfRule>
    <cfRule type="cellIs" dxfId="337" priority="1509" operator="equal">
      <formula>"Mayor"</formula>
    </cfRule>
    <cfRule type="cellIs" dxfId="336" priority="1511" operator="equal">
      <formula>"Menor"</formula>
    </cfRule>
    <cfRule type="cellIs" dxfId="335" priority="1510" operator="equal">
      <formula>"Moderado"</formula>
    </cfRule>
  </conditionalFormatting>
  <conditionalFormatting sqref="O76">
    <cfRule type="cellIs" dxfId="334" priority="1495" operator="equal">
      <formula>"Moderado"</formula>
    </cfRule>
    <cfRule type="cellIs" dxfId="333" priority="1496" operator="equal">
      <formula>"Menor"</formula>
    </cfRule>
    <cfRule type="cellIs" dxfId="332" priority="1497" operator="equal">
      <formula>"Leve"</formula>
    </cfRule>
    <cfRule type="cellIs" dxfId="331" priority="1494" operator="equal">
      <formula>"Mayor"</formula>
    </cfRule>
    <cfRule type="cellIs" dxfId="330" priority="1493" operator="equal">
      <formula>"Catastrófico"</formula>
    </cfRule>
  </conditionalFormatting>
  <conditionalFormatting sqref="O79">
    <cfRule type="cellIs" dxfId="329" priority="1482" operator="equal">
      <formula>"Leve"</formula>
    </cfRule>
    <cfRule type="cellIs" dxfId="328" priority="1478" operator="equal">
      <formula>"Catastrófico"</formula>
    </cfRule>
    <cfRule type="cellIs" dxfId="327" priority="1481" operator="equal">
      <formula>"Menor"</formula>
    </cfRule>
    <cfRule type="cellIs" dxfId="326" priority="1480" operator="equal">
      <formula>"Moderado"</formula>
    </cfRule>
    <cfRule type="cellIs" dxfId="325" priority="1479" operator="equal">
      <formula>"Mayor"</formula>
    </cfRule>
  </conditionalFormatting>
  <conditionalFormatting sqref="O82">
    <cfRule type="cellIs" dxfId="324" priority="163" operator="equal">
      <formula>"Catastrófico"</formula>
    </cfRule>
    <cfRule type="cellIs" dxfId="323" priority="165" operator="equal">
      <formula>"Moderado"</formula>
    </cfRule>
    <cfRule type="cellIs" dxfId="322" priority="166" operator="equal">
      <formula>"Menor"</formula>
    </cfRule>
    <cfRule type="cellIs" dxfId="321" priority="167" operator="equal">
      <formula>"Leve"</formula>
    </cfRule>
    <cfRule type="cellIs" dxfId="320" priority="164" operator="equal">
      <formula>"Mayor"</formula>
    </cfRule>
  </conditionalFormatting>
  <conditionalFormatting sqref="O85">
    <cfRule type="cellIs" dxfId="319" priority="1467" operator="equal">
      <formula>"Leve"</formula>
    </cfRule>
    <cfRule type="cellIs" dxfId="318" priority="1466" operator="equal">
      <formula>"Menor"</formula>
    </cfRule>
    <cfRule type="cellIs" dxfId="317" priority="1464" operator="equal">
      <formula>"Mayor"</formula>
    </cfRule>
    <cfRule type="cellIs" dxfId="316" priority="1465" operator="equal">
      <formula>"Moderado"</formula>
    </cfRule>
    <cfRule type="cellIs" dxfId="315" priority="1463" operator="equal">
      <formula>"Catastrófico"</formula>
    </cfRule>
  </conditionalFormatting>
  <conditionalFormatting sqref="O88">
    <cfRule type="cellIs" dxfId="314" priority="1451" operator="equal">
      <formula>"Menor"</formula>
    </cfRule>
    <cfRule type="cellIs" dxfId="313" priority="1452" operator="equal">
      <formula>"Leve"</formula>
    </cfRule>
    <cfRule type="cellIs" dxfId="312" priority="1448" operator="equal">
      <formula>"Catastrófico"</formula>
    </cfRule>
    <cfRule type="cellIs" dxfId="311" priority="1449" operator="equal">
      <formula>"Mayor"</formula>
    </cfRule>
    <cfRule type="cellIs" dxfId="310" priority="1450" operator="equal">
      <formula>"Moderado"</formula>
    </cfRule>
  </conditionalFormatting>
  <conditionalFormatting sqref="O91">
    <cfRule type="cellIs" dxfId="309" priority="1437" operator="equal">
      <formula>"Leve"</formula>
    </cfRule>
    <cfRule type="cellIs" dxfId="308" priority="1435" operator="equal">
      <formula>"Moderado"</formula>
    </cfRule>
    <cfRule type="cellIs" dxfId="307" priority="1434" operator="equal">
      <formula>"Mayor"</formula>
    </cfRule>
    <cfRule type="cellIs" dxfId="306" priority="1436" operator="equal">
      <formula>"Menor"</formula>
    </cfRule>
    <cfRule type="cellIs" dxfId="305" priority="1433" operator="equal">
      <formula>"Catastrófico"</formula>
    </cfRule>
  </conditionalFormatting>
  <conditionalFormatting sqref="O94:O95">
    <cfRule type="cellIs" dxfId="304" priority="1421" operator="equal">
      <formula>"Menor"</formula>
    </cfRule>
    <cfRule type="cellIs" dxfId="303" priority="1422" operator="equal">
      <formula>"Leve"</formula>
    </cfRule>
    <cfRule type="cellIs" dxfId="302" priority="1419" operator="equal">
      <formula>"Mayor"</formula>
    </cfRule>
    <cfRule type="cellIs" dxfId="301" priority="1418" operator="equal">
      <formula>"Catastrófico"</formula>
    </cfRule>
    <cfRule type="cellIs" dxfId="300" priority="1420" operator="equal">
      <formula>"Moderado"</formula>
    </cfRule>
  </conditionalFormatting>
  <conditionalFormatting sqref="O97">
    <cfRule type="cellIs" dxfId="299" priority="79" operator="equal">
      <formula>"Mayor"</formula>
    </cfRule>
    <cfRule type="cellIs" dxfId="298" priority="80" operator="equal">
      <formula>"Moderado"</formula>
    </cfRule>
    <cfRule type="cellIs" dxfId="297" priority="82" operator="equal">
      <formula>"Leve"</formula>
    </cfRule>
    <cfRule type="cellIs" dxfId="296" priority="81" operator="equal">
      <formula>"Menor"</formula>
    </cfRule>
    <cfRule type="cellIs" dxfId="295" priority="78" operator="equal">
      <formula>"Catastrófico"</formula>
    </cfRule>
  </conditionalFormatting>
  <conditionalFormatting sqref="O100">
    <cfRule type="cellIs" dxfId="294" priority="1390" operator="equal">
      <formula>"Moderado"</formula>
    </cfRule>
    <cfRule type="cellIs" dxfId="293" priority="1388" operator="equal">
      <formula>"Catastrófico"</formula>
    </cfRule>
    <cfRule type="cellIs" dxfId="292" priority="1392" operator="equal">
      <formula>"Leve"</formula>
    </cfRule>
    <cfRule type="cellIs" dxfId="291" priority="1391" operator="equal">
      <formula>"Menor"</formula>
    </cfRule>
    <cfRule type="cellIs" dxfId="290" priority="1389" operator="equal">
      <formula>"Mayor"</formula>
    </cfRule>
  </conditionalFormatting>
  <conditionalFormatting sqref="O103">
    <cfRule type="cellIs" dxfId="289" priority="1376" operator="equal">
      <formula>"Menor"</formula>
    </cfRule>
    <cfRule type="cellIs" dxfId="288" priority="1375" operator="equal">
      <formula>"Moderado"</formula>
    </cfRule>
    <cfRule type="cellIs" dxfId="287" priority="1377" operator="equal">
      <formula>"Leve"</formula>
    </cfRule>
    <cfRule type="cellIs" dxfId="286" priority="1373" operator="equal">
      <formula>"Catastrófico"</formula>
    </cfRule>
    <cfRule type="cellIs" dxfId="285" priority="1374" operator="equal">
      <formula>"Mayor"</formula>
    </cfRule>
  </conditionalFormatting>
  <conditionalFormatting sqref="O106">
    <cfRule type="cellIs" dxfId="284" priority="1305" operator="equal">
      <formula>"Leve"</formula>
    </cfRule>
    <cfRule type="cellIs" dxfId="283" priority="1304" operator="equal">
      <formula>"Menor"</formula>
    </cfRule>
    <cfRule type="cellIs" dxfId="282" priority="1303" operator="equal">
      <formula>"Moderado"</formula>
    </cfRule>
    <cfRule type="cellIs" dxfId="281" priority="1302" operator="equal">
      <formula>"Mayor"</formula>
    </cfRule>
    <cfRule type="cellIs" dxfId="280" priority="1301" operator="equal">
      <formula>"Catastrófico"</formula>
    </cfRule>
  </conditionalFormatting>
  <conditionalFormatting sqref="O109">
    <cfRule type="cellIs" dxfId="279" priority="1245" operator="equal">
      <formula>"Mayor"</formula>
    </cfRule>
    <cfRule type="cellIs" dxfId="278" priority="1244" operator="equal">
      <formula>"Catastrófico"</formula>
    </cfRule>
    <cfRule type="cellIs" dxfId="277" priority="1248" operator="equal">
      <formula>"Leve"</formula>
    </cfRule>
    <cfRule type="cellIs" dxfId="276" priority="1247" operator="equal">
      <formula>"Menor"</formula>
    </cfRule>
    <cfRule type="cellIs" dxfId="275" priority="1246" operator="equal">
      <formula>"Moderado"</formula>
    </cfRule>
  </conditionalFormatting>
  <conditionalFormatting sqref="O112">
    <cfRule type="cellIs" dxfId="274" priority="1189" operator="equal">
      <formula>"Moderado"</formula>
    </cfRule>
    <cfRule type="cellIs" dxfId="273" priority="1190" operator="equal">
      <formula>"Menor"</formula>
    </cfRule>
    <cfRule type="cellIs" dxfId="272" priority="1191" operator="equal">
      <formula>"Leve"</formula>
    </cfRule>
    <cfRule type="cellIs" dxfId="271" priority="1187" operator="equal">
      <formula>"Catastrófico"</formula>
    </cfRule>
    <cfRule type="cellIs" dxfId="270" priority="1188" operator="equal">
      <formula>"Mayor"</formula>
    </cfRule>
  </conditionalFormatting>
  <conditionalFormatting sqref="O115">
    <cfRule type="cellIs" dxfId="269" priority="1132" operator="equal">
      <formula>"Moderado"</formula>
    </cfRule>
    <cfRule type="cellIs" dxfId="268" priority="1131" operator="equal">
      <formula>"Mayor"</formula>
    </cfRule>
    <cfRule type="cellIs" dxfId="267" priority="1133" operator="equal">
      <formula>"Menor"</formula>
    </cfRule>
    <cfRule type="cellIs" dxfId="266" priority="1130" operator="equal">
      <formula>"Catastrófico"</formula>
    </cfRule>
    <cfRule type="cellIs" dxfId="265" priority="1134" operator="equal">
      <formula>"Leve"</formula>
    </cfRule>
  </conditionalFormatting>
  <conditionalFormatting sqref="O118">
    <cfRule type="cellIs" dxfId="264" priority="1076" operator="equal">
      <formula>"Menor"</formula>
    </cfRule>
    <cfRule type="cellIs" dxfId="263" priority="1074" operator="equal">
      <formula>"Mayor"</formula>
    </cfRule>
    <cfRule type="cellIs" dxfId="262" priority="1073" operator="equal">
      <formula>"Catastrófico"</formula>
    </cfRule>
    <cfRule type="cellIs" dxfId="261" priority="1077" operator="equal">
      <formula>"Leve"</formula>
    </cfRule>
    <cfRule type="cellIs" dxfId="260" priority="1075" operator="equal">
      <formula>"Moderado"</formula>
    </cfRule>
  </conditionalFormatting>
  <conditionalFormatting sqref="O121">
    <cfRule type="cellIs" dxfId="259" priority="1358" operator="equal">
      <formula>"Catastrófico"</formula>
    </cfRule>
    <cfRule type="cellIs" dxfId="258" priority="1359" operator="equal">
      <formula>"Mayor"</formula>
    </cfRule>
    <cfRule type="cellIs" dxfId="257" priority="1360" operator="equal">
      <formula>"Moderado"</formula>
    </cfRule>
    <cfRule type="cellIs" dxfId="256" priority="1361" operator="equal">
      <formula>"Menor"</formula>
    </cfRule>
    <cfRule type="cellIs" dxfId="255" priority="1362" operator="equal">
      <formula>"Leve"</formula>
    </cfRule>
  </conditionalFormatting>
  <conditionalFormatting sqref="O124">
    <cfRule type="cellIs" dxfId="254" priority="1016" operator="equal">
      <formula>"Catastrófico"</formula>
    </cfRule>
    <cfRule type="cellIs" dxfId="253" priority="1020" operator="equal">
      <formula>"Leve"</formula>
    </cfRule>
    <cfRule type="cellIs" dxfId="252" priority="1019" operator="equal">
      <formula>"Menor"</formula>
    </cfRule>
    <cfRule type="cellIs" dxfId="251" priority="1018" operator="equal">
      <formula>"Moderado"</formula>
    </cfRule>
    <cfRule type="cellIs" dxfId="250" priority="1017" operator="equal">
      <formula>"Mayor"</formula>
    </cfRule>
  </conditionalFormatting>
  <conditionalFormatting sqref="O127">
    <cfRule type="cellIs" dxfId="249" priority="944" operator="equal">
      <formula>"Catastrófico"</formula>
    </cfRule>
    <cfRule type="cellIs" dxfId="248" priority="945" operator="equal">
      <formula>"Mayor"</formula>
    </cfRule>
    <cfRule type="cellIs" dxfId="247" priority="948" operator="equal">
      <formula>"Leve"</formula>
    </cfRule>
    <cfRule type="cellIs" dxfId="246" priority="947" operator="equal">
      <formula>"Menor"</formula>
    </cfRule>
    <cfRule type="cellIs" dxfId="245" priority="946" operator="equal">
      <formula>"Moderado"</formula>
    </cfRule>
  </conditionalFormatting>
  <conditionalFormatting sqref="O130">
    <cfRule type="cellIs" dxfId="244" priority="873" operator="equal">
      <formula>"Mayor"</formula>
    </cfRule>
    <cfRule type="cellIs" dxfId="243" priority="874" operator="equal">
      <formula>"Moderado"</formula>
    </cfRule>
    <cfRule type="cellIs" dxfId="242" priority="876" operator="equal">
      <formula>"Leve"</formula>
    </cfRule>
    <cfRule type="cellIs" dxfId="241" priority="875" operator="equal">
      <formula>"Menor"</formula>
    </cfRule>
    <cfRule type="cellIs" dxfId="240" priority="872" operator="equal">
      <formula>"Catastrófico"</formula>
    </cfRule>
  </conditionalFormatting>
  <conditionalFormatting sqref="O133">
    <cfRule type="cellIs" dxfId="239" priority="804" operator="equal">
      <formula>"Leve"</formula>
    </cfRule>
    <cfRule type="cellIs" dxfId="238" priority="800" operator="equal">
      <formula>"Catastrófico"</formula>
    </cfRule>
    <cfRule type="cellIs" dxfId="237" priority="801" operator="equal">
      <formula>"Mayor"</formula>
    </cfRule>
    <cfRule type="cellIs" dxfId="236" priority="802" operator="equal">
      <formula>"Moderado"</formula>
    </cfRule>
    <cfRule type="cellIs" dxfId="235" priority="803" operator="equal">
      <formula>"Menor"</formula>
    </cfRule>
  </conditionalFormatting>
  <conditionalFormatting sqref="O136">
    <cfRule type="cellIs" dxfId="234" priority="659" operator="equal">
      <formula>"Menor"</formula>
    </cfRule>
    <cfRule type="cellIs" dxfId="233" priority="660" operator="equal">
      <formula>"Leve"</formula>
    </cfRule>
    <cfRule type="cellIs" dxfId="232" priority="658" operator="equal">
      <formula>"Moderado"</formula>
    </cfRule>
    <cfRule type="cellIs" dxfId="231" priority="657" operator="equal">
      <formula>"Mayor"</formula>
    </cfRule>
    <cfRule type="cellIs" dxfId="230" priority="656" operator="equal">
      <formula>"Catastrófico"</formula>
    </cfRule>
  </conditionalFormatting>
  <conditionalFormatting sqref="O139">
    <cfRule type="cellIs" dxfId="229" priority="584" operator="equal">
      <formula>"Catastrófico"</formula>
    </cfRule>
    <cfRule type="cellIs" dxfId="228" priority="585" operator="equal">
      <formula>"Mayor"</formula>
    </cfRule>
    <cfRule type="cellIs" dxfId="227" priority="586" operator="equal">
      <formula>"Moderado"</formula>
    </cfRule>
    <cfRule type="cellIs" dxfId="226" priority="588" operator="equal">
      <formula>"Leve"</formula>
    </cfRule>
    <cfRule type="cellIs" dxfId="225" priority="587" operator="equal">
      <formula>"Menor"</formula>
    </cfRule>
  </conditionalFormatting>
  <conditionalFormatting sqref="O142">
    <cfRule type="cellIs" dxfId="224" priority="516" operator="equal">
      <formula>"Leve"</formula>
    </cfRule>
    <cfRule type="cellIs" dxfId="223" priority="512" operator="equal">
      <formula>"Catastrófico"</formula>
    </cfRule>
    <cfRule type="cellIs" dxfId="222" priority="513" operator="equal">
      <formula>"Mayor"</formula>
    </cfRule>
    <cfRule type="cellIs" dxfId="221" priority="514" operator="equal">
      <formula>"Moderado"</formula>
    </cfRule>
    <cfRule type="cellIs" dxfId="220" priority="515" operator="equal">
      <formula>"Menor"</formula>
    </cfRule>
  </conditionalFormatting>
  <conditionalFormatting sqref="O145">
    <cfRule type="cellIs" dxfId="219" priority="440" operator="equal">
      <formula>"Catastrófico"</formula>
    </cfRule>
    <cfRule type="cellIs" dxfId="218" priority="441" operator="equal">
      <formula>"Mayor"</formula>
    </cfRule>
    <cfRule type="cellIs" dxfId="217" priority="442" operator="equal">
      <formula>"Moderado"</formula>
    </cfRule>
    <cfRule type="cellIs" dxfId="216" priority="444" operator="equal">
      <formula>"Leve"</formula>
    </cfRule>
    <cfRule type="cellIs" dxfId="215" priority="443" operator="equal">
      <formula>"Menor"</formula>
    </cfRule>
  </conditionalFormatting>
  <conditionalFormatting sqref="O148">
    <cfRule type="cellIs" dxfId="214" priority="372" operator="equal">
      <formula>"Leve"</formula>
    </cfRule>
    <cfRule type="cellIs" dxfId="213" priority="371" operator="equal">
      <formula>"Menor"</formula>
    </cfRule>
    <cfRule type="cellIs" dxfId="212" priority="370" operator="equal">
      <formula>"Moderado"</formula>
    </cfRule>
    <cfRule type="cellIs" dxfId="211" priority="369" operator="equal">
      <formula>"Mayor"</formula>
    </cfRule>
    <cfRule type="cellIs" dxfId="210" priority="368" operator="equal">
      <formula>"Catastrófico"</formula>
    </cfRule>
  </conditionalFormatting>
  <conditionalFormatting sqref="Q7">
    <cfRule type="cellIs" dxfId="209" priority="3301" operator="equal">
      <formula>"Alto"</formula>
    </cfRule>
    <cfRule type="cellIs" dxfId="208" priority="3302" operator="equal">
      <formula>"Moderado"</formula>
    </cfRule>
    <cfRule type="cellIs" dxfId="207" priority="3303" operator="equal">
      <formula>"Bajo"</formula>
    </cfRule>
    <cfRule type="cellIs" dxfId="206" priority="3300" operator="equal">
      <formula>"Extremo"</formula>
    </cfRule>
  </conditionalFormatting>
  <conditionalFormatting sqref="Q10">
    <cfRule type="cellIs" dxfId="205" priority="1849" operator="equal">
      <formula>"Extremo"</formula>
    </cfRule>
    <cfRule type="cellIs" dxfId="204" priority="1850" operator="equal">
      <formula>"Alto"</formula>
    </cfRule>
    <cfRule type="cellIs" dxfId="203" priority="1851" operator="equal">
      <formula>"Moderado"</formula>
    </cfRule>
    <cfRule type="cellIs" dxfId="202" priority="1852" operator="equal">
      <formula>"Bajo"</formula>
    </cfRule>
  </conditionalFormatting>
  <conditionalFormatting sqref="Q13">
    <cfRule type="cellIs" dxfId="201" priority="1836" operator="equal">
      <formula>"Moderado"</formula>
    </cfRule>
    <cfRule type="cellIs" dxfId="200" priority="1834" operator="equal">
      <formula>"Extremo"</formula>
    </cfRule>
    <cfRule type="cellIs" dxfId="199" priority="1835" operator="equal">
      <formula>"Alto"</formula>
    </cfRule>
    <cfRule type="cellIs" dxfId="198" priority="1837" operator="equal">
      <formula>"Bajo"</formula>
    </cfRule>
  </conditionalFormatting>
  <conditionalFormatting sqref="Q16">
    <cfRule type="cellIs" dxfId="197" priority="1790" operator="equal">
      <formula>"Alto"</formula>
    </cfRule>
    <cfRule type="cellIs" dxfId="196" priority="1789" operator="equal">
      <formula>"Extremo"</formula>
    </cfRule>
    <cfRule type="cellIs" dxfId="195" priority="1791" operator="equal">
      <formula>"Moderado"</formula>
    </cfRule>
    <cfRule type="cellIs" dxfId="194" priority="1792" operator="equal">
      <formula>"Bajo"</formula>
    </cfRule>
  </conditionalFormatting>
  <conditionalFormatting sqref="Q19">
    <cfRule type="cellIs" dxfId="193" priority="1777" operator="equal">
      <formula>"Bajo"</formula>
    </cfRule>
    <cfRule type="cellIs" dxfId="192" priority="1776" operator="equal">
      <formula>"Moderado"</formula>
    </cfRule>
    <cfRule type="cellIs" dxfId="191" priority="1775" operator="equal">
      <formula>"Alto"</formula>
    </cfRule>
    <cfRule type="cellIs" dxfId="190" priority="1774" operator="equal">
      <formula>"Extremo"</formula>
    </cfRule>
  </conditionalFormatting>
  <conditionalFormatting sqref="Q22">
    <cfRule type="cellIs" dxfId="189" priority="1759" operator="equal">
      <formula>"Extremo"</formula>
    </cfRule>
    <cfRule type="cellIs" dxfId="188" priority="1762" operator="equal">
      <formula>"Bajo"</formula>
    </cfRule>
    <cfRule type="cellIs" dxfId="187" priority="1761" operator="equal">
      <formula>"Moderado"</formula>
    </cfRule>
    <cfRule type="cellIs" dxfId="186" priority="1760" operator="equal">
      <formula>"Alto"</formula>
    </cfRule>
  </conditionalFormatting>
  <conditionalFormatting sqref="Q25">
    <cfRule type="cellIs" dxfId="185" priority="1745" operator="equal">
      <formula>"Alto"</formula>
    </cfRule>
    <cfRule type="cellIs" dxfId="184" priority="1744" operator="equal">
      <formula>"Extremo"</formula>
    </cfRule>
    <cfRule type="cellIs" dxfId="183" priority="1747" operator="equal">
      <formula>"Bajo"</formula>
    </cfRule>
    <cfRule type="cellIs" dxfId="182" priority="1746" operator="equal">
      <formula>"Moderado"</formula>
    </cfRule>
  </conditionalFormatting>
  <conditionalFormatting sqref="Q28">
    <cfRule type="cellIs" dxfId="181" priority="1731" operator="equal">
      <formula>"Moderado"</formula>
    </cfRule>
    <cfRule type="cellIs" dxfId="180" priority="1730" operator="equal">
      <formula>"Alto"</formula>
    </cfRule>
    <cfRule type="cellIs" dxfId="179" priority="1729" operator="equal">
      <formula>"Extremo"</formula>
    </cfRule>
    <cfRule type="cellIs" dxfId="178" priority="1732" operator="equal">
      <formula>"Bajo"</formula>
    </cfRule>
  </conditionalFormatting>
  <conditionalFormatting sqref="Q31">
    <cfRule type="cellIs" dxfId="177" priority="1714" operator="equal">
      <formula>"Extremo"</formula>
    </cfRule>
    <cfRule type="cellIs" dxfId="176" priority="1715" operator="equal">
      <formula>"Alto"</formula>
    </cfRule>
    <cfRule type="cellIs" dxfId="175" priority="1716" operator="equal">
      <formula>"Moderado"</formula>
    </cfRule>
    <cfRule type="cellIs" dxfId="174" priority="1717" operator="equal">
      <formula>"Bajo"</formula>
    </cfRule>
  </conditionalFormatting>
  <conditionalFormatting sqref="Q34">
    <cfRule type="cellIs" dxfId="173" priority="1700" operator="equal">
      <formula>"Alto"</formula>
    </cfRule>
    <cfRule type="cellIs" dxfId="172" priority="1702" operator="equal">
      <formula>"Bajo"</formula>
    </cfRule>
    <cfRule type="cellIs" dxfId="171" priority="1701" operator="equal">
      <formula>"Moderado"</formula>
    </cfRule>
    <cfRule type="cellIs" dxfId="170" priority="1699" operator="equal">
      <formula>"Extremo"</formula>
    </cfRule>
  </conditionalFormatting>
  <conditionalFormatting sqref="Q37">
    <cfRule type="cellIs" dxfId="169" priority="1687" operator="equal">
      <formula>"Bajo"</formula>
    </cfRule>
    <cfRule type="cellIs" dxfId="168" priority="1684" operator="equal">
      <formula>"Extremo"</formula>
    </cfRule>
    <cfRule type="cellIs" dxfId="167" priority="1685" operator="equal">
      <formula>"Alto"</formula>
    </cfRule>
    <cfRule type="cellIs" dxfId="166" priority="1686" operator="equal">
      <formula>"Moderado"</formula>
    </cfRule>
  </conditionalFormatting>
  <conditionalFormatting sqref="Q40">
    <cfRule type="cellIs" dxfId="165" priority="1654" operator="equal">
      <formula>"Extremo"</formula>
    </cfRule>
    <cfRule type="cellIs" dxfId="164" priority="1655" operator="equal">
      <formula>"Alto"</formula>
    </cfRule>
    <cfRule type="cellIs" dxfId="163" priority="1656" operator="equal">
      <formula>"Moderado"</formula>
    </cfRule>
    <cfRule type="cellIs" dxfId="162" priority="1657" operator="equal">
      <formula>"Bajo"</formula>
    </cfRule>
  </conditionalFormatting>
  <conditionalFormatting sqref="Q43">
    <cfRule type="cellIs" dxfId="161" priority="1642" operator="equal">
      <formula>"Bajo"</formula>
    </cfRule>
    <cfRule type="cellIs" dxfId="160" priority="1639" operator="equal">
      <formula>"Extremo"</formula>
    </cfRule>
    <cfRule type="cellIs" dxfId="159" priority="1640" operator="equal">
      <formula>"Alto"</formula>
    </cfRule>
    <cfRule type="cellIs" dxfId="158" priority="1641" operator="equal">
      <formula>"Moderado"</formula>
    </cfRule>
  </conditionalFormatting>
  <conditionalFormatting sqref="Q46">
    <cfRule type="cellIs" dxfId="157" priority="1624" operator="equal">
      <formula>"Extremo"</formula>
    </cfRule>
    <cfRule type="cellIs" dxfId="156" priority="1627" operator="equal">
      <formula>"Bajo"</formula>
    </cfRule>
    <cfRule type="cellIs" dxfId="155" priority="1626" operator="equal">
      <formula>"Moderado"</formula>
    </cfRule>
    <cfRule type="cellIs" dxfId="154" priority="1625" operator="equal">
      <formula>"Alto"</formula>
    </cfRule>
  </conditionalFormatting>
  <conditionalFormatting sqref="Q49">
    <cfRule type="cellIs" dxfId="153" priority="1611" operator="equal">
      <formula>"Moderado"</formula>
    </cfRule>
    <cfRule type="cellIs" dxfId="152" priority="1612" operator="equal">
      <formula>"Bajo"</formula>
    </cfRule>
    <cfRule type="cellIs" dxfId="151" priority="1609" operator="equal">
      <formula>"Extremo"</formula>
    </cfRule>
    <cfRule type="cellIs" dxfId="150" priority="1610" operator="equal">
      <formula>"Alto"</formula>
    </cfRule>
  </conditionalFormatting>
  <conditionalFormatting sqref="Q52">
    <cfRule type="cellIs" dxfId="149" priority="1595" operator="equal">
      <formula>"Alto"</formula>
    </cfRule>
    <cfRule type="cellIs" dxfId="148" priority="1594" operator="equal">
      <formula>"Extremo"</formula>
    </cfRule>
    <cfRule type="cellIs" dxfId="147" priority="1596" operator="equal">
      <formula>"Moderado"</formula>
    </cfRule>
    <cfRule type="cellIs" dxfId="146" priority="1597" operator="equal">
      <formula>"Bajo"</formula>
    </cfRule>
  </conditionalFormatting>
  <conditionalFormatting sqref="Q55">
    <cfRule type="cellIs" dxfId="145" priority="1581" operator="equal">
      <formula>"Moderado"</formula>
    </cfRule>
    <cfRule type="cellIs" dxfId="144" priority="1580" operator="equal">
      <formula>"Alto"</formula>
    </cfRule>
    <cfRule type="cellIs" dxfId="143" priority="1582" operator="equal">
      <formula>"Bajo"</formula>
    </cfRule>
    <cfRule type="cellIs" dxfId="142" priority="1579" operator="equal">
      <formula>"Extremo"</formula>
    </cfRule>
  </conditionalFormatting>
  <conditionalFormatting sqref="Q58">
    <cfRule type="cellIs" dxfId="141" priority="1567" operator="equal">
      <formula>"Bajo"</formula>
    </cfRule>
    <cfRule type="cellIs" dxfId="140" priority="1566" operator="equal">
      <formula>"Moderado"</formula>
    </cfRule>
    <cfRule type="cellIs" dxfId="139" priority="1565" operator="equal">
      <formula>"Alto"</formula>
    </cfRule>
    <cfRule type="cellIs" dxfId="138" priority="1564" operator="equal">
      <formula>"Extremo"</formula>
    </cfRule>
  </conditionalFormatting>
  <conditionalFormatting sqref="Q61">
    <cfRule type="cellIs" dxfId="137" priority="1550" operator="equal">
      <formula>"Alto"</formula>
    </cfRule>
    <cfRule type="cellIs" dxfId="136" priority="1549" operator="equal">
      <formula>"Extremo"</formula>
    </cfRule>
    <cfRule type="cellIs" dxfId="135" priority="1552" operator="equal">
      <formula>"Bajo"</formula>
    </cfRule>
    <cfRule type="cellIs" dxfId="134" priority="1551" operator="equal">
      <formula>"Moderado"</formula>
    </cfRule>
  </conditionalFormatting>
  <conditionalFormatting sqref="Q64">
    <cfRule type="cellIs" dxfId="133" priority="1534" operator="equal">
      <formula>"Extremo"</formula>
    </cfRule>
    <cfRule type="cellIs" dxfId="132" priority="1535" operator="equal">
      <formula>"Alto"</formula>
    </cfRule>
    <cfRule type="cellIs" dxfId="131" priority="1537" operator="equal">
      <formula>"Bajo"</formula>
    </cfRule>
    <cfRule type="cellIs" dxfId="130" priority="1536" operator="equal">
      <formula>"Moderado"</formula>
    </cfRule>
  </conditionalFormatting>
  <conditionalFormatting sqref="Q67">
    <cfRule type="cellIs" dxfId="129" priority="4" operator="equal">
      <formula>"Moderado"</formula>
    </cfRule>
    <cfRule type="cellIs" dxfId="128" priority="5" operator="equal">
      <formula>"Bajo"</formula>
    </cfRule>
    <cfRule type="cellIs" dxfId="127" priority="2" operator="equal">
      <formula>"Extremo"</formula>
    </cfRule>
    <cfRule type="cellIs" dxfId="126" priority="3" operator="equal">
      <formula>"Alto"</formula>
    </cfRule>
  </conditionalFormatting>
  <conditionalFormatting sqref="Q70">
    <cfRule type="cellIs" dxfId="125" priority="1522" operator="equal">
      <formula>"Bajo"</formula>
    </cfRule>
    <cfRule type="cellIs" dxfId="124" priority="1521" operator="equal">
      <formula>"Moderado"</formula>
    </cfRule>
    <cfRule type="cellIs" dxfId="123" priority="1520" operator="equal">
      <formula>"Alto"</formula>
    </cfRule>
    <cfRule type="cellIs" dxfId="122" priority="1519" operator="equal">
      <formula>"Extremo"</formula>
    </cfRule>
  </conditionalFormatting>
  <conditionalFormatting sqref="Q73">
    <cfRule type="cellIs" dxfId="121" priority="1506" operator="equal">
      <formula>"Moderado"</formula>
    </cfRule>
    <cfRule type="cellIs" dxfId="120" priority="1504" operator="equal">
      <formula>"Extremo"</formula>
    </cfRule>
    <cfRule type="cellIs" dxfId="119" priority="1507" operator="equal">
      <formula>"Bajo"</formula>
    </cfRule>
    <cfRule type="cellIs" dxfId="118" priority="1505" operator="equal">
      <formula>"Alto"</formula>
    </cfRule>
  </conditionalFormatting>
  <conditionalFormatting sqref="Q76">
    <cfRule type="cellIs" dxfId="117" priority="1489" operator="equal">
      <formula>"Extremo"</formula>
    </cfRule>
    <cfRule type="cellIs" dxfId="116" priority="1492" operator="equal">
      <formula>"Bajo"</formula>
    </cfRule>
    <cfRule type="cellIs" dxfId="115" priority="1491" operator="equal">
      <formula>"Moderado"</formula>
    </cfRule>
    <cfRule type="cellIs" dxfId="114" priority="1490" operator="equal">
      <formula>"Alto"</formula>
    </cfRule>
  </conditionalFormatting>
  <conditionalFormatting sqref="Q79">
    <cfRule type="cellIs" dxfId="113" priority="1477" operator="equal">
      <formula>"Bajo"</formula>
    </cfRule>
    <cfRule type="cellIs" dxfId="112" priority="1476" operator="equal">
      <formula>"Moderado"</formula>
    </cfRule>
    <cfRule type="cellIs" dxfId="111" priority="1475" operator="equal">
      <formula>"Alto"</formula>
    </cfRule>
    <cfRule type="cellIs" dxfId="110" priority="1474" operator="equal">
      <formula>"Extremo"</formula>
    </cfRule>
  </conditionalFormatting>
  <conditionalFormatting sqref="Q82">
    <cfRule type="cellIs" dxfId="109" priority="159" operator="equal">
      <formula>"Extremo"</formula>
    </cfRule>
    <cfRule type="cellIs" dxfId="108" priority="161" operator="equal">
      <formula>"Moderado"</formula>
    </cfRule>
    <cfRule type="cellIs" dxfId="107" priority="160" operator="equal">
      <formula>"Alto"</formula>
    </cfRule>
    <cfRule type="cellIs" dxfId="106" priority="162" operator="equal">
      <formula>"Bajo"</formula>
    </cfRule>
  </conditionalFormatting>
  <conditionalFormatting sqref="Q85">
    <cfRule type="cellIs" dxfId="105" priority="1459" operator="equal">
      <formula>"Extremo"</formula>
    </cfRule>
    <cfRule type="cellIs" dxfId="104" priority="1462" operator="equal">
      <formula>"Bajo"</formula>
    </cfRule>
    <cfRule type="cellIs" dxfId="103" priority="1460" operator="equal">
      <formula>"Alto"</formula>
    </cfRule>
    <cfRule type="cellIs" dxfId="102" priority="1461" operator="equal">
      <formula>"Moderado"</formula>
    </cfRule>
  </conditionalFormatting>
  <conditionalFormatting sqref="Q88">
    <cfRule type="cellIs" dxfId="101" priority="1444" operator="equal">
      <formula>"Extremo"</formula>
    </cfRule>
    <cfRule type="cellIs" dxfId="100" priority="1445" operator="equal">
      <formula>"Alto"</formula>
    </cfRule>
    <cfRule type="cellIs" dxfId="99" priority="1446" operator="equal">
      <formula>"Moderado"</formula>
    </cfRule>
    <cfRule type="cellIs" dxfId="98" priority="1447" operator="equal">
      <formula>"Bajo"</formula>
    </cfRule>
  </conditionalFormatting>
  <conditionalFormatting sqref="Q91">
    <cfRule type="cellIs" dxfId="97" priority="1432" operator="equal">
      <formula>"Bajo"</formula>
    </cfRule>
    <cfRule type="cellIs" dxfId="96" priority="1429" operator="equal">
      <formula>"Extremo"</formula>
    </cfRule>
    <cfRule type="cellIs" dxfId="95" priority="1430" operator="equal">
      <formula>"Alto"</formula>
    </cfRule>
    <cfRule type="cellIs" dxfId="94" priority="1431" operator="equal">
      <formula>"Moderado"</formula>
    </cfRule>
  </conditionalFormatting>
  <conditionalFormatting sqref="Q94:Q95">
    <cfRule type="cellIs" dxfId="93" priority="1414" operator="equal">
      <formula>"Extremo"</formula>
    </cfRule>
    <cfRule type="cellIs" dxfId="92" priority="1415" operator="equal">
      <formula>"Alto"</formula>
    </cfRule>
    <cfRule type="cellIs" dxfId="91" priority="1416" operator="equal">
      <formula>"Moderado"</formula>
    </cfRule>
    <cfRule type="cellIs" dxfId="90" priority="1417" operator="equal">
      <formula>"Bajo"</formula>
    </cfRule>
  </conditionalFormatting>
  <conditionalFormatting sqref="Q97">
    <cfRule type="cellIs" dxfId="89" priority="74" operator="equal">
      <formula>"Extremo"</formula>
    </cfRule>
    <cfRule type="cellIs" dxfId="88" priority="75" operator="equal">
      <formula>"Alto"</formula>
    </cfRule>
    <cfRule type="cellIs" dxfId="87" priority="76" operator="equal">
      <formula>"Moderado"</formula>
    </cfRule>
    <cfRule type="cellIs" dxfId="86" priority="77" operator="equal">
      <formula>"Bajo"</formula>
    </cfRule>
  </conditionalFormatting>
  <conditionalFormatting sqref="Q100">
    <cfRule type="cellIs" dxfId="85" priority="1385" operator="equal">
      <formula>"Alto"</formula>
    </cfRule>
    <cfRule type="cellIs" dxfId="84" priority="1386" operator="equal">
      <formula>"Moderado"</formula>
    </cfRule>
    <cfRule type="cellIs" dxfId="83" priority="1387" operator="equal">
      <formula>"Bajo"</formula>
    </cfRule>
    <cfRule type="cellIs" dxfId="82" priority="1384" operator="equal">
      <formula>"Extremo"</formula>
    </cfRule>
  </conditionalFormatting>
  <conditionalFormatting sqref="Q103">
    <cfRule type="cellIs" dxfId="81" priority="1369" operator="equal">
      <formula>"Extremo"</formula>
    </cfRule>
    <cfRule type="cellIs" dxfId="80" priority="1370" operator="equal">
      <formula>"Alto"</formula>
    </cfRule>
    <cfRule type="cellIs" dxfId="79" priority="1371" operator="equal">
      <formula>"Moderado"</formula>
    </cfRule>
    <cfRule type="cellIs" dxfId="78" priority="1372" operator="equal">
      <formula>"Bajo"</formula>
    </cfRule>
  </conditionalFormatting>
  <conditionalFormatting sqref="Q106">
    <cfRule type="cellIs" dxfId="77" priority="1297" operator="equal">
      <formula>"Extremo"</formula>
    </cfRule>
    <cfRule type="cellIs" dxfId="76" priority="1300" operator="equal">
      <formula>"Bajo"</formula>
    </cfRule>
    <cfRule type="cellIs" dxfId="75" priority="1299" operator="equal">
      <formula>"Moderado"</formula>
    </cfRule>
    <cfRule type="cellIs" dxfId="74" priority="1298" operator="equal">
      <formula>"Alto"</formula>
    </cfRule>
  </conditionalFormatting>
  <conditionalFormatting sqref="Q109">
    <cfRule type="cellIs" dxfId="73" priority="1242" operator="equal">
      <formula>"Moderado"</formula>
    </cfRule>
    <cfRule type="cellIs" dxfId="72" priority="1241" operator="equal">
      <formula>"Alto"</formula>
    </cfRule>
    <cfRule type="cellIs" dxfId="71" priority="1240" operator="equal">
      <formula>"Extremo"</formula>
    </cfRule>
    <cfRule type="cellIs" dxfId="70" priority="1243" operator="equal">
      <formula>"Bajo"</formula>
    </cfRule>
  </conditionalFormatting>
  <conditionalFormatting sqref="Q112">
    <cfRule type="cellIs" dxfId="69" priority="1183" operator="equal">
      <formula>"Extremo"</formula>
    </cfRule>
    <cfRule type="cellIs" dxfId="68" priority="1186" operator="equal">
      <formula>"Bajo"</formula>
    </cfRule>
    <cfRule type="cellIs" dxfId="67" priority="1185" operator="equal">
      <formula>"Moderado"</formula>
    </cfRule>
    <cfRule type="cellIs" dxfId="66" priority="1184" operator="equal">
      <formula>"Alto"</formula>
    </cfRule>
  </conditionalFormatting>
  <conditionalFormatting sqref="Q115">
    <cfRule type="cellIs" dxfId="65" priority="1129" operator="equal">
      <formula>"Bajo"</formula>
    </cfRule>
    <cfRule type="cellIs" dxfId="64" priority="1128" operator="equal">
      <formula>"Moderado"</formula>
    </cfRule>
    <cfRule type="cellIs" dxfId="63" priority="1127" operator="equal">
      <formula>"Alto"</formula>
    </cfRule>
    <cfRule type="cellIs" dxfId="62" priority="1126" operator="equal">
      <formula>"Extremo"</formula>
    </cfRule>
  </conditionalFormatting>
  <conditionalFormatting sqref="Q118">
    <cfRule type="cellIs" dxfId="61" priority="1072" operator="equal">
      <formula>"Bajo"</formula>
    </cfRule>
    <cfRule type="cellIs" dxfId="60" priority="1071" operator="equal">
      <formula>"Moderado"</formula>
    </cfRule>
    <cfRule type="cellIs" dxfId="59" priority="1070" operator="equal">
      <formula>"Alto"</formula>
    </cfRule>
    <cfRule type="cellIs" dxfId="58" priority="1069" operator="equal">
      <formula>"Extremo"</formula>
    </cfRule>
  </conditionalFormatting>
  <conditionalFormatting sqref="Q121">
    <cfRule type="cellIs" dxfId="57" priority="1354" operator="equal">
      <formula>"Extremo"</formula>
    </cfRule>
    <cfRule type="cellIs" dxfId="56" priority="1355" operator="equal">
      <formula>"Alto"</formula>
    </cfRule>
    <cfRule type="cellIs" dxfId="55" priority="1356" operator="equal">
      <formula>"Moderado"</formula>
    </cfRule>
    <cfRule type="cellIs" dxfId="54" priority="1357" operator="equal">
      <formula>"Bajo"</formula>
    </cfRule>
  </conditionalFormatting>
  <conditionalFormatting sqref="Q124">
    <cfRule type="cellIs" dxfId="53" priority="1015" operator="equal">
      <formula>"Bajo"</formula>
    </cfRule>
    <cfRule type="cellIs" dxfId="52" priority="1012" operator="equal">
      <formula>"Extremo"</formula>
    </cfRule>
    <cfRule type="cellIs" dxfId="51" priority="1013" operator="equal">
      <formula>"Alto"</formula>
    </cfRule>
    <cfRule type="cellIs" dxfId="50" priority="1014" operator="equal">
      <formula>"Moderado"</formula>
    </cfRule>
  </conditionalFormatting>
  <conditionalFormatting sqref="Q127">
    <cfRule type="cellIs" dxfId="49" priority="940" operator="equal">
      <formula>"Extremo"</formula>
    </cfRule>
    <cfRule type="cellIs" dxfId="48" priority="941" operator="equal">
      <formula>"Alto"</formula>
    </cfRule>
    <cfRule type="cellIs" dxfId="47" priority="942" operator="equal">
      <formula>"Moderado"</formula>
    </cfRule>
    <cfRule type="cellIs" dxfId="46" priority="943" operator="equal">
      <formula>"Bajo"</formula>
    </cfRule>
  </conditionalFormatting>
  <conditionalFormatting sqref="Q130">
    <cfRule type="cellIs" dxfId="45" priority="869" operator="equal">
      <formula>"Alto"</formula>
    </cfRule>
    <cfRule type="cellIs" dxfId="44" priority="870" operator="equal">
      <formula>"Moderado"</formula>
    </cfRule>
    <cfRule type="cellIs" dxfId="43" priority="868" operator="equal">
      <formula>"Extremo"</formula>
    </cfRule>
    <cfRule type="cellIs" dxfId="42" priority="871" operator="equal">
      <formula>"Bajo"</formula>
    </cfRule>
  </conditionalFormatting>
  <conditionalFormatting sqref="Q133">
    <cfRule type="cellIs" dxfId="41" priority="799" operator="equal">
      <formula>"Bajo"</formula>
    </cfRule>
    <cfRule type="cellIs" dxfId="40" priority="798" operator="equal">
      <formula>"Moderado"</formula>
    </cfRule>
    <cfRule type="cellIs" dxfId="39" priority="797" operator="equal">
      <formula>"Alto"</formula>
    </cfRule>
    <cfRule type="cellIs" dxfId="38" priority="796" operator="equal">
      <formula>"Extremo"</formula>
    </cfRule>
  </conditionalFormatting>
  <conditionalFormatting sqref="Q136">
    <cfRule type="cellIs" dxfId="37" priority="655" operator="equal">
      <formula>"Bajo"</formula>
    </cfRule>
    <cfRule type="cellIs" dxfId="36" priority="654" operator="equal">
      <formula>"Moderado"</formula>
    </cfRule>
    <cfRule type="cellIs" dxfId="35" priority="653" operator="equal">
      <formula>"Alto"</formula>
    </cfRule>
    <cfRule type="cellIs" dxfId="34" priority="652" operator="equal">
      <formula>"Extremo"</formula>
    </cfRule>
  </conditionalFormatting>
  <conditionalFormatting sqref="Q139">
    <cfRule type="cellIs" dxfId="33" priority="580" operator="equal">
      <formula>"Extremo"</formula>
    </cfRule>
    <cfRule type="cellIs" dxfId="32" priority="581" operator="equal">
      <formula>"Alto"</formula>
    </cfRule>
    <cfRule type="cellIs" dxfId="31" priority="583" operator="equal">
      <formula>"Bajo"</formula>
    </cfRule>
    <cfRule type="cellIs" dxfId="30" priority="582" operator="equal">
      <formula>"Moderado"</formula>
    </cfRule>
  </conditionalFormatting>
  <conditionalFormatting sqref="Q142">
    <cfRule type="cellIs" dxfId="29" priority="508" operator="equal">
      <formula>"Extremo"</formula>
    </cfRule>
    <cfRule type="cellIs" dxfId="28" priority="509" operator="equal">
      <formula>"Alto"</formula>
    </cfRule>
    <cfRule type="cellIs" dxfId="27" priority="510" operator="equal">
      <formula>"Moderado"</formula>
    </cfRule>
    <cfRule type="cellIs" dxfId="26" priority="511" operator="equal">
      <formula>"Bajo"</formula>
    </cfRule>
  </conditionalFormatting>
  <conditionalFormatting sqref="Q145">
    <cfRule type="cellIs" dxfId="25" priority="436" operator="equal">
      <formula>"Extremo"</formula>
    </cfRule>
    <cfRule type="cellIs" dxfId="24" priority="437" operator="equal">
      <formula>"Alto"</formula>
    </cfRule>
    <cfRule type="cellIs" dxfId="23" priority="438" operator="equal">
      <formula>"Moderado"</formula>
    </cfRule>
    <cfRule type="cellIs" dxfId="22" priority="439" operator="equal">
      <formula>"Bajo"</formula>
    </cfRule>
  </conditionalFormatting>
  <conditionalFormatting sqref="Q148">
    <cfRule type="cellIs" dxfId="21" priority="366" operator="equal">
      <formula>"Moderado"</formula>
    </cfRule>
    <cfRule type="cellIs" dxfId="20" priority="367" operator="equal">
      <formula>"Bajo"</formula>
    </cfRule>
    <cfRule type="cellIs" dxfId="19" priority="365" operator="equal">
      <formula>"Alto"</formula>
    </cfRule>
    <cfRule type="cellIs" dxfId="18" priority="364" operator="equal">
      <formula>"Extremo"</formula>
    </cfRule>
  </conditionalFormatting>
  <conditionalFormatting sqref="AB7:AB150">
    <cfRule type="cellIs" dxfId="17" priority="28" operator="equal">
      <formula>"Baja"</formula>
    </cfRule>
    <cfRule type="cellIs" dxfId="16" priority="27" operator="equal">
      <formula>"Media"</formula>
    </cfRule>
    <cfRule type="cellIs" dxfId="15" priority="26" operator="equal">
      <formula>"Alta"</formula>
    </cfRule>
    <cfRule type="cellIs" dxfId="14" priority="25" operator="equal">
      <formula>"Muy Alta"</formula>
    </cfRule>
    <cfRule type="cellIs" dxfId="13" priority="29" operator="equal">
      <formula>"Muy Baja"</formula>
    </cfRule>
  </conditionalFormatting>
  <conditionalFormatting sqref="AD7:AD150">
    <cfRule type="cellIs" dxfId="12" priority="24" operator="equal">
      <formula>"Leve"</formula>
    </cfRule>
    <cfRule type="cellIs" dxfId="11" priority="20" operator="equal">
      <formula>"Catastrófico"</formula>
    </cfRule>
    <cfRule type="cellIs" dxfId="10" priority="23" operator="equal">
      <formula>"Menor"</formula>
    </cfRule>
    <cfRule type="cellIs" dxfId="9" priority="21" operator="equal">
      <formula>"Mayor"</formula>
    </cfRule>
    <cfRule type="cellIs" dxfId="8" priority="22" operator="equal">
      <formula>"Moderado"</formula>
    </cfRule>
  </conditionalFormatting>
  <conditionalFormatting sqref="AF7:AF150">
    <cfRule type="cellIs" dxfId="7" priority="19" operator="equal">
      <formula>"Bajo"</formula>
    </cfRule>
    <cfRule type="cellIs" dxfId="6" priority="18" operator="equal">
      <formula>"Moderado"</formula>
    </cfRule>
    <cfRule type="cellIs" dxfId="5" priority="17" operator="equal">
      <formula>"Alto"</formula>
    </cfRule>
    <cfRule type="cellIs" dxfId="4" priority="16" operator="equal">
      <formula>"Extremo"</formula>
    </cfRule>
  </conditionalFormatting>
  <hyperlinks>
    <hyperlink ref="AO58" r:id="rId1" display="\\192.168.10.203\ogs\0 OFICINA DE GESTIÓN SOCIAL 2023\MAPA DE RIESGO OGS"/>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'Opciones Tratamiento'!$B$9:$B$10</xm:f>
          </x14:formula1>
          <xm:sqref>AM7:AM12 AM127:AM150 AM16:AM119</xm:sqref>
        </x14:dataValidation>
        <x14:dataValidation type="list" allowBlank="1" showInputMessage="1" showErrorMessage="1">
          <x14:formula1>
            <xm:f>'Opciones Tratamiento'!$B$13:$B$19</xm:f>
          </x14:formula1>
          <xm:sqref>I7 I10 I13 I100 I16 I19 I22 I25 I28 I31 I34 I37 I40 I43 I46 I49 I52 I103 I55 I58 I61 I64 I70 I73 I76 I79 I85 I88 I91 I94:I95 I136 I121 I106 I109 I112 I115 I118 I124 I127 I130 I133 I139 I142 I145 I148 I82 I67</xm:sqref>
        </x14:dataValidation>
        <x14:dataValidation type="list" allowBlank="1" showInputMessage="1" showErrorMessage="1">
          <x14:formula1>
            <xm:f>'Opciones Tratamiento'!$E$2:$E$4</xm:f>
          </x14:formula1>
          <xm:sqref>E7 E10 E13 E100 E16 E19 E22 E25 E28 E31 E34 E37 E40 E43 E46 E49 E52 E103 E55 E58 E61 E64 E70 E73 E76 E79 E85 E88 E91 E94:E95 E136 E121 E106 E109 E112 E115 E118 E124 E127 E130 E133 E139 E142 E145 E148 E82 E67</xm:sqref>
        </x14:dataValidation>
        <x14:dataValidation type="list" allowBlank="1" showInputMessage="1" showErrorMessage="1">
          <x14:formula1>
            <xm:f>'Tabla Impacto'!$F$210:$F$221</xm:f>
          </x14:formula1>
          <xm:sqref>M7 M10 M13 M145 M16 M19 M22 M25 M28 M31 M34 M37 M40 M43 M46 M49 M52 M148 M55 M58 M61 M64 M70 M139 M142 M73 M76 M79 M82 M85 M88 M91 M94:M95 M136 M100 M103 M106 M109 M112 M115 M118 M121 M124 M127 M130 M133 M67</xm:sqref>
        </x14:dataValidation>
        <x14:dataValidation type="list" allowBlank="1" showInputMessage="1" showErrorMessage="1">
          <x14:formula1>
            <xm:f>'Tabla Valoración controles'!$D$4:$D$6</xm:f>
          </x14:formula1>
          <xm:sqref>U100:U150 U7:U95</xm:sqref>
        </x14:dataValidation>
        <x14:dataValidation type="list" allowBlank="1" showInputMessage="1" showErrorMessage="1">
          <x14:formula1>
            <xm:f>'Tabla Valoración controles'!$D$7:$D$8</xm:f>
          </x14:formula1>
          <xm:sqref>V100:V150 V7:V95</xm:sqref>
        </x14:dataValidation>
        <x14:dataValidation type="list" allowBlank="1" showInputMessage="1" showErrorMessage="1">
          <x14:formula1>
            <xm:f>'Tabla Valoración controles'!$D$9:$D$10</xm:f>
          </x14:formula1>
          <xm:sqref>X100:X150 X7:X95</xm:sqref>
        </x14:dataValidation>
        <x14:dataValidation type="list" allowBlank="1" showInputMessage="1" showErrorMessage="1">
          <x14:formula1>
            <xm:f>'Tabla Valoración controles'!$D$11:$D$12</xm:f>
          </x14:formula1>
          <xm:sqref>Y100:Y150 Y7:Y95</xm:sqref>
        </x14:dataValidation>
        <x14:dataValidation type="list" allowBlank="1" showInputMessage="1" showErrorMessage="1">
          <x14:formula1>
            <xm:f>'Tabla Valoración controles'!$D$13:$D$14</xm:f>
          </x14:formula1>
          <xm:sqref>Z100:Z150 Z7:Z95</xm:sqref>
        </x14:dataValidation>
        <x14:dataValidation type="list" allowBlank="1" showInputMessage="1" showErrorMessage="1">
          <x14:formula1>
            <xm:f>'Opciones Tratamiento'!$B$2:$B$5</xm:f>
          </x14:formula1>
          <xm:sqref>AG100:AG150 AG7:AG95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04"/>
  <sheetViews>
    <sheetView topLeftCell="E1" zoomScale="40" zoomScaleNormal="40" workbookViewId="0">
      <selection activeCell="AJ64" sqref="AJ64:AK6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row>
    <row r="2" spans="1:119" ht="18" customHeight="1" x14ac:dyDescent="0.25">
      <c r="A2" s="56"/>
      <c r="B2" s="527" t="s">
        <v>135</v>
      </c>
      <c r="C2" s="527"/>
      <c r="D2" s="527"/>
      <c r="E2" s="527"/>
      <c r="F2" s="527"/>
      <c r="G2" s="527"/>
      <c r="H2" s="527"/>
      <c r="I2" s="527"/>
      <c r="J2" s="285" t="s">
        <v>2</v>
      </c>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row>
    <row r="3" spans="1:119" ht="18.75" customHeight="1" x14ac:dyDescent="0.25">
      <c r="A3" s="56"/>
      <c r="B3" s="527"/>
      <c r="C3" s="527"/>
      <c r="D3" s="527"/>
      <c r="E3" s="527"/>
      <c r="F3" s="527"/>
      <c r="G3" s="527"/>
      <c r="H3" s="527"/>
      <c r="I3" s="527"/>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row>
    <row r="4" spans="1:119" ht="15" customHeight="1" x14ac:dyDescent="0.25">
      <c r="A4" s="56"/>
      <c r="B4" s="527"/>
      <c r="C4" s="527"/>
      <c r="D4" s="527"/>
      <c r="E4" s="527"/>
      <c r="F4" s="527"/>
      <c r="G4" s="527"/>
      <c r="H4" s="527"/>
      <c r="I4" s="527"/>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c r="DA4" s="56"/>
      <c r="DB4" s="56"/>
      <c r="DC4" s="56"/>
      <c r="DD4" s="56"/>
      <c r="DE4" s="56"/>
      <c r="DF4" s="56"/>
      <c r="DG4" s="56"/>
      <c r="DH4" s="56"/>
      <c r="DI4" s="56"/>
      <c r="DJ4" s="56"/>
      <c r="DK4" s="56"/>
      <c r="DL4" s="56"/>
      <c r="DM4" s="56"/>
      <c r="DN4" s="56"/>
      <c r="DO4" s="56"/>
    </row>
    <row r="5" spans="1:119" ht="15.75" thickBot="1" x14ac:dyDescent="0.3">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row>
    <row r="6" spans="1:119" ht="15" customHeight="1" x14ac:dyDescent="0.25">
      <c r="A6" s="56"/>
      <c r="B6" s="286" t="s">
        <v>4</v>
      </c>
      <c r="C6" s="286"/>
      <c r="D6" s="287"/>
      <c r="E6" s="512" t="s">
        <v>107</v>
      </c>
      <c r="F6" s="513"/>
      <c r="G6" s="513"/>
      <c r="H6" s="513"/>
      <c r="I6" s="518"/>
      <c r="J6" s="528" t="str">
        <f ca="1">IF(AND('Mapa final'!$K$7="Muy Alta",'Mapa final'!$O$7="Leve"),CONCATENATE("R",'Mapa final'!$A$7),"")</f>
        <v/>
      </c>
      <c r="K6" s="522"/>
      <c r="L6" s="522" t="str">
        <f ca="1">IF(AND('Mapa final'!$K$10="Muy Alta",'Mapa final'!$O$10="Leve"),CONCATENATE("R",'Mapa final'!$A$10),"")</f>
        <v/>
      </c>
      <c r="M6" s="522"/>
      <c r="N6" s="522" t="str">
        <f ca="1">IF(AND('Mapa final'!$K$13="Muy Alta",'Mapa final'!$O$13="Leve"),CONCATENATE("R",'Mapa final'!$A$13),"")</f>
        <v/>
      </c>
      <c r="O6" s="522"/>
      <c r="P6" s="522" t="e">
        <f>IF(AND('Mapa final'!#REF!="Muy Alta",'Mapa final'!#REF!="Leve"),CONCATENATE("R",'Mapa final'!#REF!),"")</f>
        <v>#REF!</v>
      </c>
      <c r="Q6" s="522"/>
      <c r="R6" s="522" t="e">
        <f>IF(AND('Mapa final'!#REF!="Muy Alta",'Mapa final'!#REF!="Leve"),CONCATENATE("R",'Mapa final'!#REF!),"")</f>
        <v>#REF!</v>
      </c>
      <c r="S6" s="522"/>
      <c r="T6" s="463" t="str">
        <f ca="1">IF(AND('Mapa final'!$K$7="Muy Alta",'Mapa final'!$O$7="Menor"),CONCATENATE("R",'Mapa final'!$A$7),"")</f>
        <v/>
      </c>
      <c r="U6" s="464"/>
      <c r="V6" s="464" t="str">
        <f ca="1">IF(AND('Mapa final'!$K$10="Muy Alta",'Mapa final'!$O$10="Menor"),CONCATENATE("R",'Mapa final'!$A$10),"")</f>
        <v/>
      </c>
      <c r="W6" s="464"/>
      <c r="X6" s="464" t="str">
        <f ca="1">IF(AND('Mapa final'!$K$13="Muy Alta",'Mapa final'!$O$13="Menor"),CONCATENATE("R",'Mapa final'!$A$13),"")</f>
        <v/>
      </c>
      <c r="Y6" s="464"/>
      <c r="Z6" s="464" t="e">
        <f>IF(AND('Mapa final'!#REF!="Muy Alta",'Mapa final'!#REF!="Menor"),CONCATENATE("R",'Mapa final'!#REF!),"")</f>
        <v>#REF!</v>
      </c>
      <c r="AA6" s="464"/>
      <c r="AB6" s="464" t="e">
        <f>IF(AND('Mapa final'!#REF!="Muy Alta",'Mapa final'!#REF!="Menor"),CONCATENATE("R",'Mapa final'!#REF!),"")</f>
        <v>#REF!</v>
      </c>
      <c r="AC6" s="465"/>
      <c r="AD6" s="463" t="str">
        <f ca="1">IF(AND('Mapa final'!$K$7="Muy Alta",'Mapa final'!$O$7="Moderado"),CONCATENATE("R",'Mapa final'!$A$7),"")</f>
        <v/>
      </c>
      <c r="AE6" s="464"/>
      <c r="AF6" s="464" t="str">
        <f ca="1">IF(AND('Mapa final'!$K$10="Muy Alta",'Mapa final'!$O$10="Moderado"),CONCATENATE("R",'Mapa final'!$A$10),"")</f>
        <v/>
      </c>
      <c r="AG6" s="464"/>
      <c r="AH6" s="464" t="str">
        <f ca="1">IF(AND('Mapa final'!$K$13="Muy Alta",'Mapa final'!$O$13="Moderado"),CONCATENATE("R",'Mapa final'!$A$13),"")</f>
        <v/>
      </c>
      <c r="AI6" s="464"/>
      <c r="AJ6" s="464" t="e">
        <f>IF(AND('Mapa final'!#REF!="Muy Alta",'Mapa final'!#REF!="Moderado"),CONCATENATE("R",'Mapa final'!#REF!),"")</f>
        <v>#REF!</v>
      </c>
      <c r="AK6" s="464"/>
      <c r="AL6" s="464" t="e">
        <f>IF(AND('Mapa final'!#REF!="Muy Alta",'Mapa final'!#REF!="Moderado"),CONCATENATE("R",'Mapa final'!#REF!),"")</f>
        <v>#REF!</v>
      </c>
      <c r="AM6" s="465"/>
      <c r="AN6" s="463" t="str">
        <f ca="1">IF(AND('Mapa final'!$K$7="Muy Alta",'Mapa final'!$O$7="Mayor"),CONCATENATE("R",'Mapa final'!$A$7),"")</f>
        <v/>
      </c>
      <c r="AO6" s="464"/>
      <c r="AP6" s="464" t="str">
        <f ca="1">IF(AND('Mapa final'!$K$10="Muy Alta",'Mapa final'!$O$10="Mayor"),CONCATENATE("R",'Mapa final'!$A$10),"")</f>
        <v/>
      </c>
      <c r="AQ6" s="464"/>
      <c r="AR6" s="464" t="str">
        <f ca="1">IF(AND('Mapa final'!$K$13="Muy Alta",'Mapa final'!$O$13="Mayor"),CONCATENATE("R",'Mapa final'!$A$13),"")</f>
        <v/>
      </c>
      <c r="AS6" s="464"/>
      <c r="AT6" s="464" t="e">
        <f>IF(AND('Mapa final'!#REF!="Muy Alta",'Mapa final'!#REF!="Mayor"),CONCATENATE("R",'Mapa final'!#REF!),"")</f>
        <v>#REF!</v>
      </c>
      <c r="AU6" s="464"/>
      <c r="AV6" s="464" t="e">
        <f>IF(AND('Mapa final'!#REF!="Muy Alta",'Mapa final'!#REF!="Mayor"),CONCATENATE("R",'Mapa final'!#REF!),"")</f>
        <v>#REF!</v>
      </c>
      <c r="AW6" s="465"/>
      <c r="AX6" s="470" t="str">
        <f ca="1">IF(AND('Mapa final'!$K$7="Muy Alta",'Mapa final'!$O$7="Catastrófico"),CONCATENATE("R",'Mapa final'!$A$7),"")</f>
        <v/>
      </c>
      <c r="AY6" s="469"/>
      <c r="AZ6" s="469" t="str">
        <f ca="1">IF(AND('Mapa final'!$K$10="Muy Alta",'Mapa final'!$O$10="Catastrófico"),CONCATENATE("R",'Mapa final'!$A$10),"")</f>
        <v/>
      </c>
      <c r="BA6" s="469"/>
      <c r="BB6" s="469" t="str">
        <f ca="1">IF(AND('Mapa final'!$K$13="Muy Alta",'Mapa final'!$O$13="Catastrófico"),CONCATENATE("R",'Mapa final'!$A$13),"")</f>
        <v/>
      </c>
      <c r="BC6" s="469"/>
      <c r="BD6" s="469" t="e">
        <f>IF(AND('Mapa final'!#REF!="Muy Alta",'Mapa final'!#REF!="Catastrófico"),CONCATENATE("R",'Mapa final'!#REF!),"")</f>
        <v>#REF!</v>
      </c>
      <c r="BE6" s="469"/>
      <c r="BF6" s="469" t="e">
        <f>IF(AND('Mapa final'!#REF!="Muy Alta",'Mapa final'!#REF!="Catastrófico"),CONCATENATE("R",'Mapa final'!#REF!),"")</f>
        <v>#REF!</v>
      </c>
      <c r="BG6" s="525"/>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row>
    <row r="7" spans="1:119" ht="15" customHeight="1" x14ac:dyDescent="0.25">
      <c r="A7" s="56"/>
      <c r="B7" s="286"/>
      <c r="C7" s="286"/>
      <c r="D7" s="287"/>
      <c r="E7" s="514"/>
      <c r="F7" s="515"/>
      <c r="G7" s="515"/>
      <c r="H7" s="515"/>
      <c r="I7" s="519"/>
      <c r="J7" s="524"/>
      <c r="K7" s="451"/>
      <c r="L7" s="451"/>
      <c r="M7" s="451"/>
      <c r="N7" s="451"/>
      <c r="O7" s="451"/>
      <c r="P7" s="451"/>
      <c r="Q7" s="451"/>
      <c r="R7" s="451"/>
      <c r="S7" s="451"/>
      <c r="T7" s="453"/>
      <c r="U7" s="451"/>
      <c r="V7" s="451"/>
      <c r="W7" s="451"/>
      <c r="X7" s="451"/>
      <c r="Y7" s="451"/>
      <c r="Z7" s="451"/>
      <c r="AA7" s="451"/>
      <c r="AB7" s="451"/>
      <c r="AC7" s="452"/>
      <c r="AD7" s="453"/>
      <c r="AE7" s="451"/>
      <c r="AF7" s="451"/>
      <c r="AG7" s="451"/>
      <c r="AH7" s="451"/>
      <c r="AI7" s="451"/>
      <c r="AJ7" s="451"/>
      <c r="AK7" s="451"/>
      <c r="AL7" s="451"/>
      <c r="AM7" s="452"/>
      <c r="AN7" s="453"/>
      <c r="AO7" s="451"/>
      <c r="AP7" s="451"/>
      <c r="AQ7" s="451"/>
      <c r="AR7" s="451"/>
      <c r="AS7" s="451"/>
      <c r="AT7" s="451"/>
      <c r="AU7" s="451"/>
      <c r="AV7" s="451"/>
      <c r="AW7" s="452"/>
      <c r="AX7" s="447"/>
      <c r="AY7" s="445"/>
      <c r="AZ7" s="445"/>
      <c r="BA7" s="445"/>
      <c r="BB7" s="445"/>
      <c r="BC7" s="445"/>
      <c r="BD7" s="445"/>
      <c r="BE7" s="445"/>
      <c r="BF7" s="445"/>
      <c r="BG7" s="44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row>
    <row r="8" spans="1:119" ht="15" customHeight="1" x14ac:dyDescent="0.25">
      <c r="A8" s="56"/>
      <c r="B8" s="286"/>
      <c r="C8" s="286"/>
      <c r="D8" s="287"/>
      <c r="E8" s="514"/>
      <c r="F8" s="515"/>
      <c r="G8" s="515"/>
      <c r="H8" s="515"/>
      <c r="I8" s="519"/>
      <c r="J8" s="524" t="str">
        <f ca="1">IF(AND('Mapa final'!$K$16="Muy Alta",'Mapa final'!$O$16="Leve"),CONCATENATE("R",'Mapa final'!$A$16),"")</f>
        <v/>
      </c>
      <c r="K8" s="451"/>
      <c r="L8" s="451" t="str">
        <f ca="1">IF(AND('Mapa final'!$K$19="Muy Alta",'Mapa final'!$O$19="Leve"),CONCATENATE("R",'Mapa final'!$A$19),"")</f>
        <v/>
      </c>
      <c r="M8" s="451"/>
      <c r="N8" s="451" t="str">
        <f ca="1">IF(AND('Mapa final'!$K$22="Muy Alta",'Mapa final'!$O$22="Leve"),CONCATENATE("R",'Mapa final'!$A$22),"")</f>
        <v/>
      </c>
      <c r="O8" s="451"/>
      <c r="P8" s="451" t="str">
        <f ca="1">IF(AND('Mapa final'!$K$25="Muy Alta",'Mapa final'!$O$25="Leve"),CONCATENATE("R",'Mapa final'!$A$25),"")</f>
        <v/>
      </c>
      <c r="Q8" s="451"/>
      <c r="R8" s="451" t="str">
        <f ca="1">IF(AND('Mapa final'!$K$28="Muy Alta",'Mapa final'!$O$28="Leve"),CONCATENATE("R",'Mapa final'!$A$28),"")</f>
        <v/>
      </c>
      <c r="S8" s="451"/>
      <c r="T8" s="453" t="str">
        <f ca="1">IF(AND('Mapa final'!$K$16="Muy Alta",'Mapa final'!$O$16="Menor"),CONCATENATE("R",'Mapa final'!$A$16),"")</f>
        <v/>
      </c>
      <c r="U8" s="451"/>
      <c r="V8" s="451" t="str">
        <f ca="1">IF(AND('Mapa final'!$K$19="Muy Alta",'Mapa final'!$O$19="Menor"),CONCATENATE("R",'Mapa final'!$A$19),"")</f>
        <v/>
      </c>
      <c r="W8" s="451"/>
      <c r="X8" s="451" t="str">
        <f ca="1">IF(AND('Mapa final'!$K$22="Muy Alta",'Mapa final'!$O$22="Menor"),CONCATENATE("R",'Mapa final'!$A$22),"")</f>
        <v/>
      </c>
      <c r="Y8" s="451"/>
      <c r="Z8" s="451" t="str">
        <f ca="1">IF(AND('Mapa final'!$K$25="Muy Alta",'Mapa final'!$O$25="Menor"),CONCATENATE("R",'Mapa final'!$A$25),"")</f>
        <v/>
      </c>
      <c r="AA8" s="451"/>
      <c r="AB8" s="451" t="str">
        <f ca="1">IF(AND('Mapa final'!$K$28="Muy Alta",'Mapa final'!$O$28="Menor"),CONCATENATE("R",'Mapa final'!$A$28),"")</f>
        <v/>
      </c>
      <c r="AC8" s="452"/>
      <c r="AD8" s="453" t="str">
        <f ca="1">IF(AND('Mapa final'!$K$16="Muy Alta",'Mapa final'!$O$16="Moderado"),CONCATENATE("R",'Mapa final'!$A$16),"")</f>
        <v/>
      </c>
      <c r="AE8" s="451"/>
      <c r="AF8" s="451" t="str">
        <f ca="1">IF(AND('Mapa final'!$K$19="Muy Alta",'Mapa final'!$O$19="Moderado"),CONCATENATE("R",'Mapa final'!$A$19),"")</f>
        <v/>
      </c>
      <c r="AG8" s="451"/>
      <c r="AH8" s="451" t="str">
        <f ca="1">IF(AND('Mapa final'!$K$22="Muy Alta",'Mapa final'!$O$22="Moderado"),CONCATENATE("R",'Mapa final'!$A$22),"")</f>
        <v/>
      </c>
      <c r="AI8" s="451"/>
      <c r="AJ8" s="451" t="str">
        <f ca="1">IF(AND('Mapa final'!$K$25="Muy Alta",'Mapa final'!$O$25="Moderado"),CONCATENATE("R",'Mapa final'!$A$25),"")</f>
        <v/>
      </c>
      <c r="AK8" s="451"/>
      <c r="AL8" s="451" t="str">
        <f ca="1">IF(AND('Mapa final'!$K$28="Muy Alta",'Mapa final'!$O$28="Moderado"),CONCATENATE("R",'Mapa final'!$A$28),"")</f>
        <v/>
      </c>
      <c r="AM8" s="452"/>
      <c r="AN8" s="453" t="str">
        <f ca="1">IF(AND('Mapa final'!$K$16="Muy Alta",'Mapa final'!$O$16="Mayor"),CONCATENATE("R",'Mapa final'!$A$16),"")</f>
        <v/>
      </c>
      <c r="AO8" s="451"/>
      <c r="AP8" s="451" t="str">
        <f ca="1">IF(AND('Mapa final'!$K$19="Muy Alta",'Mapa final'!$O$19="Mayor"),CONCATENATE("R",'Mapa final'!$A$19),"")</f>
        <v/>
      </c>
      <c r="AQ8" s="451"/>
      <c r="AR8" s="451" t="str">
        <f ca="1">IF(AND('Mapa final'!$K$22="Muy Alta",'Mapa final'!$O$22="Mayor"),CONCATENATE("R",'Mapa final'!$A$22),"")</f>
        <v/>
      </c>
      <c r="AS8" s="451"/>
      <c r="AT8" s="451" t="str">
        <f ca="1">IF(AND('Mapa final'!$K$25="Muy Alta",'Mapa final'!$O$25="Mayor"),CONCATENATE("R",'Mapa final'!$A$25),"")</f>
        <v/>
      </c>
      <c r="AU8" s="451"/>
      <c r="AV8" s="451" t="str">
        <f ca="1">IF(AND('Mapa final'!$K$28="Muy Alta",'Mapa final'!$O$28="Mayor"),CONCATENATE("R",'Mapa final'!$A$28),"")</f>
        <v/>
      </c>
      <c r="AW8" s="452"/>
      <c r="AX8" s="447" t="str">
        <f ca="1">IF(AND('Mapa final'!$K$16="Muy Alta",'Mapa final'!$O$16="Catastrófico"),CONCATENATE("R",'Mapa final'!$A$16),"")</f>
        <v/>
      </c>
      <c r="AY8" s="445"/>
      <c r="AZ8" s="445" t="str">
        <f ca="1">IF(AND('Mapa final'!$K$19="Muy Alta",'Mapa final'!$O$19="Catastrófico"),CONCATENATE("R",'Mapa final'!$A$19),"")</f>
        <v/>
      </c>
      <c r="BA8" s="445"/>
      <c r="BB8" s="445" t="str">
        <f ca="1">IF(AND('Mapa final'!$K$22="Muy Alta",'Mapa final'!$O$22="Catastrófico"),CONCATENATE("R",'Mapa final'!$A$22),"")</f>
        <v/>
      </c>
      <c r="BC8" s="445"/>
      <c r="BD8" s="445" t="str">
        <f ca="1">IF(AND('Mapa final'!$K$25="Muy Alta",'Mapa final'!$O$25="Catastrófico"),CONCATENATE("R",'Mapa final'!$A$25),"")</f>
        <v/>
      </c>
      <c r="BE8" s="445"/>
      <c r="BF8" s="445" t="str">
        <f ca="1">IF(AND('Mapa final'!$K$28="Muy Alta",'Mapa final'!$O$28="Catastrófico"),CONCATENATE("R",'Mapa final'!$A$28),"")</f>
        <v/>
      </c>
      <c r="BG8" s="44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row>
    <row r="9" spans="1:119" ht="15" customHeight="1" x14ac:dyDescent="0.25">
      <c r="A9" s="56"/>
      <c r="B9" s="286"/>
      <c r="C9" s="286"/>
      <c r="D9" s="287"/>
      <c r="E9" s="514"/>
      <c r="F9" s="515"/>
      <c r="G9" s="515"/>
      <c r="H9" s="515"/>
      <c r="I9" s="519"/>
      <c r="J9" s="524"/>
      <c r="K9" s="451"/>
      <c r="L9" s="451"/>
      <c r="M9" s="451"/>
      <c r="N9" s="451"/>
      <c r="O9" s="451"/>
      <c r="P9" s="451"/>
      <c r="Q9" s="451"/>
      <c r="R9" s="451"/>
      <c r="S9" s="451"/>
      <c r="T9" s="453"/>
      <c r="U9" s="451"/>
      <c r="V9" s="451"/>
      <c r="W9" s="451"/>
      <c r="X9" s="451"/>
      <c r="Y9" s="451"/>
      <c r="Z9" s="451"/>
      <c r="AA9" s="451"/>
      <c r="AB9" s="451"/>
      <c r="AC9" s="452"/>
      <c r="AD9" s="453"/>
      <c r="AE9" s="451"/>
      <c r="AF9" s="451"/>
      <c r="AG9" s="451"/>
      <c r="AH9" s="451"/>
      <c r="AI9" s="451"/>
      <c r="AJ9" s="451"/>
      <c r="AK9" s="451"/>
      <c r="AL9" s="451"/>
      <c r="AM9" s="452"/>
      <c r="AN9" s="453"/>
      <c r="AO9" s="451"/>
      <c r="AP9" s="451"/>
      <c r="AQ9" s="451"/>
      <c r="AR9" s="451"/>
      <c r="AS9" s="451"/>
      <c r="AT9" s="451"/>
      <c r="AU9" s="451"/>
      <c r="AV9" s="451"/>
      <c r="AW9" s="452"/>
      <c r="AX9" s="447"/>
      <c r="AY9" s="445"/>
      <c r="AZ9" s="445"/>
      <c r="BA9" s="445"/>
      <c r="BB9" s="445"/>
      <c r="BC9" s="445"/>
      <c r="BD9" s="445"/>
      <c r="BE9" s="445"/>
      <c r="BF9" s="445"/>
      <c r="BG9" s="44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row>
    <row r="10" spans="1:119" ht="15" customHeight="1" x14ac:dyDescent="0.25">
      <c r="A10" s="56"/>
      <c r="B10" s="286"/>
      <c r="C10" s="286"/>
      <c r="D10" s="287"/>
      <c r="E10" s="514"/>
      <c r="F10" s="515"/>
      <c r="G10" s="515"/>
      <c r="H10" s="515"/>
      <c r="I10" s="519"/>
      <c r="J10" s="524" t="str">
        <f ca="1">IF(AND('Mapa final'!$K$31="Muy Alta",'Mapa final'!$O$31="Leve"),CONCATENATE("R",'Mapa final'!$A$31),"")</f>
        <v/>
      </c>
      <c r="K10" s="451"/>
      <c r="L10" s="451" t="str">
        <f ca="1">IF(AND('Mapa final'!$K$34="Muy Alta",'Mapa final'!$O$34="Leve"),CONCATENATE("R",'Mapa final'!$A$34),"")</f>
        <v/>
      </c>
      <c r="M10" s="451"/>
      <c r="N10" s="451" t="str">
        <f ca="1">IF(AND('Mapa final'!$K$37="Muy Alta",'Mapa final'!$O$37="Leve"),CONCATENATE("R",'Mapa final'!$A$37),"")</f>
        <v/>
      </c>
      <c r="O10" s="451"/>
      <c r="P10" s="451" t="str">
        <f ca="1">IF(AND('Mapa final'!$K$40="Muy Alta",'Mapa final'!$O$40="Leve"),CONCATENATE("R",'Mapa final'!$A$40),"")</f>
        <v/>
      </c>
      <c r="Q10" s="451"/>
      <c r="R10" s="451" t="str">
        <f ca="1">IF(AND('Mapa final'!$K$43="Muy Alta",'Mapa final'!$O$43="Leve"),CONCATENATE("R",'Mapa final'!$A$43),"")</f>
        <v/>
      </c>
      <c r="S10" s="451"/>
      <c r="T10" s="453" t="str">
        <f ca="1">IF(AND('Mapa final'!$K$31="Muy Alta",'Mapa final'!$O$31="Menor"),CONCATENATE("R",'Mapa final'!$A$31),"")</f>
        <v/>
      </c>
      <c r="U10" s="451"/>
      <c r="V10" s="451" t="str">
        <f ca="1">IF(AND('Mapa final'!$K$34="Muy Alta",'Mapa final'!$O$34="Menor"),CONCATENATE("R",'Mapa final'!$A$34),"")</f>
        <v/>
      </c>
      <c r="W10" s="451"/>
      <c r="X10" s="451" t="str">
        <f ca="1">IF(AND('Mapa final'!$K$37="Muy Alta",'Mapa final'!$O$37="Menor"),CONCATENATE("R",'Mapa final'!$A$37),"")</f>
        <v/>
      </c>
      <c r="Y10" s="451"/>
      <c r="Z10" s="451" t="str">
        <f ca="1">IF(AND('Mapa final'!$K$40="Muy Alta",'Mapa final'!$O$40="Menor"),CONCATENATE("R",'Mapa final'!$A$40),"")</f>
        <v/>
      </c>
      <c r="AA10" s="451"/>
      <c r="AB10" s="451" t="str">
        <f ca="1">IF(AND('Mapa final'!$K$43="Muy Alta",'Mapa final'!$O$43="Menor"),CONCATENATE("R",'Mapa final'!$A$43),"")</f>
        <v/>
      </c>
      <c r="AC10" s="452"/>
      <c r="AD10" s="453" t="str">
        <f ca="1">IF(AND('Mapa final'!$K$31="Muy Alta",'Mapa final'!$O$31="Moderado"),CONCATENATE("R",'Mapa final'!$A$31),"")</f>
        <v/>
      </c>
      <c r="AE10" s="451"/>
      <c r="AF10" s="451" t="str">
        <f ca="1">IF(AND('Mapa final'!$K$34="Muy Alta",'Mapa final'!$O$34="Moderado"),CONCATENATE("R",'Mapa final'!$A$34),"")</f>
        <v/>
      </c>
      <c r="AG10" s="451"/>
      <c r="AH10" s="451" t="str">
        <f ca="1">IF(AND('Mapa final'!$K$37="Muy Alta",'Mapa final'!$O$37="Moderado"),CONCATENATE("R",'Mapa final'!$A$37),"")</f>
        <v/>
      </c>
      <c r="AI10" s="451"/>
      <c r="AJ10" s="451" t="str">
        <f ca="1">IF(AND('Mapa final'!$K$40="Muy Alta",'Mapa final'!$O$40="Moderado"),CONCATENATE("R",'Mapa final'!$A$40),"")</f>
        <v/>
      </c>
      <c r="AK10" s="451"/>
      <c r="AL10" s="451" t="str">
        <f ca="1">IF(AND('Mapa final'!$K$43="Muy Alta",'Mapa final'!$O$43="Moderado"),CONCATENATE("R",'Mapa final'!$A$43),"")</f>
        <v/>
      </c>
      <c r="AM10" s="452"/>
      <c r="AN10" s="453" t="str">
        <f ca="1">IF(AND('Mapa final'!$K$31="Muy Alta",'Mapa final'!$O$31="Mayor"),CONCATENATE("R",'Mapa final'!$A$31),"")</f>
        <v/>
      </c>
      <c r="AO10" s="451"/>
      <c r="AP10" s="451" t="str">
        <f ca="1">IF(AND('Mapa final'!$K$34="Muy Alta",'Mapa final'!$O$34="Mayor"),CONCATENATE("R",'Mapa final'!$A$34),"")</f>
        <v/>
      </c>
      <c r="AQ10" s="451"/>
      <c r="AR10" s="451" t="str">
        <f ca="1">IF(AND('Mapa final'!$K$37="Muy Alta",'Mapa final'!$O$37="Mayor"),CONCATENATE("R",'Mapa final'!$A$37),"")</f>
        <v/>
      </c>
      <c r="AS10" s="451"/>
      <c r="AT10" s="451" t="str">
        <f ca="1">IF(AND('Mapa final'!$K$40="Muy Alta",'Mapa final'!$O$40="Mayor"),CONCATENATE("R",'Mapa final'!$A$40),"")</f>
        <v/>
      </c>
      <c r="AU10" s="451"/>
      <c r="AV10" s="451" t="str">
        <f ca="1">IF(AND('Mapa final'!$K$43="Muy Alta",'Mapa final'!$O$43="Mayor"),CONCATENATE("R",'Mapa final'!$A$43),"")</f>
        <v/>
      </c>
      <c r="AW10" s="452"/>
      <c r="AX10" s="447" t="str">
        <f ca="1">IF(AND('Mapa final'!$K$31="Muy Alta",'Mapa final'!$O$31="Catastrófico"),CONCATENATE("R",'Mapa final'!$A$31),"")</f>
        <v/>
      </c>
      <c r="AY10" s="445"/>
      <c r="AZ10" s="445" t="str">
        <f ca="1">IF(AND('Mapa final'!$K$34="Muy Alta",'Mapa final'!$O$34="Catastrófico"),CONCATENATE("R",'Mapa final'!$A$34),"")</f>
        <v/>
      </c>
      <c r="BA10" s="445"/>
      <c r="BB10" s="445" t="str">
        <f ca="1">IF(AND('Mapa final'!$K$37="Muy Alta",'Mapa final'!$O$37="Catastrófico"),CONCATENATE("R",'Mapa final'!$A$37),"")</f>
        <v/>
      </c>
      <c r="BC10" s="445"/>
      <c r="BD10" s="445" t="str">
        <f ca="1">IF(AND('Mapa final'!$K$40="Muy Alta",'Mapa final'!$O$40="Catastrófico"),CONCATENATE("R",'Mapa final'!$A$40),"")</f>
        <v/>
      </c>
      <c r="BE10" s="445"/>
      <c r="BF10" s="445" t="str">
        <f ca="1">IF(AND('Mapa final'!$K$43="Muy Alta",'Mapa final'!$O$43="Catastrófico"),CONCATENATE("R",'Mapa final'!$A$43),"")</f>
        <v/>
      </c>
      <c r="BG10" s="44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row>
    <row r="11" spans="1:119" ht="15" customHeight="1" x14ac:dyDescent="0.25">
      <c r="A11" s="56"/>
      <c r="B11" s="286"/>
      <c r="C11" s="286"/>
      <c r="D11" s="287"/>
      <c r="E11" s="514"/>
      <c r="F11" s="515"/>
      <c r="G11" s="515"/>
      <c r="H11" s="515"/>
      <c r="I11" s="519"/>
      <c r="J11" s="524"/>
      <c r="K11" s="451"/>
      <c r="L11" s="451"/>
      <c r="M11" s="451"/>
      <c r="N11" s="451"/>
      <c r="O11" s="451"/>
      <c r="P11" s="451"/>
      <c r="Q11" s="451"/>
      <c r="R11" s="451"/>
      <c r="S11" s="451"/>
      <c r="T11" s="453"/>
      <c r="U11" s="451"/>
      <c r="V11" s="451"/>
      <c r="W11" s="451"/>
      <c r="X11" s="451"/>
      <c r="Y11" s="451"/>
      <c r="Z11" s="451"/>
      <c r="AA11" s="451"/>
      <c r="AB11" s="451"/>
      <c r="AC11" s="452"/>
      <c r="AD11" s="453"/>
      <c r="AE11" s="451"/>
      <c r="AF11" s="451"/>
      <c r="AG11" s="451"/>
      <c r="AH11" s="451"/>
      <c r="AI11" s="451"/>
      <c r="AJ11" s="451"/>
      <c r="AK11" s="451"/>
      <c r="AL11" s="451"/>
      <c r="AM11" s="452"/>
      <c r="AN11" s="453"/>
      <c r="AO11" s="451"/>
      <c r="AP11" s="451"/>
      <c r="AQ11" s="451"/>
      <c r="AR11" s="451"/>
      <c r="AS11" s="451"/>
      <c r="AT11" s="451"/>
      <c r="AU11" s="451"/>
      <c r="AV11" s="451"/>
      <c r="AW11" s="452"/>
      <c r="AX11" s="447"/>
      <c r="AY11" s="445"/>
      <c r="AZ11" s="445"/>
      <c r="BA11" s="445"/>
      <c r="BB11" s="445"/>
      <c r="BC11" s="445"/>
      <c r="BD11" s="445"/>
      <c r="BE11" s="445"/>
      <c r="BF11" s="445"/>
      <c r="BG11" s="44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row>
    <row r="12" spans="1:119" ht="15" customHeight="1" x14ac:dyDescent="0.25">
      <c r="A12" s="56"/>
      <c r="B12" s="286"/>
      <c r="C12" s="286"/>
      <c r="D12" s="287"/>
      <c r="E12" s="514"/>
      <c r="F12" s="515"/>
      <c r="G12" s="515"/>
      <c r="H12" s="515"/>
      <c r="I12" s="519"/>
      <c r="J12" s="451" t="str">
        <f ca="1">IF(AND('Mapa final'!$K$46="Muy Alta",'Mapa final'!$O$46="Leve"),CONCATENATE("R",'Mapa final'!$A$46),"")</f>
        <v/>
      </c>
      <c r="K12" s="451"/>
      <c r="L12" s="451" t="str">
        <f ca="1">IF(AND('Mapa final'!$K$49="Muy Alta",'Mapa final'!$O$49="Leve"),CONCATENATE("R",'Mapa final'!$A$49),"")</f>
        <v/>
      </c>
      <c r="M12" s="451"/>
      <c r="N12" s="451" t="str">
        <f ca="1">IF(AND('Mapa final'!$K$52="Muy Alta",'Mapa final'!$O$52="Leve"),CONCATENATE("R",'Mapa final'!$A$52),"")</f>
        <v/>
      </c>
      <c r="O12" s="451"/>
      <c r="P12" s="451" t="str">
        <f ca="1">IF(AND('Mapa final'!$K$55="Muy Alta",'Mapa final'!$O$55="Leve"),CONCATENATE("R",'Mapa final'!$A$55),"")</f>
        <v/>
      </c>
      <c r="Q12" s="451"/>
      <c r="R12" s="451" t="str">
        <f ca="1">IF(AND('Mapa final'!$K$58="Muy Alta",'Mapa final'!$O$58="Leve"),CONCATENATE("R",'Mapa final'!$A$58),"")</f>
        <v/>
      </c>
      <c r="S12" s="451"/>
      <c r="T12" s="453" t="str">
        <f ca="1">IF(AND('Mapa final'!$K$46="Muy Alta",'Mapa final'!$O$46="Menor"),CONCATENATE("R",'Mapa final'!$A$46),"")</f>
        <v/>
      </c>
      <c r="U12" s="451"/>
      <c r="V12" s="451" t="str">
        <f ca="1">IF(AND('Mapa final'!$K$49="Muy Alta",'Mapa final'!$O$49="Menor"),CONCATENATE("R",'Mapa final'!$A$49),"")</f>
        <v/>
      </c>
      <c r="W12" s="451"/>
      <c r="X12" s="451" t="str">
        <f ca="1">IF(AND('Mapa final'!$K$52="Muy Alta",'Mapa final'!$O$52="Menor"),CONCATENATE("R",'Mapa final'!$A$52),"")</f>
        <v/>
      </c>
      <c r="Y12" s="451"/>
      <c r="Z12" s="451" t="str">
        <f ca="1">IF(AND('Mapa final'!$K$55="Muy Alta",'Mapa final'!$O$55="Menor"),CONCATENATE("R",'Mapa final'!$A$55),"")</f>
        <v/>
      </c>
      <c r="AA12" s="451"/>
      <c r="AB12" s="451" t="str">
        <f ca="1">IF(AND('Mapa final'!$K$58="Muy Alta",'Mapa final'!$O$58="Menor"),CONCATENATE("R",'Mapa final'!$A$58),"")</f>
        <v/>
      </c>
      <c r="AC12" s="452"/>
      <c r="AD12" s="453" t="str">
        <f ca="1">IF(AND('Mapa final'!$K$46="Muy Alta",'Mapa final'!$O$46="Moderado"),CONCATENATE("R",'Mapa final'!$A$46),"")</f>
        <v/>
      </c>
      <c r="AE12" s="451"/>
      <c r="AF12" s="451" t="str">
        <f ca="1">IF(AND('Mapa final'!$K$49="Muy Alta",'Mapa final'!$O$49="Moderado"),CONCATENATE("R",'Mapa final'!$A$49),"")</f>
        <v/>
      </c>
      <c r="AG12" s="451"/>
      <c r="AH12" s="451" t="str">
        <f ca="1">IF(AND('Mapa final'!$K$52="Muy Alta",'Mapa final'!$O$52="Moderado"),CONCATENATE("R",'Mapa final'!$A$52),"")</f>
        <v/>
      </c>
      <c r="AI12" s="451"/>
      <c r="AJ12" s="451" t="str">
        <f ca="1">IF(AND('Mapa final'!$K$55="Muy Alta",'Mapa final'!$O$55="Moderado"),CONCATENATE("R",'Mapa final'!$A$55),"")</f>
        <v/>
      </c>
      <c r="AK12" s="451"/>
      <c r="AL12" s="451" t="str">
        <f ca="1">IF(AND('Mapa final'!$K$58="Muy Alta",'Mapa final'!$O$58="Moderado"),CONCATENATE("R",'Mapa final'!$A$58),"")</f>
        <v/>
      </c>
      <c r="AM12" s="452"/>
      <c r="AN12" s="453" t="str">
        <f ca="1">IF(AND('Mapa final'!$K$46="Muy Alta",'Mapa final'!$O$46="Mayor"),CONCATENATE("R",'Mapa final'!$A$46),"")</f>
        <v/>
      </c>
      <c r="AO12" s="451"/>
      <c r="AP12" s="451" t="str">
        <f ca="1">IF(AND('Mapa final'!$K$49="Muy Alta",'Mapa final'!$O$49="Mayor"),CONCATENATE("R",'Mapa final'!$A$49),"")</f>
        <v>R16</v>
      </c>
      <c r="AQ12" s="451"/>
      <c r="AR12" s="451" t="str">
        <f ca="1">IF(AND('Mapa final'!$K$52="Muy Alta",'Mapa final'!$O$52="Mayor"),CONCATENATE("R",'Mapa final'!$A$52),"")</f>
        <v/>
      </c>
      <c r="AS12" s="451"/>
      <c r="AT12" s="451" t="str">
        <f ca="1">IF(AND('Mapa final'!$K$55="Muy Alta",'Mapa final'!$O$55="Mayor"),CONCATENATE("R",'Mapa final'!$A$55),"")</f>
        <v/>
      </c>
      <c r="AU12" s="451"/>
      <c r="AV12" s="451" t="str">
        <f ca="1">IF(AND('Mapa final'!$K$58="Muy Alta",'Mapa final'!$O$58="Mayor"),CONCATENATE("R",'Mapa final'!$A$58),"")</f>
        <v/>
      </c>
      <c r="AW12" s="452"/>
      <c r="AX12" s="447" t="str">
        <f ca="1">IF(AND('Mapa final'!$K$46="Muy Alta",'Mapa final'!$O$46="Catastrófico"),CONCATENATE("R",'Mapa final'!$A$46),"")</f>
        <v/>
      </c>
      <c r="AY12" s="445"/>
      <c r="AZ12" s="445" t="str">
        <f ca="1">IF(AND('Mapa final'!$K$49="Muy Alta",'Mapa final'!$O$49="Catastrófico"),CONCATENATE("R",'Mapa final'!$A$49),"")</f>
        <v/>
      </c>
      <c r="BA12" s="445"/>
      <c r="BB12" s="445" t="str">
        <f ca="1">IF(AND('Mapa final'!$K$52="Muy Alta",'Mapa final'!$O$52="Catastrófico"),CONCATENATE("R",'Mapa final'!$A$52),"")</f>
        <v/>
      </c>
      <c r="BC12" s="445"/>
      <c r="BD12" s="445" t="str">
        <f ca="1">IF(AND('Mapa final'!$K$55="Muy Alta",'Mapa final'!$O$55="Catastrófico"),CONCATENATE("R",'Mapa final'!$A$55),"")</f>
        <v/>
      </c>
      <c r="BE12" s="445"/>
      <c r="BF12" s="445" t="str">
        <f ca="1">IF(AND('Mapa final'!$K$58="Muy Alta",'Mapa final'!$O$58="Catastrófico"),CONCATENATE("R",'Mapa final'!$A$58),"")</f>
        <v/>
      </c>
      <c r="BG12" s="44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row>
    <row r="13" spans="1:119" ht="15" customHeight="1" thickBot="1" x14ac:dyDescent="0.3">
      <c r="A13" s="56"/>
      <c r="B13" s="286"/>
      <c r="C13" s="286"/>
      <c r="D13" s="287"/>
      <c r="E13" s="514"/>
      <c r="F13" s="515"/>
      <c r="G13" s="515"/>
      <c r="H13" s="515"/>
      <c r="I13" s="519"/>
      <c r="J13" s="451"/>
      <c r="K13" s="451"/>
      <c r="L13" s="451"/>
      <c r="M13" s="451"/>
      <c r="N13" s="451"/>
      <c r="O13" s="451"/>
      <c r="P13" s="451"/>
      <c r="Q13" s="451"/>
      <c r="R13" s="451"/>
      <c r="S13" s="451"/>
      <c r="T13" s="453"/>
      <c r="U13" s="451"/>
      <c r="V13" s="451"/>
      <c r="W13" s="451"/>
      <c r="X13" s="451"/>
      <c r="Y13" s="451"/>
      <c r="Z13" s="451"/>
      <c r="AA13" s="451"/>
      <c r="AB13" s="451"/>
      <c r="AC13" s="452"/>
      <c r="AD13" s="453"/>
      <c r="AE13" s="451"/>
      <c r="AF13" s="451"/>
      <c r="AG13" s="451"/>
      <c r="AH13" s="451"/>
      <c r="AI13" s="451"/>
      <c r="AJ13" s="451"/>
      <c r="AK13" s="451"/>
      <c r="AL13" s="451"/>
      <c r="AM13" s="452"/>
      <c r="AN13" s="453"/>
      <c r="AO13" s="451"/>
      <c r="AP13" s="451"/>
      <c r="AQ13" s="451"/>
      <c r="AR13" s="451"/>
      <c r="AS13" s="451"/>
      <c r="AT13" s="451"/>
      <c r="AU13" s="451"/>
      <c r="AV13" s="451"/>
      <c r="AW13" s="452"/>
      <c r="AX13" s="447"/>
      <c r="AY13" s="445"/>
      <c r="AZ13" s="445"/>
      <c r="BA13" s="445"/>
      <c r="BB13" s="445"/>
      <c r="BC13" s="445"/>
      <c r="BD13" s="445"/>
      <c r="BE13" s="445"/>
      <c r="BF13" s="445"/>
      <c r="BG13" s="44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row>
    <row r="14" spans="1:119" ht="15" customHeight="1" x14ac:dyDescent="0.25">
      <c r="A14" s="56"/>
      <c r="B14" s="286"/>
      <c r="C14" s="286"/>
      <c r="D14" s="287"/>
      <c r="E14" s="514"/>
      <c r="F14" s="515"/>
      <c r="G14" s="515"/>
      <c r="H14" s="515"/>
      <c r="I14" s="519"/>
      <c r="J14" s="451" t="str">
        <f ca="1">IF(AND('Mapa final'!$K$61="Muy Alta",'Mapa final'!$O$61="Leve"),CONCATENATE("R",'Mapa final'!$A$61),"")</f>
        <v/>
      </c>
      <c r="K14" s="451"/>
      <c r="L14" s="451" t="str">
        <f ca="1">IF(AND('Mapa final'!$K$64="Muy Alta",'Mapa final'!$O$64="Leve"),CONCATENATE("R",'Mapa final'!$A$64),"")</f>
        <v/>
      </c>
      <c r="M14" s="451"/>
      <c r="N14" s="451" t="str">
        <f ca="1">IF(AND('Mapa final'!$K$70="Muy Alta",'Mapa final'!$O$70="Leve"),CONCATENATE("R",'Mapa final'!$A$70),"")</f>
        <v/>
      </c>
      <c r="O14" s="451"/>
      <c r="P14" s="451" t="str">
        <f ca="1">IF(AND('Mapa final'!$K$73="Muy Alta",'Mapa final'!$O$73="Leve"),CONCATENATE("R",'Mapa final'!$A$73),"")</f>
        <v/>
      </c>
      <c r="Q14" s="451"/>
      <c r="R14" s="451" t="str">
        <f ca="1">IF(AND('Mapa final'!$K$76="Muy Alta",'Mapa final'!$O$76="Leve"),CONCATENATE("R",'Mapa final'!$A$76),"")</f>
        <v/>
      </c>
      <c r="S14" s="451"/>
      <c r="T14" s="453" t="str">
        <f ca="1">IF(AND('Mapa final'!$K$61="Muy Alta",'Mapa final'!$O$61="Menor"),CONCATENATE("R",'Mapa final'!$A$61),"")</f>
        <v/>
      </c>
      <c r="U14" s="451"/>
      <c r="V14" s="451" t="str">
        <f ca="1">IF(AND('Mapa final'!$K$64="Muy Alta",'Mapa final'!$O$64="Menor"),CONCATENATE("R",'Mapa final'!$A$64),"")</f>
        <v/>
      </c>
      <c r="W14" s="451"/>
      <c r="X14" s="451" t="str">
        <f ca="1">IF(AND('Mapa final'!$K$70="Muy Alta",'Mapa final'!$O$70="Menor"),CONCATENATE("R",'Mapa final'!$A$70),"")</f>
        <v/>
      </c>
      <c r="Y14" s="451"/>
      <c r="Z14" s="451" t="str">
        <f ca="1">IF(AND('Mapa final'!$K$73="Muy Alta",'Mapa final'!$O$73="Menor"),CONCATENATE("R",'Mapa final'!$A$73),"")</f>
        <v/>
      </c>
      <c r="AA14" s="451"/>
      <c r="AB14" s="451" t="str">
        <f ca="1">IF(AND('Mapa final'!$K$76="Muy Alta",'Mapa final'!$O$76="Menor"),CONCATENATE("R",'Mapa final'!$A$76),"")</f>
        <v/>
      </c>
      <c r="AC14" s="452"/>
      <c r="AD14" s="453" t="str">
        <f ca="1">IF(AND('Mapa final'!$K$61="Muy Alta",'Mapa final'!$O$61="Moderado"),CONCATENATE("R",'Mapa final'!$A$61),"")</f>
        <v/>
      </c>
      <c r="AE14" s="451"/>
      <c r="AF14" s="451" t="str">
        <f ca="1">IF(AND('Mapa final'!$K$64="Muy Alta",'Mapa final'!$O$64="Moderado"),CONCATENATE("R",'Mapa final'!$A$64),"")</f>
        <v/>
      </c>
      <c r="AG14" s="451"/>
      <c r="AH14" s="451" t="str">
        <f ca="1">IF(AND('Mapa final'!$K$70="Muy Alta",'Mapa final'!$O$70="Moderado"),CONCATENATE("R",'Mapa final'!$A$70),"")</f>
        <v/>
      </c>
      <c r="AI14" s="451"/>
      <c r="AJ14" s="451" t="str">
        <f ca="1">IF(AND('Mapa final'!$K$73="Muy Alta",'Mapa final'!$O$73="Moderado"),CONCATENATE("R",'Mapa final'!$A$73),"")</f>
        <v/>
      </c>
      <c r="AK14" s="451"/>
      <c r="AL14" s="451" t="str">
        <f ca="1">IF(AND('Mapa final'!$K$76="Muy Alta",'Mapa final'!$O$76="Moderado"),CONCATENATE("R",'Mapa final'!$A$76),"")</f>
        <v/>
      </c>
      <c r="AM14" s="452"/>
      <c r="AN14" s="453" t="str">
        <f ca="1">IF(AND('Mapa final'!$K$61="Muy Alta",'Mapa final'!$O$61="Mayor"),CONCATENATE("R",'Mapa final'!$A$61),"")</f>
        <v/>
      </c>
      <c r="AO14" s="451"/>
      <c r="AP14" s="451" t="str">
        <f ca="1">IF(AND('Mapa final'!$K$64="Muy Alta",'Mapa final'!$O$64="Mayor"),CONCATENATE("R",'Mapa final'!$A$64),"")</f>
        <v/>
      </c>
      <c r="AQ14" s="451"/>
      <c r="AR14" s="451" t="str">
        <f ca="1">IF(AND('Mapa final'!$K$70="Muy Alta",'Mapa final'!$O$70="Mayor"),CONCATENATE("R",'Mapa final'!$A$70),"")</f>
        <v/>
      </c>
      <c r="AS14" s="451"/>
      <c r="AT14" s="451" t="str">
        <f ca="1">IF(AND('Mapa final'!$K$73="Muy Alta",'Mapa final'!$O$73="Mayor"),CONCATENATE("R",'Mapa final'!$A$73),"")</f>
        <v/>
      </c>
      <c r="AU14" s="451"/>
      <c r="AV14" s="451" t="str">
        <f ca="1">IF(AND('Mapa final'!$K$76="Muy Alta",'Mapa final'!$O$76="Mayor"),CONCATENATE("R",'Mapa final'!$A$76),"")</f>
        <v/>
      </c>
      <c r="AW14" s="452"/>
      <c r="AX14" s="447" t="str">
        <f ca="1">IF(AND('Mapa final'!$K$61="Muy Alta",'Mapa final'!$O$61="Catastrófico"),CONCATENATE("R",'Mapa final'!$A$61),"")</f>
        <v/>
      </c>
      <c r="AY14" s="445"/>
      <c r="AZ14" s="445" t="str">
        <f ca="1">IF(AND('Mapa final'!$K$64="Muy Alta",'Mapa final'!$O$64="Catastrófico"),CONCATENATE("R",'Mapa final'!$A$64),"")</f>
        <v/>
      </c>
      <c r="BA14" s="445"/>
      <c r="BB14" s="445" t="str">
        <f ca="1">IF(AND('Mapa final'!$K$70="Muy Alta",'Mapa final'!$O$70="Catastrófico"),CONCATENATE("R",'Mapa final'!$A$70),"")</f>
        <v/>
      </c>
      <c r="BC14" s="445"/>
      <c r="BD14" s="445" t="str">
        <f ca="1">IF(AND('Mapa final'!$K$73="Muy Alta",'Mapa final'!$O$73="Catastrófico"),CONCATENATE("R",'Mapa final'!$A$73),"")</f>
        <v/>
      </c>
      <c r="BE14" s="445"/>
      <c r="BF14" s="445" t="str">
        <f ca="1">IF(AND('Mapa final'!$K$76="Muy Alta",'Mapa final'!$O$76="Catastrófico"),CONCATENATE("R",'Mapa final'!$A$76),"")</f>
        <v/>
      </c>
      <c r="BG14" s="446"/>
      <c r="BH14" s="56"/>
      <c r="BI14" s="476" t="s">
        <v>73</v>
      </c>
      <c r="BJ14" s="477"/>
      <c r="BK14" s="477"/>
      <c r="BL14" s="477"/>
      <c r="BM14" s="477"/>
      <c r="BN14" s="478"/>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row>
    <row r="15" spans="1:119" ht="15" customHeight="1" x14ac:dyDescent="0.25">
      <c r="A15" s="56"/>
      <c r="B15" s="286"/>
      <c r="C15" s="286"/>
      <c r="D15" s="287"/>
      <c r="E15" s="514"/>
      <c r="F15" s="515"/>
      <c r="G15" s="515"/>
      <c r="H15" s="515"/>
      <c r="I15" s="519"/>
      <c r="J15" s="451"/>
      <c r="K15" s="451"/>
      <c r="L15" s="451"/>
      <c r="M15" s="451"/>
      <c r="N15" s="451"/>
      <c r="O15" s="451"/>
      <c r="P15" s="451"/>
      <c r="Q15" s="451"/>
      <c r="R15" s="451"/>
      <c r="S15" s="451"/>
      <c r="T15" s="453"/>
      <c r="U15" s="451"/>
      <c r="V15" s="451"/>
      <c r="W15" s="451"/>
      <c r="X15" s="451"/>
      <c r="Y15" s="451"/>
      <c r="Z15" s="451"/>
      <c r="AA15" s="451"/>
      <c r="AB15" s="451"/>
      <c r="AC15" s="452"/>
      <c r="AD15" s="453"/>
      <c r="AE15" s="451"/>
      <c r="AF15" s="451"/>
      <c r="AG15" s="451"/>
      <c r="AH15" s="451"/>
      <c r="AI15" s="451"/>
      <c r="AJ15" s="451"/>
      <c r="AK15" s="451"/>
      <c r="AL15" s="451"/>
      <c r="AM15" s="452"/>
      <c r="AN15" s="453"/>
      <c r="AO15" s="451"/>
      <c r="AP15" s="451"/>
      <c r="AQ15" s="451"/>
      <c r="AR15" s="451"/>
      <c r="AS15" s="451"/>
      <c r="AT15" s="451"/>
      <c r="AU15" s="451"/>
      <c r="AV15" s="451"/>
      <c r="AW15" s="452"/>
      <c r="AX15" s="447"/>
      <c r="AY15" s="445"/>
      <c r="AZ15" s="445"/>
      <c r="BA15" s="445"/>
      <c r="BB15" s="445"/>
      <c r="BC15" s="445"/>
      <c r="BD15" s="445"/>
      <c r="BE15" s="445"/>
      <c r="BF15" s="445"/>
      <c r="BG15" s="446"/>
      <c r="BH15" s="56"/>
      <c r="BI15" s="479"/>
      <c r="BJ15" s="480"/>
      <c r="BK15" s="480"/>
      <c r="BL15" s="480"/>
      <c r="BM15" s="480"/>
      <c r="BN15" s="481"/>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row>
    <row r="16" spans="1:119" ht="15" customHeight="1" x14ac:dyDescent="0.25">
      <c r="A16" s="56"/>
      <c r="B16" s="286"/>
      <c r="C16" s="286"/>
      <c r="D16" s="287"/>
      <c r="E16" s="514"/>
      <c r="F16" s="515"/>
      <c r="G16" s="515"/>
      <c r="H16" s="515"/>
      <c r="I16" s="519"/>
      <c r="J16" s="451" t="str">
        <f ca="1">IF(AND('Mapa final'!$K$79="Muy Alta",'Mapa final'!$O$79="Leve"),CONCATENATE("R",'Mapa final'!$A$79),"")</f>
        <v/>
      </c>
      <c r="K16" s="451"/>
      <c r="L16" s="451" t="str">
        <f ca="1">IF(AND('Mapa final'!$K$82="Muy Alta",'Mapa final'!$O$82="Leve"),CONCATENATE("R",'Mapa final'!$A$82),"")</f>
        <v/>
      </c>
      <c r="M16" s="451"/>
      <c r="N16" s="451" t="str">
        <f ca="1">IF(AND('Mapa final'!$K$85="Muy Alta",'Mapa final'!$O$85="Leve"),CONCATENATE("R",'Mapa final'!$A$85),"")</f>
        <v/>
      </c>
      <c r="O16" s="451"/>
      <c r="P16" s="451" t="str">
        <f ca="1">IF(AND('Mapa final'!$K$88="Muy Alta",'Mapa final'!$O$88="Leve"),CONCATENATE("R",'Mapa final'!$A$88),"")</f>
        <v/>
      </c>
      <c r="Q16" s="451"/>
      <c r="R16" s="451" t="str">
        <f ca="1">IF(AND('Mapa final'!$K$91="Muy Alta",'Mapa final'!$O$91="Leve"),CONCATENATE("R",'Mapa final'!$A$91),"")</f>
        <v/>
      </c>
      <c r="S16" s="451"/>
      <c r="T16" s="453" t="str">
        <f ca="1">IF(AND('Mapa final'!$K$79="Muy Alta",'Mapa final'!$O$79="Menor"),CONCATENATE("R",'Mapa final'!$A$79),"")</f>
        <v/>
      </c>
      <c r="U16" s="451"/>
      <c r="V16" s="451" t="str">
        <f ca="1">IF(AND('Mapa final'!$K$82="Muy Alta",'Mapa final'!$O$82="Menor"),CONCATENATE("R",'Mapa final'!$A$82),"")</f>
        <v/>
      </c>
      <c r="W16" s="451"/>
      <c r="X16" s="451" t="str">
        <f ca="1">IF(AND('Mapa final'!$K$85="Muy Alta",'Mapa final'!$O$85="Menor"),CONCATENATE("R",'Mapa final'!$A$85),"")</f>
        <v/>
      </c>
      <c r="Y16" s="451"/>
      <c r="Z16" s="451" t="str">
        <f ca="1">IF(AND('Mapa final'!$K$88="Muy Alta",'Mapa final'!$O$88="Menor"),CONCATENATE("R",'Mapa final'!$A$88),"")</f>
        <v/>
      </c>
      <c r="AA16" s="451"/>
      <c r="AB16" s="451" t="str">
        <f ca="1">IF(AND('Mapa final'!$K$91="Muy Alta",'Mapa final'!$O$91="Menor"),CONCATENATE("R",'Mapa final'!$A$91),"")</f>
        <v/>
      </c>
      <c r="AC16" s="452"/>
      <c r="AD16" s="453" t="str">
        <f ca="1">IF(AND('Mapa final'!$K$79="Muy Alta",'Mapa final'!$O$79="Moderado"),CONCATENATE("R",'Mapa final'!$A$79),"")</f>
        <v/>
      </c>
      <c r="AE16" s="451"/>
      <c r="AF16" s="451" t="str">
        <f ca="1">IF(AND('Mapa final'!$K$82="Muy Alta",'Mapa final'!$O$82="Moderado"),CONCATENATE("R",'Mapa final'!$A$82),"")</f>
        <v/>
      </c>
      <c r="AG16" s="451"/>
      <c r="AH16" s="451" t="str">
        <f ca="1">IF(AND('Mapa final'!$K$85="Muy Alta",'Mapa final'!$O$85="Moderado"),CONCATENATE("R",'Mapa final'!$A$85),"")</f>
        <v/>
      </c>
      <c r="AI16" s="451"/>
      <c r="AJ16" s="451" t="str">
        <f ca="1">IF(AND('Mapa final'!$K$88="Muy Alta",'Mapa final'!$O$88="Moderado"),CONCATENATE("R",'Mapa final'!$A$88),"")</f>
        <v/>
      </c>
      <c r="AK16" s="451"/>
      <c r="AL16" s="451" t="str">
        <f ca="1">IF(AND('Mapa final'!$K$91="Muy Alta",'Mapa final'!$O$91="Moderado"),CONCATENATE("R",'Mapa final'!$A$91),"")</f>
        <v/>
      </c>
      <c r="AM16" s="452"/>
      <c r="AN16" s="453" t="str">
        <f ca="1">IF(AND('Mapa final'!$K$79="Muy Alta",'Mapa final'!$O$79="Mayor"),CONCATENATE("R",'Mapa final'!$A$79),"")</f>
        <v/>
      </c>
      <c r="AO16" s="451"/>
      <c r="AP16" s="451" t="str">
        <f ca="1">IF(AND('Mapa final'!$K$82="Muy Alta",'Mapa final'!$O$82="Mayor"),CONCATENATE("R",'Mapa final'!$A$82),"")</f>
        <v/>
      </c>
      <c r="AQ16" s="451"/>
      <c r="AR16" s="451" t="str">
        <f ca="1">IF(AND('Mapa final'!$K$85="Muy Alta",'Mapa final'!$O$85="Mayor"),CONCATENATE("R",'Mapa final'!$A$85),"")</f>
        <v/>
      </c>
      <c r="AS16" s="451"/>
      <c r="AT16" s="451" t="str">
        <f ca="1">IF(AND('Mapa final'!$K$88="Muy Alta",'Mapa final'!$O$88="Mayor"),CONCATENATE("R",'Mapa final'!$A$88),"")</f>
        <v/>
      </c>
      <c r="AU16" s="451"/>
      <c r="AV16" s="451" t="str">
        <f ca="1">IF(AND('Mapa final'!$K$91="Muy Alta",'Mapa final'!$O$91="Mayor"),CONCATENATE("R",'Mapa final'!$A$91),"")</f>
        <v/>
      </c>
      <c r="AW16" s="452"/>
      <c r="AX16" s="447" t="str">
        <f ca="1">IF(AND('Mapa final'!$K$79="Muy Alta",'Mapa final'!$O$79="Catastrófico"),CONCATENATE("R",'Mapa final'!$A$79),"")</f>
        <v/>
      </c>
      <c r="AY16" s="445"/>
      <c r="AZ16" s="445" t="str">
        <f ca="1">IF(AND('Mapa final'!$K$82="Muy Alta",'Mapa final'!$O$82="Catastrófico"),CONCATENATE("R",'Mapa final'!$A$82),"")</f>
        <v/>
      </c>
      <c r="BA16" s="445"/>
      <c r="BB16" s="445" t="str">
        <f ca="1">IF(AND('Mapa final'!$K$85="Muy Alta",'Mapa final'!$O$85="Catastrófico"),CONCATENATE("R",'Mapa final'!$A$85),"")</f>
        <v/>
      </c>
      <c r="BC16" s="445"/>
      <c r="BD16" s="445" t="str">
        <f ca="1">IF(AND('Mapa final'!$K$88="Muy Alta",'Mapa final'!$O$88="Catastrófico"),CONCATENATE("R",'Mapa final'!$A$88),"")</f>
        <v/>
      </c>
      <c r="BE16" s="445"/>
      <c r="BF16" s="445" t="str">
        <f ca="1">IF(AND('Mapa final'!$K$91="Muy Alta",'Mapa final'!$O$91="Catastrófico"),CONCATENATE("R",'Mapa final'!$A$91),"")</f>
        <v/>
      </c>
      <c r="BG16" s="446"/>
      <c r="BH16" s="56"/>
      <c r="BI16" s="479"/>
      <c r="BJ16" s="480"/>
      <c r="BK16" s="480"/>
      <c r="BL16" s="480"/>
      <c r="BM16" s="480"/>
      <c r="BN16" s="481"/>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row>
    <row r="17" spans="1:100" ht="15" customHeight="1" x14ac:dyDescent="0.25">
      <c r="A17" s="56"/>
      <c r="B17" s="286"/>
      <c r="C17" s="286"/>
      <c r="D17" s="287"/>
      <c r="E17" s="514"/>
      <c r="F17" s="515"/>
      <c r="G17" s="515"/>
      <c r="H17" s="515"/>
      <c r="I17" s="519"/>
      <c r="J17" s="451"/>
      <c r="K17" s="451"/>
      <c r="L17" s="451"/>
      <c r="M17" s="451"/>
      <c r="N17" s="451"/>
      <c r="O17" s="451"/>
      <c r="P17" s="451"/>
      <c r="Q17" s="451"/>
      <c r="R17" s="451"/>
      <c r="S17" s="451"/>
      <c r="T17" s="453"/>
      <c r="U17" s="451"/>
      <c r="V17" s="451"/>
      <c r="W17" s="451"/>
      <c r="X17" s="451"/>
      <c r="Y17" s="451"/>
      <c r="Z17" s="451"/>
      <c r="AA17" s="451"/>
      <c r="AB17" s="451"/>
      <c r="AC17" s="452"/>
      <c r="AD17" s="453"/>
      <c r="AE17" s="451"/>
      <c r="AF17" s="451"/>
      <c r="AG17" s="451"/>
      <c r="AH17" s="451"/>
      <c r="AI17" s="451"/>
      <c r="AJ17" s="451"/>
      <c r="AK17" s="451"/>
      <c r="AL17" s="451"/>
      <c r="AM17" s="452"/>
      <c r="AN17" s="453"/>
      <c r="AO17" s="451"/>
      <c r="AP17" s="451"/>
      <c r="AQ17" s="451"/>
      <c r="AR17" s="451"/>
      <c r="AS17" s="451"/>
      <c r="AT17" s="451"/>
      <c r="AU17" s="451"/>
      <c r="AV17" s="451"/>
      <c r="AW17" s="452"/>
      <c r="AX17" s="447"/>
      <c r="AY17" s="445"/>
      <c r="AZ17" s="445"/>
      <c r="BA17" s="445"/>
      <c r="BB17" s="445"/>
      <c r="BC17" s="445"/>
      <c r="BD17" s="445"/>
      <c r="BE17" s="445"/>
      <c r="BF17" s="445"/>
      <c r="BG17" s="446"/>
      <c r="BH17" s="56"/>
      <c r="BI17" s="479"/>
      <c r="BJ17" s="480"/>
      <c r="BK17" s="480"/>
      <c r="BL17" s="480"/>
      <c r="BM17" s="480"/>
      <c r="BN17" s="481"/>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row>
    <row r="18" spans="1:100" ht="15" customHeight="1" x14ac:dyDescent="0.25">
      <c r="A18" s="56"/>
      <c r="B18" s="286"/>
      <c r="C18" s="286"/>
      <c r="D18" s="287"/>
      <c r="E18" s="514"/>
      <c r="F18" s="515"/>
      <c r="G18" s="515"/>
      <c r="H18" s="515"/>
      <c r="I18" s="519"/>
      <c r="J18" s="451" t="str">
        <f ca="1">IF(AND('Mapa final'!$K$94="Muy Alta",'Mapa final'!$O$94="Leve"),CONCATENATE("R",'Mapa final'!$A$94),"")</f>
        <v/>
      </c>
      <c r="K18" s="451"/>
      <c r="L18" s="451" t="e">
        <f>IF(AND('Mapa final'!#REF!="Muy Alta",'Mapa final'!#REF!="Leve"),CONCATENATE("R",'Mapa final'!#REF!),"")</f>
        <v>#REF!</v>
      </c>
      <c r="M18" s="451"/>
      <c r="N18" s="451" t="str">
        <f>IF(AND('Mapa final'!$K$97="Muy Alta",'Mapa final'!$O$97="Leve"),CONCATENATE("R",'Mapa final'!$A$97),"")</f>
        <v/>
      </c>
      <c r="O18" s="451"/>
      <c r="P18" s="451" t="str">
        <f ca="1">IF(AND('Mapa final'!$K$100="Muy Alta",'Mapa final'!$O$100="Leve"),CONCATENATE("R",'Mapa final'!$A$100),"")</f>
        <v/>
      </c>
      <c r="Q18" s="451"/>
      <c r="R18" s="451" t="str">
        <f ca="1">IF(AND('Mapa final'!$K$103="Muy Alta",'Mapa final'!$O$103="Leve"),CONCATENATE("R",'Mapa final'!$A$103),"")</f>
        <v/>
      </c>
      <c r="S18" s="451"/>
      <c r="T18" s="453" t="str">
        <f ca="1">IF(AND('Mapa final'!$K$94="Muy Alta",'Mapa final'!$O$94="Menor"),CONCATENATE("R",'Mapa final'!$A$94),"")</f>
        <v/>
      </c>
      <c r="U18" s="451"/>
      <c r="V18" s="451" t="e">
        <f>IF(AND('Mapa final'!#REF!="Muy Alta",'Mapa final'!#REF!="Menor"),CONCATENATE("R",'Mapa final'!#REF!),"")</f>
        <v>#REF!</v>
      </c>
      <c r="W18" s="451"/>
      <c r="X18" s="451" t="str">
        <f>IF(AND('Mapa final'!$K$97="Muy Alta",'Mapa final'!$O$97="Menor"),CONCATENATE("R",'Mapa final'!$A$97),"")</f>
        <v/>
      </c>
      <c r="Y18" s="451"/>
      <c r="Z18" s="451" t="str">
        <f ca="1">IF(AND('Mapa final'!$K$100="Muy Alta",'Mapa final'!$O$100="Menor"),CONCATENATE("R",'Mapa final'!$A$100),"")</f>
        <v/>
      </c>
      <c r="AA18" s="451"/>
      <c r="AB18" s="451" t="str">
        <f ca="1">IF(AND('Mapa final'!$K$103="Muy Alta",'Mapa final'!$O$103="Menor"),CONCATENATE("R",'Mapa final'!$A$103),"")</f>
        <v/>
      </c>
      <c r="AC18" s="452"/>
      <c r="AD18" s="453" t="str">
        <f ca="1">IF(AND('Mapa final'!$K$94="Muy Alta",'Mapa final'!$O$94="Moderado"),CONCATENATE("R",'Mapa final'!$A$94),"")</f>
        <v/>
      </c>
      <c r="AE18" s="451"/>
      <c r="AF18" s="451" t="e">
        <f>IF(AND('Mapa final'!#REF!="Muy Alta",'Mapa final'!#REF!="Moderado"),CONCATENATE("R",'Mapa final'!#REF!),"")</f>
        <v>#REF!</v>
      </c>
      <c r="AG18" s="451"/>
      <c r="AH18" s="451" t="str">
        <f>IF(AND('Mapa final'!$K$97="Muy Alta",'Mapa final'!$O$97="Moderado"),CONCATENATE("R",'Mapa final'!$A$97),"")</f>
        <v/>
      </c>
      <c r="AI18" s="451"/>
      <c r="AJ18" s="451" t="str">
        <f ca="1">IF(AND('Mapa final'!$K$100="Muy Alta",'Mapa final'!$O$100="Moderado"),CONCATENATE("R",'Mapa final'!$A$100),"")</f>
        <v/>
      </c>
      <c r="AK18" s="451"/>
      <c r="AL18" s="451" t="str">
        <f ca="1">IF(AND('Mapa final'!$K$103="Muy Alta",'Mapa final'!$O$103="Moderado"),CONCATENATE("R",'Mapa final'!$A$103),"")</f>
        <v/>
      </c>
      <c r="AM18" s="452"/>
      <c r="AN18" s="453" t="str">
        <f ca="1">IF(AND('Mapa final'!$K$94="Muy Alta",'Mapa final'!$O$94="Mayor"),CONCATENATE("R",'Mapa final'!$A$94),"")</f>
        <v/>
      </c>
      <c r="AO18" s="451"/>
      <c r="AP18" s="451" t="e">
        <f>IF(AND('Mapa final'!#REF!="Muy Alta",'Mapa final'!#REF!="Mayor"),CONCATENATE("R",'Mapa final'!#REF!),"")</f>
        <v>#REF!</v>
      </c>
      <c r="AQ18" s="451"/>
      <c r="AR18" s="451" t="str">
        <f>IF(AND('Mapa final'!$K$97="Muy Alta",'Mapa final'!$O$97="Mayor"),CONCATENATE("R",'Mapa final'!$A$97),"")</f>
        <v/>
      </c>
      <c r="AS18" s="451"/>
      <c r="AT18" s="451" t="str">
        <f ca="1">IF(AND('Mapa final'!$K$100="Muy Alta",'Mapa final'!$O$100="Mayor"),CONCATENATE("R",'Mapa final'!$A$100),"")</f>
        <v/>
      </c>
      <c r="AU18" s="451"/>
      <c r="AV18" s="451" t="str">
        <f ca="1">IF(AND('Mapa final'!$K$103="Muy Alta",'Mapa final'!$O$103="Mayor"),CONCATENATE("R",'Mapa final'!$A$103),"")</f>
        <v/>
      </c>
      <c r="AW18" s="452"/>
      <c r="AX18" s="447" t="str">
        <f ca="1">IF(AND('Mapa final'!$K$94="Muy Alta",'Mapa final'!$O$94="Catastrófico"),CONCATENATE("R",'Mapa final'!$A$94),"")</f>
        <v/>
      </c>
      <c r="AY18" s="445"/>
      <c r="AZ18" s="445" t="e">
        <f>IF(AND('Mapa final'!#REF!="Muy Alta",'Mapa final'!#REF!="Catastrófico"),CONCATENATE("R",'Mapa final'!#REF!),"")</f>
        <v>#REF!</v>
      </c>
      <c r="BA18" s="445"/>
      <c r="BB18" s="445" t="str">
        <f>IF(AND('Mapa final'!$K$97="Muy Alta",'Mapa final'!$O$97="Catastrófico"),CONCATENATE("R",'Mapa final'!$A$97),"")</f>
        <v/>
      </c>
      <c r="BC18" s="445"/>
      <c r="BD18" s="445" t="str">
        <f ca="1">IF(AND('Mapa final'!$K$100="Muy Alta",'Mapa final'!$O$100="Catastrófico"),CONCATENATE("R",'Mapa final'!$A$100),"")</f>
        <v/>
      </c>
      <c r="BE18" s="445"/>
      <c r="BF18" s="445" t="str">
        <f ca="1">IF(AND('Mapa final'!$K$103="Muy Alta",'Mapa final'!$O$103="Catastrófico"),CONCATENATE("R",'Mapa final'!$A$103),"")</f>
        <v/>
      </c>
      <c r="BG18" s="446"/>
      <c r="BH18" s="56"/>
      <c r="BI18" s="479"/>
      <c r="BJ18" s="480"/>
      <c r="BK18" s="480"/>
      <c r="BL18" s="480"/>
      <c r="BM18" s="480"/>
      <c r="BN18" s="481"/>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row>
    <row r="19" spans="1:100" ht="15" customHeight="1" x14ac:dyDescent="0.25">
      <c r="A19" s="56"/>
      <c r="B19" s="286"/>
      <c r="C19" s="286"/>
      <c r="D19" s="287"/>
      <c r="E19" s="514"/>
      <c r="F19" s="515"/>
      <c r="G19" s="515"/>
      <c r="H19" s="515"/>
      <c r="I19" s="519"/>
      <c r="J19" s="451"/>
      <c r="K19" s="451"/>
      <c r="L19" s="451"/>
      <c r="M19" s="451"/>
      <c r="N19" s="451"/>
      <c r="O19" s="451"/>
      <c r="P19" s="451"/>
      <c r="Q19" s="451"/>
      <c r="R19" s="451"/>
      <c r="S19" s="451"/>
      <c r="T19" s="453"/>
      <c r="U19" s="451"/>
      <c r="V19" s="451"/>
      <c r="W19" s="451"/>
      <c r="X19" s="451"/>
      <c r="Y19" s="451"/>
      <c r="Z19" s="451"/>
      <c r="AA19" s="451"/>
      <c r="AB19" s="451"/>
      <c r="AC19" s="452"/>
      <c r="AD19" s="453"/>
      <c r="AE19" s="451"/>
      <c r="AF19" s="451"/>
      <c r="AG19" s="451"/>
      <c r="AH19" s="451"/>
      <c r="AI19" s="451"/>
      <c r="AJ19" s="451"/>
      <c r="AK19" s="451"/>
      <c r="AL19" s="451"/>
      <c r="AM19" s="452"/>
      <c r="AN19" s="453"/>
      <c r="AO19" s="451"/>
      <c r="AP19" s="451"/>
      <c r="AQ19" s="451"/>
      <c r="AR19" s="451"/>
      <c r="AS19" s="451"/>
      <c r="AT19" s="451"/>
      <c r="AU19" s="451"/>
      <c r="AV19" s="451"/>
      <c r="AW19" s="452"/>
      <c r="AX19" s="447"/>
      <c r="AY19" s="445"/>
      <c r="AZ19" s="445"/>
      <c r="BA19" s="445"/>
      <c r="BB19" s="445"/>
      <c r="BC19" s="445"/>
      <c r="BD19" s="445"/>
      <c r="BE19" s="445"/>
      <c r="BF19" s="445"/>
      <c r="BG19" s="446"/>
      <c r="BH19" s="56"/>
      <c r="BI19" s="479"/>
      <c r="BJ19" s="480"/>
      <c r="BK19" s="480"/>
      <c r="BL19" s="480"/>
      <c r="BM19" s="480"/>
      <c r="BN19" s="481"/>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row>
    <row r="20" spans="1:100" ht="15" customHeight="1" x14ac:dyDescent="0.25">
      <c r="A20" s="56"/>
      <c r="B20" s="286"/>
      <c r="C20" s="286"/>
      <c r="D20" s="287"/>
      <c r="E20" s="514"/>
      <c r="F20" s="515"/>
      <c r="G20" s="515"/>
      <c r="H20" s="515"/>
      <c r="I20" s="519"/>
      <c r="J20" s="451" t="str">
        <f ca="1">IF(AND('Mapa final'!$K$106="Muy Alta",'Mapa final'!$O$106="Leve"),CONCATENATE("R",'Mapa final'!$A$106),"")</f>
        <v/>
      </c>
      <c r="K20" s="451"/>
      <c r="L20" s="451" t="str">
        <f ca="1">IF(AND('Mapa final'!$K$109="Muy Alta",'Mapa final'!$O$109="Leve"),CONCATENATE("R",'Mapa final'!$A$109),"")</f>
        <v/>
      </c>
      <c r="M20" s="451"/>
      <c r="N20" s="451" t="str">
        <f ca="1">IF(AND('Mapa final'!$K$112="Muy Alta",'Mapa final'!$O$112="Leve"),CONCATENATE("R",'Mapa final'!$A$112),"")</f>
        <v/>
      </c>
      <c r="O20" s="451"/>
      <c r="P20" s="451" t="str">
        <f ca="1">IF(AND('Mapa final'!$K$115="Muy Alta",'Mapa final'!$O$115="Leve"),CONCATENATE("R",'Mapa final'!$A$115),"")</f>
        <v/>
      </c>
      <c r="Q20" s="451"/>
      <c r="R20" s="451" t="str">
        <f ca="1">IF(AND('Mapa final'!$K$118="Muy Alta",'Mapa final'!$O$118="Leve"),CONCATENATE("R",'Mapa final'!$A$118),"")</f>
        <v/>
      </c>
      <c r="S20" s="451"/>
      <c r="T20" s="453" t="str">
        <f ca="1">IF(AND('Mapa final'!$K$106="Muy Alta",'Mapa final'!$O$106="Menor"),CONCATENATE("R",'Mapa final'!$A$106),"")</f>
        <v/>
      </c>
      <c r="U20" s="451"/>
      <c r="V20" s="451" t="str">
        <f ca="1">IF(AND('Mapa final'!$K$109="Muy Alta",'Mapa final'!$O$109="Menor"),CONCATENATE("R",'Mapa final'!$A$109),"")</f>
        <v/>
      </c>
      <c r="W20" s="451"/>
      <c r="X20" s="451" t="str">
        <f ca="1">IF(AND('Mapa final'!$K$112="Muy Alta",'Mapa final'!$O$112="Menor"),CONCATENATE("R",'Mapa final'!$A$112),"")</f>
        <v/>
      </c>
      <c r="Y20" s="451"/>
      <c r="Z20" s="451" t="str">
        <f ca="1">IF(AND('Mapa final'!$K$115="Muy Alta",'Mapa final'!$O$115="Menor"),CONCATENATE("R",'Mapa final'!$A$115),"")</f>
        <v/>
      </c>
      <c r="AA20" s="451"/>
      <c r="AB20" s="451" t="str">
        <f ca="1">IF(AND('Mapa final'!$K$118="Muy Alta",'Mapa final'!$O$118="Menor"),CONCATENATE("R",'Mapa final'!$A$118),"")</f>
        <v/>
      </c>
      <c r="AC20" s="452"/>
      <c r="AD20" s="453" t="str">
        <f ca="1">IF(AND('Mapa final'!$K$106="Muy Alta",'Mapa final'!$O$106="Moderado"),CONCATENATE("R",'Mapa final'!$A$106),"")</f>
        <v/>
      </c>
      <c r="AE20" s="451"/>
      <c r="AF20" s="451" t="str">
        <f ca="1">IF(AND('Mapa final'!$K$109="Muy Alta",'Mapa final'!$O$109="Moderado"),CONCATENATE("R",'Mapa final'!$A$109),"")</f>
        <v/>
      </c>
      <c r="AG20" s="451"/>
      <c r="AH20" s="451" t="str">
        <f ca="1">IF(AND('Mapa final'!$K$112="Muy Alta",'Mapa final'!$O$112="Moderado"),CONCATENATE("R",'Mapa final'!$A$112),"")</f>
        <v/>
      </c>
      <c r="AI20" s="451"/>
      <c r="AJ20" s="451" t="str">
        <f ca="1">IF(AND('Mapa final'!$K$115="Muy Alta",'Mapa final'!$O$115="Moderado"),CONCATENATE("R",'Mapa final'!$A$115),"")</f>
        <v/>
      </c>
      <c r="AK20" s="451"/>
      <c r="AL20" s="451" t="str">
        <f ca="1">IF(AND('Mapa final'!$K$118="Muy Alta",'Mapa final'!$O$118="Moderado"),CONCATENATE("R",'Mapa final'!$A$118),"")</f>
        <v/>
      </c>
      <c r="AM20" s="452"/>
      <c r="AN20" s="453" t="str">
        <f ca="1">IF(AND('Mapa final'!$K$106="Muy Alta",'Mapa final'!$O$106="Mayor"),CONCATENATE("R",'Mapa final'!$A$106),"")</f>
        <v/>
      </c>
      <c r="AO20" s="451"/>
      <c r="AP20" s="451" t="str">
        <f ca="1">IF(AND('Mapa final'!$K$109="Muy Alta",'Mapa final'!$O$109="Mayor"),CONCATENATE("R",'Mapa final'!$A$109),"")</f>
        <v/>
      </c>
      <c r="AQ20" s="451"/>
      <c r="AR20" s="451" t="str">
        <f ca="1">IF(AND('Mapa final'!$K$112="Muy Alta",'Mapa final'!$O$112="Mayor"),CONCATENATE("R",'Mapa final'!$A$112),"")</f>
        <v/>
      </c>
      <c r="AS20" s="451"/>
      <c r="AT20" s="451" t="str">
        <f ca="1">IF(AND('Mapa final'!$K$115="Muy Alta",'Mapa final'!$O$115="Mayor"),CONCATENATE("R",'Mapa final'!$A$115),"")</f>
        <v/>
      </c>
      <c r="AU20" s="451"/>
      <c r="AV20" s="451" t="str">
        <f ca="1">IF(AND('Mapa final'!$K$118="Muy Alta",'Mapa final'!$O$118="Mayor"),CONCATENATE("R",'Mapa final'!$A$118),"")</f>
        <v/>
      </c>
      <c r="AW20" s="452"/>
      <c r="AX20" s="447" t="str">
        <f ca="1">IF(AND('Mapa final'!$K$106="Muy Alta",'Mapa final'!$O$106="Catastrófico"),CONCATENATE("R",'Mapa final'!$A$106),"")</f>
        <v/>
      </c>
      <c r="AY20" s="445"/>
      <c r="AZ20" s="445" t="str">
        <f ca="1">IF(AND('Mapa final'!$K$109="Muy Alta",'Mapa final'!$O$109="Catastrófico"),CONCATENATE("R",'Mapa final'!$A$109),"")</f>
        <v/>
      </c>
      <c r="BA20" s="445"/>
      <c r="BB20" s="445" t="str">
        <f ca="1">IF(AND('Mapa final'!$K$112="Muy Alta",'Mapa final'!$O$112="Catastrófico"),CONCATENATE("R",'Mapa final'!$A$112),"")</f>
        <v/>
      </c>
      <c r="BC20" s="445"/>
      <c r="BD20" s="445" t="str">
        <f ca="1">IF(AND('Mapa final'!$K$115="Muy Alta",'Mapa final'!$O$115="Catastrófico"),CONCATENATE("R",'Mapa final'!$A$115),"")</f>
        <v/>
      </c>
      <c r="BE20" s="445"/>
      <c r="BF20" s="445" t="str">
        <f ca="1">IF(AND('Mapa final'!$K$118="Muy Alta",'Mapa final'!$O$118="Catastrófico"),CONCATENATE("R",'Mapa final'!$A$118),"")</f>
        <v/>
      </c>
      <c r="BG20" s="446"/>
      <c r="BH20" s="56"/>
      <c r="BI20" s="479"/>
      <c r="BJ20" s="480"/>
      <c r="BK20" s="480"/>
      <c r="BL20" s="480"/>
      <c r="BM20" s="480"/>
      <c r="BN20" s="481"/>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row>
    <row r="21" spans="1:100" ht="15" customHeight="1" x14ac:dyDescent="0.25">
      <c r="A21" s="56"/>
      <c r="B21" s="286"/>
      <c r="C21" s="286"/>
      <c r="D21" s="287"/>
      <c r="E21" s="514"/>
      <c r="F21" s="515"/>
      <c r="G21" s="515"/>
      <c r="H21" s="515"/>
      <c r="I21" s="519"/>
      <c r="J21" s="451"/>
      <c r="K21" s="451"/>
      <c r="L21" s="451"/>
      <c r="M21" s="451"/>
      <c r="N21" s="451"/>
      <c r="O21" s="451"/>
      <c r="P21" s="451"/>
      <c r="Q21" s="451"/>
      <c r="R21" s="451"/>
      <c r="S21" s="451"/>
      <c r="T21" s="453"/>
      <c r="U21" s="451"/>
      <c r="V21" s="451"/>
      <c r="W21" s="451"/>
      <c r="X21" s="451"/>
      <c r="Y21" s="451"/>
      <c r="Z21" s="451"/>
      <c r="AA21" s="451"/>
      <c r="AB21" s="451"/>
      <c r="AC21" s="452"/>
      <c r="AD21" s="453"/>
      <c r="AE21" s="451"/>
      <c r="AF21" s="451"/>
      <c r="AG21" s="451"/>
      <c r="AH21" s="451"/>
      <c r="AI21" s="451"/>
      <c r="AJ21" s="451"/>
      <c r="AK21" s="451"/>
      <c r="AL21" s="451"/>
      <c r="AM21" s="452"/>
      <c r="AN21" s="453"/>
      <c r="AO21" s="451"/>
      <c r="AP21" s="451"/>
      <c r="AQ21" s="451"/>
      <c r="AR21" s="451"/>
      <c r="AS21" s="451"/>
      <c r="AT21" s="451"/>
      <c r="AU21" s="451"/>
      <c r="AV21" s="451"/>
      <c r="AW21" s="452"/>
      <c r="AX21" s="447"/>
      <c r="AY21" s="445"/>
      <c r="AZ21" s="445"/>
      <c r="BA21" s="445"/>
      <c r="BB21" s="445"/>
      <c r="BC21" s="445"/>
      <c r="BD21" s="445"/>
      <c r="BE21" s="445"/>
      <c r="BF21" s="445"/>
      <c r="BG21" s="446"/>
      <c r="BH21" s="56"/>
      <c r="BI21" s="479"/>
      <c r="BJ21" s="480"/>
      <c r="BK21" s="480"/>
      <c r="BL21" s="480"/>
      <c r="BM21" s="480"/>
      <c r="BN21" s="481"/>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row>
    <row r="22" spans="1:100" ht="15" customHeight="1" x14ac:dyDescent="0.25">
      <c r="A22" s="56"/>
      <c r="B22" s="286"/>
      <c r="C22" s="286"/>
      <c r="D22" s="287"/>
      <c r="E22" s="514"/>
      <c r="F22" s="515"/>
      <c r="G22" s="515"/>
      <c r="H22" s="515"/>
      <c r="I22" s="519"/>
      <c r="J22" s="451" t="str">
        <f ca="1">IF(AND('Mapa final'!$K$121="Muy Alta",'Mapa final'!$O$121="Leve"),CONCATENATE("R",'Mapa final'!$A$121),"")</f>
        <v/>
      </c>
      <c r="K22" s="451"/>
      <c r="L22" s="451" t="str">
        <f ca="1">IF(AND('Mapa final'!$K$124="Muy Alta",'Mapa final'!$O$124="Leve"),CONCATENATE("R",'Mapa final'!$A$124),"")</f>
        <v/>
      </c>
      <c r="M22" s="451"/>
      <c r="N22" s="451" t="str">
        <f ca="1">IF(AND('Mapa final'!$K$127="Muy Alta",'Mapa final'!$O$127="Leve"),CONCATENATE("R",'Mapa final'!$A$127),"")</f>
        <v/>
      </c>
      <c r="O22" s="451"/>
      <c r="P22" s="451" t="str">
        <f ca="1">IF(AND('Mapa final'!$K$130="Muy Alta",'Mapa final'!$O$130="Leve"),CONCATENATE("R",'Mapa final'!$A$130),"")</f>
        <v/>
      </c>
      <c r="Q22" s="451"/>
      <c r="R22" s="451" t="str">
        <f ca="1">IF(AND('Mapa final'!$K$133="Muy Alta",'Mapa final'!$O$133="Leve"),CONCATENATE("R",'Mapa final'!$A$133),"")</f>
        <v/>
      </c>
      <c r="S22" s="451"/>
      <c r="T22" s="453" t="str">
        <f ca="1">IF(AND('Mapa final'!$K$121="Muy Alta",'Mapa final'!$O$121="Menor"),CONCATENATE("R",'Mapa final'!$A$121),"")</f>
        <v/>
      </c>
      <c r="U22" s="451"/>
      <c r="V22" s="451" t="str">
        <f ca="1">IF(AND('Mapa final'!$K$124="Muy Alta",'Mapa final'!$O$124="Menor"),CONCATENATE("R",'Mapa final'!$A$124),"")</f>
        <v/>
      </c>
      <c r="W22" s="451"/>
      <c r="X22" s="451" t="str">
        <f ca="1">IF(AND('Mapa final'!$K$127="Muy Alta",'Mapa final'!$O$127="Menor"),CONCATENATE("R",'Mapa final'!$A$127),"")</f>
        <v/>
      </c>
      <c r="Y22" s="451"/>
      <c r="Z22" s="451" t="str">
        <f ca="1">IF(AND('Mapa final'!$K$130="Muy Alta",'Mapa final'!$O$130="Menor"),CONCATENATE("R",'Mapa final'!$A$130),"")</f>
        <v/>
      </c>
      <c r="AA22" s="451"/>
      <c r="AB22" s="451" t="str">
        <f ca="1">IF(AND('Mapa final'!$K$133="Muy Alta",'Mapa final'!$O$133="Menor"),CONCATENATE("R",'Mapa final'!$A$133),"")</f>
        <v/>
      </c>
      <c r="AC22" s="452"/>
      <c r="AD22" s="453" t="str">
        <f ca="1">IF(AND('Mapa final'!$K$121="Muy Alta",'Mapa final'!$O$121="Moderado"),CONCATENATE("R",'Mapa final'!$A$121),"")</f>
        <v/>
      </c>
      <c r="AE22" s="451"/>
      <c r="AF22" s="451" t="str">
        <f ca="1">IF(AND('Mapa final'!$K$124="Muy Alta",'Mapa final'!$O$124="Moderado"),CONCATENATE("R",'Mapa final'!$A$124),"")</f>
        <v/>
      </c>
      <c r="AG22" s="451"/>
      <c r="AH22" s="451" t="str">
        <f ca="1">IF(AND('Mapa final'!$K$127="Muy Alta",'Mapa final'!$O$127="Moderado"),CONCATENATE("R",'Mapa final'!$A$127),"")</f>
        <v/>
      </c>
      <c r="AI22" s="451"/>
      <c r="AJ22" s="451" t="str">
        <f ca="1">IF(AND('Mapa final'!$K$130="Muy Alta",'Mapa final'!$O$130="Moderado"),CONCATENATE("R",'Mapa final'!$A$130),"")</f>
        <v/>
      </c>
      <c r="AK22" s="451"/>
      <c r="AL22" s="451" t="str">
        <f ca="1">IF(AND('Mapa final'!$K$133="Muy Alta",'Mapa final'!$O$133="Moderado"),CONCATENATE("R",'Mapa final'!$A$133),"")</f>
        <v/>
      </c>
      <c r="AM22" s="452"/>
      <c r="AN22" s="453" t="str">
        <f ca="1">IF(AND('Mapa final'!$K$121="Muy Alta",'Mapa final'!$O$121="Mayor"),CONCATENATE("R",'Mapa final'!$A$121),"")</f>
        <v/>
      </c>
      <c r="AO22" s="451"/>
      <c r="AP22" s="451" t="str">
        <f ca="1">IF(AND('Mapa final'!$K$124="Muy Alta",'Mapa final'!$O$124="Mayor"),CONCATENATE("R",'Mapa final'!$A$124),"")</f>
        <v/>
      </c>
      <c r="AQ22" s="451"/>
      <c r="AR22" s="451" t="str">
        <f ca="1">IF(AND('Mapa final'!$K$127="Muy Alta",'Mapa final'!$O$127="Mayor"),CONCATENATE("R",'Mapa final'!$A$127),"")</f>
        <v/>
      </c>
      <c r="AS22" s="451"/>
      <c r="AT22" s="451" t="str">
        <f ca="1">IF(AND('Mapa final'!$K$130="Muy Alta",'Mapa final'!$O$130="Mayor"),CONCATENATE("R",'Mapa final'!$A$130),"")</f>
        <v/>
      </c>
      <c r="AU22" s="451"/>
      <c r="AV22" s="451" t="str">
        <f ca="1">IF(AND('Mapa final'!$K$133="Muy Alta",'Mapa final'!$O$133="Mayor"),CONCATENATE("R",'Mapa final'!$A$133),"")</f>
        <v/>
      </c>
      <c r="AW22" s="452"/>
      <c r="AX22" s="447" t="str">
        <f ca="1">IF(AND('Mapa final'!$K$121="Muy Alta",'Mapa final'!$O$121="Catastrófico"),CONCATENATE("R",'Mapa final'!$A$121),"")</f>
        <v/>
      </c>
      <c r="AY22" s="445"/>
      <c r="AZ22" s="445" t="str">
        <f ca="1">IF(AND('Mapa final'!$K$124="Muy Alta",'Mapa final'!$O$124="Catastrófico"),CONCATENATE("R",'Mapa final'!$A$124),"")</f>
        <v/>
      </c>
      <c r="BA22" s="445"/>
      <c r="BB22" s="445" t="str">
        <f ca="1">IF(AND('Mapa final'!$K$127="Muy Alta",'Mapa final'!$O$127="Catastrófico"),CONCATENATE("R",'Mapa final'!$A$127),"")</f>
        <v/>
      </c>
      <c r="BC22" s="445"/>
      <c r="BD22" s="445" t="str">
        <f ca="1">IF(AND('Mapa final'!$K$130="Muy Alta",'Mapa final'!$O$130="Catastrófico"),CONCATENATE("R",'Mapa final'!$A$130),"")</f>
        <v/>
      </c>
      <c r="BE22" s="445"/>
      <c r="BF22" s="445" t="str">
        <f ca="1">IF(AND('Mapa final'!$K$133="Muy Alta",'Mapa final'!$O$133="Catastrófico"),CONCATENATE("R",'Mapa final'!$A$133),"")</f>
        <v/>
      </c>
      <c r="BG22" s="446"/>
      <c r="BH22" s="56"/>
      <c r="BI22" s="479"/>
      <c r="BJ22" s="480"/>
      <c r="BK22" s="480"/>
      <c r="BL22" s="480"/>
      <c r="BM22" s="480"/>
      <c r="BN22" s="481"/>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row>
    <row r="23" spans="1:100" ht="15" customHeight="1" x14ac:dyDescent="0.25">
      <c r="A23" s="56"/>
      <c r="B23" s="286"/>
      <c r="C23" s="286"/>
      <c r="D23" s="287"/>
      <c r="E23" s="514"/>
      <c r="F23" s="515"/>
      <c r="G23" s="515"/>
      <c r="H23" s="515"/>
      <c r="I23" s="519"/>
      <c r="J23" s="451"/>
      <c r="K23" s="451"/>
      <c r="L23" s="451"/>
      <c r="M23" s="451"/>
      <c r="N23" s="451"/>
      <c r="O23" s="451"/>
      <c r="P23" s="451"/>
      <c r="Q23" s="451"/>
      <c r="R23" s="451"/>
      <c r="S23" s="451"/>
      <c r="T23" s="453"/>
      <c r="U23" s="451"/>
      <c r="V23" s="451"/>
      <c r="W23" s="451"/>
      <c r="X23" s="451"/>
      <c r="Y23" s="451"/>
      <c r="Z23" s="451"/>
      <c r="AA23" s="451"/>
      <c r="AB23" s="451"/>
      <c r="AC23" s="452"/>
      <c r="AD23" s="453"/>
      <c r="AE23" s="451"/>
      <c r="AF23" s="451"/>
      <c r="AG23" s="451"/>
      <c r="AH23" s="451"/>
      <c r="AI23" s="451"/>
      <c r="AJ23" s="451"/>
      <c r="AK23" s="451"/>
      <c r="AL23" s="451"/>
      <c r="AM23" s="452"/>
      <c r="AN23" s="453"/>
      <c r="AO23" s="451"/>
      <c r="AP23" s="451"/>
      <c r="AQ23" s="451"/>
      <c r="AR23" s="451"/>
      <c r="AS23" s="451"/>
      <c r="AT23" s="451"/>
      <c r="AU23" s="451"/>
      <c r="AV23" s="451"/>
      <c r="AW23" s="452"/>
      <c r="AX23" s="447"/>
      <c r="AY23" s="445"/>
      <c r="AZ23" s="445"/>
      <c r="BA23" s="445"/>
      <c r="BB23" s="445"/>
      <c r="BC23" s="445"/>
      <c r="BD23" s="445"/>
      <c r="BE23" s="445"/>
      <c r="BF23" s="445"/>
      <c r="BG23" s="446"/>
      <c r="BH23" s="56"/>
      <c r="BI23" s="479"/>
      <c r="BJ23" s="480"/>
      <c r="BK23" s="480"/>
      <c r="BL23" s="480"/>
      <c r="BM23" s="480"/>
      <c r="BN23" s="481"/>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row>
    <row r="24" spans="1:100" ht="15" customHeight="1" x14ac:dyDescent="0.25">
      <c r="A24" s="56"/>
      <c r="B24" s="286"/>
      <c r="C24" s="286"/>
      <c r="D24" s="287"/>
      <c r="E24" s="514"/>
      <c r="F24" s="515"/>
      <c r="G24" s="515"/>
      <c r="H24" s="515"/>
      <c r="I24" s="519"/>
      <c r="J24" s="451" t="str">
        <f ca="1">IF(AND('Mapa final'!$K$136="Muy Alta",'Mapa final'!$O$136="Leve"),CONCATENATE("R",'Mapa final'!$A$136),"")</f>
        <v/>
      </c>
      <c r="K24" s="451"/>
      <c r="L24" s="451" t="str">
        <f ca="1">IF(AND('Mapa final'!$K$139="Muy Alta",'Mapa final'!$O$139="Leve"),CONCATENATE("R",'Mapa final'!$A$139),"")</f>
        <v/>
      </c>
      <c r="M24" s="451"/>
      <c r="N24" s="451" t="str">
        <f ca="1">IF(AND('Mapa final'!$K$142="Muy Alta",'Mapa final'!$O$142="Leve"),CONCATENATE("R",'Mapa final'!$A$142),"")</f>
        <v/>
      </c>
      <c r="O24" s="451"/>
      <c r="P24" s="451" t="str">
        <f ca="1">IF(AND('Mapa final'!$K$145="Muy Alta",'Mapa final'!$O$145="Leve"),CONCATENATE("R",'Mapa final'!$A$145),"")</f>
        <v/>
      </c>
      <c r="Q24" s="451"/>
      <c r="R24" s="451" t="str">
        <f ca="1">IF(AND('Mapa final'!$K$148="Muy Alta",'Mapa final'!$O$148="Leve"),CONCATENATE("R",'Mapa final'!$A$148),"")</f>
        <v/>
      </c>
      <c r="S24" s="451"/>
      <c r="T24" s="453" t="str">
        <f ca="1">IF(AND('Mapa final'!$K$136="Muy Alta",'Mapa final'!$O$136="Menor"),CONCATENATE("R",'Mapa final'!$A$136),"")</f>
        <v/>
      </c>
      <c r="U24" s="451"/>
      <c r="V24" s="451" t="str">
        <f ca="1">IF(AND('Mapa final'!$K$139="Muy Alta",'Mapa final'!$O$139="Menor"),CONCATENATE("R",'Mapa final'!$A$139),"")</f>
        <v/>
      </c>
      <c r="W24" s="451"/>
      <c r="X24" s="451" t="str">
        <f ca="1">IF(AND('Mapa final'!$K$142="Muy Alta",'Mapa final'!$O$142="Menor"),CONCATENATE("R",'Mapa final'!$A$142),"")</f>
        <v/>
      </c>
      <c r="Y24" s="451"/>
      <c r="Z24" s="451" t="str">
        <f ca="1">IF(AND('Mapa final'!$K$145="Muy Alta",'Mapa final'!$O$145="Menor"),CONCATENATE("R",'Mapa final'!$A$145),"")</f>
        <v/>
      </c>
      <c r="AA24" s="451"/>
      <c r="AB24" s="451" t="str">
        <f ca="1">IF(AND('Mapa final'!$K$148="Muy Alta",'Mapa final'!$O$148="Menor"),CONCATENATE("R",'Mapa final'!$A$148),"")</f>
        <v/>
      </c>
      <c r="AC24" s="452"/>
      <c r="AD24" s="453" t="str">
        <f ca="1">IF(AND('Mapa final'!$K$136="Muy Alta",'Mapa final'!$O$136="Moderado"),CONCATENATE("R",'Mapa final'!$A$136),"")</f>
        <v/>
      </c>
      <c r="AE24" s="451"/>
      <c r="AF24" s="451" t="str">
        <f ca="1">IF(AND('Mapa final'!$K$139="Muy Alta",'Mapa final'!$O$139="Moderado"),CONCATENATE("R",'Mapa final'!$A$139),"")</f>
        <v/>
      </c>
      <c r="AG24" s="451"/>
      <c r="AH24" s="451" t="str">
        <f ca="1">IF(AND('Mapa final'!$K$142="Muy Alta",'Mapa final'!$O$142="Moderado"),CONCATENATE("R",'Mapa final'!$A$142),"")</f>
        <v/>
      </c>
      <c r="AI24" s="451"/>
      <c r="AJ24" s="451" t="str">
        <f ca="1">IF(AND('Mapa final'!$K$145="Muy Alta",'Mapa final'!$O$145="Moderado"),CONCATENATE("R",'Mapa final'!$A$145),"")</f>
        <v/>
      </c>
      <c r="AK24" s="451"/>
      <c r="AL24" s="451" t="str">
        <f ca="1">IF(AND('Mapa final'!$K$148="Muy Alta",'Mapa final'!$O$148="Moderado"),CONCATENATE("R",'Mapa final'!$A$148),"")</f>
        <v/>
      </c>
      <c r="AM24" s="452"/>
      <c r="AN24" s="453" t="str">
        <f ca="1">IF(AND('Mapa final'!$K$136="Muy Alta",'Mapa final'!$O$136="Mayor"),CONCATENATE("R",'Mapa final'!$A$136),"")</f>
        <v/>
      </c>
      <c r="AO24" s="451"/>
      <c r="AP24" s="451" t="str">
        <f ca="1">IF(AND('Mapa final'!$K$139="Muy Alta",'Mapa final'!$O$139="Mayor"),CONCATENATE("R",'Mapa final'!$A$139),"")</f>
        <v/>
      </c>
      <c r="AQ24" s="451"/>
      <c r="AR24" s="451" t="str">
        <f ca="1">IF(AND('Mapa final'!$K$142="Muy Alta",'Mapa final'!$O$142="Mayor"),CONCATENATE("R",'Mapa final'!$A$142),"")</f>
        <v/>
      </c>
      <c r="AS24" s="451"/>
      <c r="AT24" s="451" t="str">
        <f ca="1">IF(AND('Mapa final'!$K$145="Muy Alta",'Mapa final'!$O$145="Mayor"),CONCATENATE("R",'Mapa final'!$A$145),"")</f>
        <v/>
      </c>
      <c r="AU24" s="451"/>
      <c r="AV24" s="451" t="str">
        <f ca="1">IF(AND('Mapa final'!$K$148="Muy Alta",'Mapa final'!$O$148="Mayor"),CONCATENATE("R",'Mapa final'!$A$148),"")</f>
        <v/>
      </c>
      <c r="AW24" s="452"/>
      <c r="AX24" s="447" t="str">
        <f ca="1">IF(AND('Mapa final'!$K$136="Muy Alta",'Mapa final'!$O$136="Catastrófico"),CONCATENATE("R",'Mapa final'!$A$136),"")</f>
        <v/>
      </c>
      <c r="AY24" s="445"/>
      <c r="AZ24" s="445" t="str">
        <f ca="1">IF(AND('Mapa final'!$K$139="Muy Alta",'Mapa final'!$O$139="Catastrófico"),CONCATENATE("R",'Mapa final'!$A$139),"")</f>
        <v/>
      </c>
      <c r="BA24" s="445"/>
      <c r="BB24" s="445" t="str">
        <f ca="1">IF(AND('Mapa final'!$K$142="Muy Alta",'Mapa final'!$O$142="Catastrófico"),CONCATENATE("R",'Mapa final'!$A$142),"")</f>
        <v/>
      </c>
      <c r="BC24" s="445"/>
      <c r="BD24" s="445" t="str">
        <f ca="1">IF(AND('Mapa final'!$K$145="Muy Alta",'Mapa final'!$O$145="Catastrófico"),CONCATENATE("R",'Mapa final'!$A$145),"")</f>
        <v/>
      </c>
      <c r="BE24" s="445"/>
      <c r="BF24" s="445" t="str">
        <f ca="1">IF(AND('Mapa final'!$K$148="Muy Alta",'Mapa final'!$O$148="Catastrófico"),CONCATENATE("R",'Mapa final'!$A$148),"")</f>
        <v/>
      </c>
      <c r="BG24" s="446"/>
      <c r="BH24" s="56"/>
      <c r="BI24" s="479"/>
      <c r="BJ24" s="480"/>
      <c r="BK24" s="480"/>
      <c r="BL24" s="480"/>
      <c r="BM24" s="480"/>
      <c r="BN24" s="481"/>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row>
    <row r="25" spans="1:100" ht="15.75" customHeight="1" thickBot="1" x14ac:dyDescent="0.3">
      <c r="A25" s="56"/>
      <c r="B25" s="286"/>
      <c r="C25" s="286"/>
      <c r="D25" s="287"/>
      <c r="E25" s="516"/>
      <c r="F25" s="517"/>
      <c r="G25" s="517"/>
      <c r="H25" s="517"/>
      <c r="I25" s="520"/>
      <c r="J25" s="451"/>
      <c r="K25" s="451"/>
      <c r="L25" s="451"/>
      <c r="M25" s="451"/>
      <c r="N25" s="451"/>
      <c r="O25" s="451"/>
      <c r="P25" s="451"/>
      <c r="Q25" s="451"/>
      <c r="R25" s="451"/>
      <c r="S25" s="451"/>
      <c r="T25" s="454"/>
      <c r="U25" s="455"/>
      <c r="V25" s="455"/>
      <c r="W25" s="455"/>
      <c r="X25" s="455"/>
      <c r="Y25" s="455"/>
      <c r="Z25" s="455"/>
      <c r="AA25" s="455"/>
      <c r="AB25" s="455"/>
      <c r="AC25" s="456"/>
      <c r="AD25" s="454"/>
      <c r="AE25" s="455"/>
      <c r="AF25" s="455"/>
      <c r="AG25" s="455"/>
      <c r="AH25" s="455"/>
      <c r="AI25" s="455"/>
      <c r="AJ25" s="455"/>
      <c r="AK25" s="455"/>
      <c r="AL25" s="455"/>
      <c r="AM25" s="456"/>
      <c r="AN25" s="454"/>
      <c r="AO25" s="455"/>
      <c r="AP25" s="455"/>
      <c r="AQ25" s="455"/>
      <c r="AR25" s="455"/>
      <c r="AS25" s="455"/>
      <c r="AT25" s="455"/>
      <c r="AU25" s="455"/>
      <c r="AV25" s="455"/>
      <c r="AW25" s="456"/>
      <c r="AX25" s="467"/>
      <c r="AY25" s="466"/>
      <c r="AZ25" s="466"/>
      <c r="BA25" s="466"/>
      <c r="BB25" s="466"/>
      <c r="BC25" s="466"/>
      <c r="BD25" s="466"/>
      <c r="BE25" s="466"/>
      <c r="BF25" s="466"/>
      <c r="BG25" s="468"/>
      <c r="BH25" s="56"/>
      <c r="BI25" s="479"/>
      <c r="BJ25" s="480"/>
      <c r="BK25" s="480"/>
      <c r="BL25" s="480"/>
      <c r="BM25" s="480"/>
      <c r="BN25" s="481"/>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row>
    <row r="26" spans="1:100" ht="15" customHeight="1" x14ac:dyDescent="0.25">
      <c r="A26" s="56"/>
      <c r="B26" s="286"/>
      <c r="C26" s="286"/>
      <c r="D26" s="287"/>
      <c r="E26" s="512" t="s">
        <v>106</v>
      </c>
      <c r="F26" s="513"/>
      <c r="G26" s="513"/>
      <c r="H26" s="513"/>
      <c r="I26" s="513"/>
      <c r="J26" s="457" t="str">
        <f ca="1">IF(AND('Mapa final'!$K$7="Alta",'Mapa final'!$O$7="Leve"),CONCATENATE("R",'Mapa final'!$A$7),"")</f>
        <v/>
      </c>
      <c r="K26" s="458"/>
      <c r="L26" s="458" t="str">
        <f ca="1">IF(AND('Mapa final'!$K$10="Alta",'Mapa final'!$O$10="Leve"),CONCATENATE("R",'Mapa final'!$A$10),"")</f>
        <v/>
      </c>
      <c r="M26" s="458"/>
      <c r="N26" s="458" t="str">
        <f ca="1">IF(AND('Mapa final'!$K$13="Alta",'Mapa final'!$O$13="Leve"),CONCATENATE("R",'Mapa final'!$A$13),"")</f>
        <v/>
      </c>
      <c r="O26" s="458"/>
      <c r="P26" s="458" t="e">
        <f>IF(AND('Mapa final'!#REF!="Alta",'Mapa final'!#REF!="Leve"),CONCATENATE("R",'Mapa final'!#REF!),"")</f>
        <v>#REF!</v>
      </c>
      <c r="Q26" s="458"/>
      <c r="R26" s="458" t="e">
        <f>IF(AND('Mapa final'!#REF!="Alta",'Mapa final'!#REF!="Leve"),CONCATENATE("R",'Mapa final'!#REF!),"")</f>
        <v>#REF!</v>
      </c>
      <c r="S26" s="459"/>
      <c r="T26" s="457" t="str">
        <f ca="1">IF(AND('Mapa final'!$K$7="Alta",'Mapa final'!$O$7="Menor"),CONCATENATE("R",'Mapa final'!$A$7),"")</f>
        <v/>
      </c>
      <c r="U26" s="458"/>
      <c r="V26" s="458" t="str">
        <f ca="1">IF(AND('Mapa final'!$K$10="Alta",'Mapa final'!$O$10="Menor"),CONCATENATE("R",'Mapa final'!$A$10),"")</f>
        <v/>
      </c>
      <c r="W26" s="458"/>
      <c r="X26" s="458" t="str">
        <f ca="1">IF(AND('Mapa final'!$K$13="Alta",'Mapa final'!$O$13="Menor"),CONCATENATE("R",'Mapa final'!$A$13),"")</f>
        <v/>
      </c>
      <c r="Y26" s="458"/>
      <c r="Z26" s="458" t="e">
        <f>IF(AND('Mapa final'!#REF!="Alta",'Mapa final'!#REF!="Menor"),CONCATENATE("R",'Mapa final'!#REF!),"")</f>
        <v>#REF!</v>
      </c>
      <c r="AA26" s="458"/>
      <c r="AB26" s="458" t="e">
        <f>IF(AND('Mapa final'!#REF!="Alta",'Mapa final'!#REF!="Menor"),CONCATENATE("R",'Mapa final'!#REF!),"")</f>
        <v>#REF!</v>
      </c>
      <c r="AC26" s="459"/>
      <c r="AD26" s="463" t="str">
        <f ca="1">IF(AND('Mapa final'!$K$7="Alta",'Mapa final'!$O$7="Moderado"),CONCATENATE("R",'Mapa final'!$A$7),"")</f>
        <v/>
      </c>
      <c r="AE26" s="464"/>
      <c r="AF26" s="464" t="str">
        <f ca="1">IF(AND('Mapa final'!$K$10="Alta",'Mapa final'!$O$10="Moderado"),CONCATENATE("R",'Mapa final'!$A$10),"")</f>
        <v/>
      </c>
      <c r="AG26" s="464"/>
      <c r="AH26" s="464" t="str">
        <f ca="1">IF(AND('Mapa final'!$K$13="Alta",'Mapa final'!$O$13="Moderado"),CONCATENATE("R",'Mapa final'!$A$13),"")</f>
        <v>R3</v>
      </c>
      <c r="AI26" s="464"/>
      <c r="AJ26" s="464" t="e">
        <f>IF(AND('Mapa final'!#REF!="Alta",'Mapa final'!#REF!="Moderado"),CONCATENATE("R",'Mapa final'!#REF!),"")</f>
        <v>#REF!</v>
      </c>
      <c r="AK26" s="464"/>
      <c r="AL26" s="464" t="e">
        <f>IF(AND('Mapa final'!#REF!="Alta",'Mapa final'!#REF!="Moderado"),CONCATENATE("R",'Mapa final'!#REF!),"")</f>
        <v>#REF!</v>
      </c>
      <c r="AM26" s="465"/>
      <c r="AN26" s="463" t="str">
        <f ca="1">IF(AND('Mapa final'!$K$7="Alta",'Mapa final'!$O$7="Mayor"),CONCATENATE("R",'Mapa final'!$A$7),"")</f>
        <v/>
      </c>
      <c r="AO26" s="464"/>
      <c r="AP26" s="464" t="str">
        <f ca="1">IF(AND('Mapa final'!$K$10="Alta",'Mapa final'!$O$10="Mayor"),CONCATENATE("R",'Mapa final'!$A$10),"")</f>
        <v/>
      </c>
      <c r="AQ26" s="464"/>
      <c r="AR26" s="464" t="str">
        <f ca="1">IF(AND('Mapa final'!$K$13="Alta",'Mapa final'!$O$13="Mayor"),CONCATENATE("R",'Mapa final'!$A$13),"")</f>
        <v/>
      </c>
      <c r="AS26" s="464"/>
      <c r="AT26" s="464" t="e">
        <f>IF(AND('Mapa final'!#REF!="Alta",'Mapa final'!#REF!="Mayor"),CONCATENATE("R",'Mapa final'!#REF!),"")</f>
        <v>#REF!</v>
      </c>
      <c r="AU26" s="464"/>
      <c r="AV26" s="464" t="e">
        <f>IF(AND('Mapa final'!#REF!="Alta",'Mapa final'!#REF!="Mayor"),CONCATENATE("R",'Mapa final'!#REF!),"")</f>
        <v>#REF!</v>
      </c>
      <c r="AW26" s="465"/>
      <c r="AX26" s="470" t="str">
        <f ca="1">IF(AND('Mapa final'!$K$7="Alta",'Mapa final'!$O$7="Catastrófico"),CONCATENATE("R",'Mapa final'!$A$7),"")</f>
        <v/>
      </c>
      <c r="AY26" s="469"/>
      <c r="AZ26" s="469" t="str">
        <f ca="1">IF(AND('Mapa final'!$K$10="Alta",'Mapa final'!$O$10="Catastrófico"),CONCATENATE("R",'Mapa final'!$A$10),"")</f>
        <v/>
      </c>
      <c r="BA26" s="469"/>
      <c r="BB26" s="469" t="str">
        <f ca="1">IF(AND('Mapa final'!$K$13="Alta",'Mapa final'!$O$13="Catastrófico"),CONCATENATE("R",'Mapa final'!$A$13),"")</f>
        <v/>
      </c>
      <c r="BC26" s="469"/>
      <c r="BD26" s="469" t="e">
        <f>IF(AND('Mapa final'!#REF!="Alta",'Mapa final'!#REF!="Catastrófico"),CONCATENATE("R",'Mapa final'!#REF!),"")</f>
        <v>#REF!</v>
      </c>
      <c r="BE26" s="469"/>
      <c r="BF26" s="469" t="e">
        <f>IF(AND('Mapa final'!#REF!="Alta",'Mapa final'!#REF!="Catastrófico"),CONCATENATE("R",'Mapa final'!#REF!),"")</f>
        <v>#REF!</v>
      </c>
      <c r="BG26" s="525"/>
      <c r="BH26" s="56"/>
      <c r="BI26" s="479"/>
      <c r="BJ26" s="480"/>
      <c r="BK26" s="480"/>
      <c r="BL26" s="480"/>
      <c r="BM26" s="480"/>
      <c r="BN26" s="481"/>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row>
    <row r="27" spans="1:100" ht="15" customHeight="1" x14ac:dyDescent="0.25">
      <c r="A27" s="56"/>
      <c r="B27" s="286"/>
      <c r="C27" s="286"/>
      <c r="D27" s="287"/>
      <c r="E27" s="514"/>
      <c r="F27" s="515"/>
      <c r="G27" s="515"/>
      <c r="H27" s="515"/>
      <c r="I27" s="515"/>
      <c r="J27" s="450"/>
      <c r="K27" s="448"/>
      <c r="L27" s="448"/>
      <c r="M27" s="448"/>
      <c r="N27" s="448"/>
      <c r="O27" s="448"/>
      <c r="P27" s="448"/>
      <c r="Q27" s="448"/>
      <c r="R27" s="448"/>
      <c r="S27" s="449"/>
      <c r="T27" s="450"/>
      <c r="U27" s="448"/>
      <c r="V27" s="448"/>
      <c r="W27" s="448"/>
      <c r="X27" s="448"/>
      <c r="Y27" s="448"/>
      <c r="Z27" s="448"/>
      <c r="AA27" s="448"/>
      <c r="AB27" s="448"/>
      <c r="AC27" s="449"/>
      <c r="AD27" s="453"/>
      <c r="AE27" s="451"/>
      <c r="AF27" s="451"/>
      <c r="AG27" s="451"/>
      <c r="AH27" s="451"/>
      <c r="AI27" s="451"/>
      <c r="AJ27" s="451"/>
      <c r="AK27" s="451"/>
      <c r="AL27" s="451"/>
      <c r="AM27" s="452"/>
      <c r="AN27" s="453"/>
      <c r="AO27" s="451"/>
      <c r="AP27" s="451"/>
      <c r="AQ27" s="451"/>
      <c r="AR27" s="451"/>
      <c r="AS27" s="451"/>
      <c r="AT27" s="451"/>
      <c r="AU27" s="451"/>
      <c r="AV27" s="451"/>
      <c r="AW27" s="452"/>
      <c r="AX27" s="447"/>
      <c r="AY27" s="445"/>
      <c r="AZ27" s="445"/>
      <c r="BA27" s="445"/>
      <c r="BB27" s="445"/>
      <c r="BC27" s="445"/>
      <c r="BD27" s="445"/>
      <c r="BE27" s="445"/>
      <c r="BF27" s="445"/>
      <c r="BG27" s="446"/>
      <c r="BH27" s="56"/>
      <c r="BI27" s="479"/>
      <c r="BJ27" s="480"/>
      <c r="BK27" s="480"/>
      <c r="BL27" s="480"/>
      <c r="BM27" s="480"/>
      <c r="BN27" s="481"/>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row>
    <row r="28" spans="1:100" ht="15" customHeight="1" x14ac:dyDescent="0.25">
      <c r="A28" s="56"/>
      <c r="B28" s="286"/>
      <c r="C28" s="286"/>
      <c r="D28" s="287"/>
      <c r="E28" s="514"/>
      <c r="F28" s="515"/>
      <c r="G28" s="515"/>
      <c r="H28" s="515"/>
      <c r="I28" s="515"/>
      <c r="J28" s="450" t="str">
        <f ca="1">IF(AND('Mapa final'!$K$16="Alta",'Mapa final'!$O$16="Leve"),CONCATENATE("R",'Mapa final'!$A$16),"")</f>
        <v/>
      </c>
      <c r="K28" s="448"/>
      <c r="L28" s="448" t="str">
        <f ca="1">IF(AND('Mapa final'!$K$19="Alta",'Mapa final'!$O$19="Leve"),CONCATENATE("R",'Mapa final'!$A$19),"")</f>
        <v/>
      </c>
      <c r="M28" s="448"/>
      <c r="N28" s="448" t="str">
        <f ca="1">IF(AND('Mapa final'!$K$22="Alta",'Mapa final'!$O$22="Leve"),CONCATENATE("R",'Mapa final'!$A$22),"")</f>
        <v/>
      </c>
      <c r="O28" s="448"/>
      <c r="P28" s="448" t="str">
        <f ca="1">IF(AND('Mapa final'!$K$25="Alta",'Mapa final'!$O$25="Leve"),CONCATENATE("R",'Mapa final'!$A$25),"")</f>
        <v/>
      </c>
      <c r="Q28" s="448"/>
      <c r="R28" s="448" t="str">
        <f ca="1">IF(AND('Mapa final'!$K$28="Alta",'Mapa final'!$O$28="Leve"),CONCATENATE("R",'Mapa final'!$A$28),"")</f>
        <v/>
      </c>
      <c r="S28" s="449"/>
      <c r="T28" s="450" t="str">
        <f ca="1">IF(AND('Mapa final'!$K$16="Alta",'Mapa final'!$O$16="Menor"),CONCATENATE("R",'Mapa final'!$A$16),"")</f>
        <v/>
      </c>
      <c r="U28" s="448"/>
      <c r="V28" s="448" t="str">
        <f ca="1">IF(AND('Mapa final'!$K$19="Alta",'Mapa final'!$O$19="Menor"),CONCATENATE("R",'Mapa final'!$A$19),"")</f>
        <v/>
      </c>
      <c r="W28" s="448"/>
      <c r="X28" s="448" t="str">
        <f ca="1">IF(AND('Mapa final'!$K$22="Alta",'Mapa final'!$O$22="Menor"),CONCATENATE("R",'Mapa final'!$A$22),"")</f>
        <v/>
      </c>
      <c r="Y28" s="448"/>
      <c r="Z28" s="448" t="str">
        <f ca="1">IF(AND('Mapa final'!$K$25="Alta",'Mapa final'!$O$25="Menor"),CONCATENATE("R",'Mapa final'!$A$25),"")</f>
        <v/>
      </c>
      <c r="AA28" s="448"/>
      <c r="AB28" s="448" t="str">
        <f ca="1">IF(AND('Mapa final'!$K$28="Alta",'Mapa final'!$O$28="Menor"),CONCATENATE("R",'Mapa final'!$A$28),"")</f>
        <v/>
      </c>
      <c r="AC28" s="449"/>
      <c r="AD28" s="453" t="str">
        <f ca="1">IF(AND('Mapa final'!$K$16="Alta",'Mapa final'!$O$16="Moderado"),CONCATENATE("R",'Mapa final'!$A$16),"")</f>
        <v/>
      </c>
      <c r="AE28" s="451"/>
      <c r="AF28" s="451" t="str">
        <f ca="1">IF(AND('Mapa final'!$K$19="Alta",'Mapa final'!$O$19="Moderado"),CONCATENATE("R",'Mapa final'!$A$19),"")</f>
        <v/>
      </c>
      <c r="AG28" s="451"/>
      <c r="AH28" s="451" t="str">
        <f ca="1">IF(AND('Mapa final'!$K$22="Alta",'Mapa final'!$O$22="Moderado"),CONCATENATE("R",'Mapa final'!$A$22),"")</f>
        <v>R7</v>
      </c>
      <c r="AI28" s="451"/>
      <c r="AJ28" s="451" t="str">
        <f ca="1">IF(AND('Mapa final'!$K$25="Alta",'Mapa final'!$O$25="Moderado"),CONCATENATE("R",'Mapa final'!$A$25),"")</f>
        <v/>
      </c>
      <c r="AK28" s="451"/>
      <c r="AL28" s="451" t="str">
        <f ca="1">IF(AND('Mapa final'!$K$28="Alta",'Mapa final'!$O$28="Moderado"),CONCATENATE("R",'Mapa final'!$A$28),"")</f>
        <v>R9</v>
      </c>
      <c r="AM28" s="452"/>
      <c r="AN28" s="453" t="str">
        <f ca="1">IF(AND('Mapa final'!$K$16="Alta",'Mapa final'!$O$16="Mayor"),CONCATENATE("R",'Mapa final'!$A$16),"")</f>
        <v/>
      </c>
      <c r="AO28" s="451"/>
      <c r="AP28" s="451" t="str">
        <f ca="1">IF(AND('Mapa final'!$K$19="Alta",'Mapa final'!$O$19="Mayor"),CONCATENATE("R",'Mapa final'!$A$19),"")</f>
        <v/>
      </c>
      <c r="AQ28" s="451"/>
      <c r="AR28" s="451" t="str">
        <f ca="1">IF(AND('Mapa final'!$K$22="Alta",'Mapa final'!$O$22="Mayor"),CONCATENATE("R",'Mapa final'!$A$22),"")</f>
        <v/>
      </c>
      <c r="AS28" s="451"/>
      <c r="AT28" s="451" t="str">
        <f ca="1">IF(AND('Mapa final'!$K$25="Alta",'Mapa final'!$O$25="Mayor"),CONCATENATE("R",'Mapa final'!$A$25),"")</f>
        <v>R8</v>
      </c>
      <c r="AU28" s="451"/>
      <c r="AV28" s="451" t="str">
        <f ca="1">IF(AND('Mapa final'!$K$28="Alta",'Mapa final'!$O$28="Mayor"),CONCATENATE("R",'Mapa final'!$A$28),"")</f>
        <v/>
      </c>
      <c r="AW28" s="452"/>
      <c r="AX28" s="447" t="str">
        <f ca="1">IF(AND('Mapa final'!$K$16="Alta",'Mapa final'!$O$16="Catastrófico"),CONCATENATE("R",'Mapa final'!$A$16),"")</f>
        <v/>
      </c>
      <c r="AY28" s="445"/>
      <c r="AZ28" s="445" t="str">
        <f ca="1">IF(AND('Mapa final'!$K$19="Alta",'Mapa final'!$O$19="Catastrófico"),CONCATENATE("R",'Mapa final'!$A$19),"")</f>
        <v/>
      </c>
      <c r="BA28" s="445"/>
      <c r="BB28" s="445" t="str">
        <f ca="1">IF(AND('Mapa final'!$K$22="Alta",'Mapa final'!$O$22="Catastrófico"),CONCATENATE("R",'Mapa final'!$A$22),"")</f>
        <v/>
      </c>
      <c r="BC28" s="445"/>
      <c r="BD28" s="445" t="str">
        <f ca="1">IF(AND('Mapa final'!$K$25="Alta",'Mapa final'!$O$25="Catastrófico"),CONCATENATE("R",'Mapa final'!$A$25),"")</f>
        <v/>
      </c>
      <c r="BE28" s="445"/>
      <c r="BF28" s="445" t="str">
        <f ca="1">IF(AND('Mapa final'!$K$28="Alta",'Mapa final'!$O$28="Catastrófico"),CONCATENATE("R",'Mapa final'!$A$28),"")</f>
        <v/>
      </c>
      <c r="BG28" s="446"/>
      <c r="BH28" s="56"/>
      <c r="BI28" s="479"/>
      <c r="BJ28" s="480"/>
      <c r="BK28" s="480"/>
      <c r="BL28" s="480"/>
      <c r="BM28" s="480"/>
      <c r="BN28" s="481"/>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row>
    <row r="29" spans="1:100" ht="15" customHeight="1" x14ac:dyDescent="0.25">
      <c r="A29" s="56"/>
      <c r="B29" s="286"/>
      <c r="C29" s="286"/>
      <c r="D29" s="287"/>
      <c r="E29" s="514"/>
      <c r="F29" s="515"/>
      <c r="G29" s="515"/>
      <c r="H29" s="515"/>
      <c r="I29" s="515"/>
      <c r="J29" s="450"/>
      <c r="K29" s="448"/>
      <c r="L29" s="448"/>
      <c r="M29" s="448"/>
      <c r="N29" s="448"/>
      <c r="O29" s="448"/>
      <c r="P29" s="448"/>
      <c r="Q29" s="448"/>
      <c r="R29" s="448"/>
      <c r="S29" s="449"/>
      <c r="T29" s="450"/>
      <c r="U29" s="448"/>
      <c r="V29" s="448"/>
      <c r="W29" s="448"/>
      <c r="X29" s="448"/>
      <c r="Y29" s="448"/>
      <c r="Z29" s="448"/>
      <c r="AA29" s="448"/>
      <c r="AB29" s="448"/>
      <c r="AC29" s="449"/>
      <c r="AD29" s="453"/>
      <c r="AE29" s="451"/>
      <c r="AF29" s="451"/>
      <c r="AG29" s="451"/>
      <c r="AH29" s="451"/>
      <c r="AI29" s="451"/>
      <c r="AJ29" s="451"/>
      <c r="AK29" s="451"/>
      <c r="AL29" s="451"/>
      <c r="AM29" s="452"/>
      <c r="AN29" s="453"/>
      <c r="AO29" s="451"/>
      <c r="AP29" s="451"/>
      <c r="AQ29" s="451"/>
      <c r="AR29" s="451"/>
      <c r="AS29" s="451"/>
      <c r="AT29" s="451"/>
      <c r="AU29" s="451"/>
      <c r="AV29" s="451"/>
      <c r="AW29" s="452"/>
      <c r="AX29" s="447"/>
      <c r="AY29" s="445"/>
      <c r="AZ29" s="445"/>
      <c r="BA29" s="445"/>
      <c r="BB29" s="445"/>
      <c r="BC29" s="445"/>
      <c r="BD29" s="445"/>
      <c r="BE29" s="445"/>
      <c r="BF29" s="445"/>
      <c r="BG29" s="446"/>
      <c r="BH29" s="56"/>
      <c r="BI29" s="479"/>
      <c r="BJ29" s="480"/>
      <c r="BK29" s="480"/>
      <c r="BL29" s="480"/>
      <c r="BM29" s="480"/>
      <c r="BN29" s="481"/>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row>
    <row r="30" spans="1:100" ht="15" customHeight="1" x14ac:dyDescent="0.25">
      <c r="A30" s="56"/>
      <c r="B30" s="286"/>
      <c r="C30" s="286"/>
      <c r="D30" s="287"/>
      <c r="E30" s="514"/>
      <c r="F30" s="515"/>
      <c r="G30" s="515"/>
      <c r="H30" s="515"/>
      <c r="I30" s="515"/>
      <c r="J30" s="450" t="str">
        <f ca="1">IF(AND('Mapa final'!$K$31="Alta",'Mapa final'!$O$31="Leve"),CONCATENATE("R",'Mapa final'!$A$31),"")</f>
        <v/>
      </c>
      <c r="K30" s="448"/>
      <c r="L30" s="448" t="str">
        <f ca="1">IF(AND('Mapa final'!$K$34="Alta",'Mapa final'!$O$34="Leve"),CONCATENATE("R",'Mapa final'!$A$34),"")</f>
        <v/>
      </c>
      <c r="M30" s="448"/>
      <c r="N30" s="448" t="str">
        <f ca="1">IF(AND('Mapa final'!$K$37="Alta",'Mapa final'!$O$37="Leve"),CONCATENATE("R",'Mapa final'!$A$37),"")</f>
        <v/>
      </c>
      <c r="O30" s="448"/>
      <c r="P30" s="448" t="str">
        <f ca="1">IF(AND('Mapa final'!$K$40="Alta",'Mapa final'!$O$40="Leve"),CONCATENATE("R",'Mapa final'!$A$40),"")</f>
        <v/>
      </c>
      <c r="Q30" s="448"/>
      <c r="R30" s="448" t="str">
        <f ca="1">IF(AND('Mapa final'!$K$43="Alta",'Mapa final'!$O$43="Leve"),CONCATENATE("R",'Mapa final'!$A$43),"")</f>
        <v/>
      </c>
      <c r="S30" s="449"/>
      <c r="T30" s="450" t="str">
        <f ca="1">IF(AND('Mapa final'!$K$31="Alta",'Mapa final'!$O$31="Menor"),CONCATENATE("R",'Mapa final'!$A$31),"")</f>
        <v/>
      </c>
      <c r="U30" s="448"/>
      <c r="V30" s="448" t="str">
        <f ca="1">IF(AND('Mapa final'!$K$34="Alta",'Mapa final'!$O$34="Menor"),CONCATENATE("R",'Mapa final'!$A$34),"")</f>
        <v/>
      </c>
      <c r="W30" s="448"/>
      <c r="X30" s="448" t="str">
        <f ca="1">IF(AND('Mapa final'!$K$37="Alta",'Mapa final'!$O$37="Menor"),CONCATENATE("R",'Mapa final'!$A$37),"")</f>
        <v/>
      </c>
      <c r="Y30" s="448"/>
      <c r="Z30" s="448" t="str">
        <f ca="1">IF(AND('Mapa final'!$K$40="Alta",'Mapa final'!$O$40="Menor"),CONCATENATE("R",'Mapa final'!$A$40),"")</f>
        <v/>
      </c>
      <c r="AA30" s="448"/>
      <c r="AB30" s="448" t="str">
        <f ca="1">IF(AND('Mapa final'!$K$43="Alta",'Mapa final'!$O$43="Menor"),CONCATENATE("R",'Mapa final'!$A$43),"")</f>
        <v/>
      </c>
      <c r="AC30" s="449"/>
      <c r="AD30" s="453" t="str">
        <f ca="1">IF(AND('Mapa final'!$K$31="Alta",'Mapa final'!$O$31="Moderado"),CONCATENATE("R",'Mapa final'!$A$31),"")</f>
        <v/>
      </c>
      <c r="AE30" s="451"/>
      <c r="AF30" s="451" t="str">
        <f ca="1">IF(AND('Mapa final'!$K$34="Alta",'Mapa final'!$O$34="Moderado"),CONCATENATE("R",'Mapa final'!$A$34),"")</f>
        <v/>
      </c>
      <c r="AG30" s="451"/>
      <c r="AH30" s="451" t="str">
        <f ca="1">IF(AND('Mapa final'!$K$37="Alta",'Mapa final'!$O$37="Moderado"),CONCATENATE("R",'Mapa final'!$A$37),"")</f>
        <v/>
      </c>
      <c r="AI30" s="451"/>
      <c r="AJ30" s="451" t="str">
        <f ca="1">IF(AND('Mapa final'!$K$40="Alta",'Mapa final'!$O$40="Moderado"),CONCATENATE("R",'Mapa final'!$A$40),"")</f>
        <v/>
      </c>
      <c r="AK30" s="451"/>
      <c r="AL30" s="451" t="str">
        <f ca="1">IF(AND('Mapa final'!$K$43="Alta",'Mapa final'!$O$43="Moderado"),CONCATENATE("R",'Mapa final'!$A$43),"")</f>
        <v>R14</v>
      </c>
      <c r="AM30" s="452"/>
      <c r="AN30" s="453" t="str">
        <f ca="1">IF(AND('Mapa final'!$K$31="Alta",'Mapa final'!$O$31="Mayor"),CONCATENATE("R",'Mapa final'!$A$31),"")</f>
        <v/>
      </c>
      <c r="AO30" s="451"/>
      <c r="AP30" s="451" t="str">
        <f ca="1">IF(AND('Mapa final'!$K$34="Alta",'Mapa final'!$O$34="Mayor"),CONCATENATE("R",'Mapa final'!$A$34),"")</f>
        <v/>
      </c>
      <c r="AQ30" s="451"/>
      <c r="AR30" s="451" t="str">
        <f ca="1">IF(AND('Mapa final'!$K$37="Alta",'Mapa final'!$O$37="Mayor"),CONCATENATE("R",'Mapa final'!$A$37),"")</f>
        <v/>
      </c>
      <c r="AS30" s="451"/>
      <c r="AT30" s="451" t="str">
        <f ca="1">IF(AND('Mapa final'!$K$40="Alta",'Mapa final'!$O$40="Mayor"),CONCATENATE("R",'Mapa final'!$A$40),"")</f>
        <v/>
      </c>
      <c r="AU30" s="451"/>
      <c r="AV30" s="451" t="str">
        <f ca="1">IF(AND('Mapa final'!$K$43="Alta",'Mapa final'!$O$43="Mayor"),CONCATENATE("R",'Mapa final'!$A$43),"")</f>
        <v/>
      </c>
      <c r="AW30" s="452"/>
      <c r="AX30" s="447" t="str">
        <f ca="1">IF(AND('Mapa final'!$K$31="Alta",'Mapa final'!$O$31="Catastrófico"),CONCATENATE("R",'Mapa final'!$A$31),"")</f>
        <v/>
      </c>
      <c r="AY30" s="445"/>
      <c r="AZ30" s="445" t="str">
        <f ca="1">IF(AND('Mapa final'!$K$34="Alta",'Mapa final'!$O$34="Catastrófico"),CONCATENATE("R",'Mapa final'!$A$34),"")</f>
        <v/>
      </c>
      <c r="BA30" s="445"/>
      <c r="BB30" s="445" t="str">
        <f ca="1">IF(AND('Mapa final'!$K$37="Alta",'Mapa final'!$O$37="Catastrófico"),CONCATENATE("R",'Mapa final'!$A$37),"")</f>
        <v/>
      </c>
      <c r="BC30" s="445"/>
      <c r="BD30" s="445" t="str">
        <f ca="1">IF(AND('Mapa final'!$K$40="Alta",'Mapa final'!$O$40="Catastrófico"),CONCATENATE("R",'Mapa final'!$A$40),"")</f>
        <v/>
      </c>
      <c r="BE30" s="445"/>
      <c r="BF30" s="445" t="str">
        <f ca="1">IF(AND('Mapa final'!$K$43="Alta",'Mapa final'!$O$43="Catastrófico"),CONCATENATE("R",'Mapa final'!$A$43),"")</f>
        <v/>
      </c>
      <c r="BG30" s="446"/>
      <c r="BH30" s="56"/>
      <c r="BI30" s="479"/>
      <c r="BJ30" s="480"/>
      <c r="BK30" s="480"/>
      <c r="BL30" s="480"/>
      <c r="BM30" s="480"/>
      <c r="BN30" s="481"/>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row>
    <row r="31" spans="1:100" ht="15" customHeight="1" x14ac:dyDescent="0.25">
      <c r="A31" s="56"/>
      <c r="B31" s="286"/>
      <c r="C31" s="286"/>
      <c r="D31" s="287"/>
      <c r="E31" s="514"/>
      <c r="F31" s="515"/>
      <c r="G31" s="515"/>
      <c r="H31" s="515"/>
      <c r="I31" s="515"/>
      <c r="J31" s="450"/>
      <c r="K31" s="448"/>
      <c r="L31" s="448"/>
      <c r="M31" s="448"/>
      <c r="N31" s="448"/>
      <c r="O31" s="448"/>
      <c r="P31" s="448"/>
      <c r="Q31" s="448"/>
      <c r="R31" s="448"/>
      <c r="S31" s="449"/>
      <c r="T31" s="450"/>
      <c r="U31" s="448"/>
      <c r="V31" s="448"/>
      <c r="W31" s="448"/>
      <c r="X31" s="448"/>
      <c r="Y31" s="448"/>
      <c r="Z31" s="448"/>
      <c r="AA31" s="448"/>
      <c r="AB31" s="448"/>
      <c r="AC31" s="449"/>
      <c r="AD31" s="453"/>
      <c r="AE31" s="451"/>
      <c r="AF31" s="451"/>
      <c r="AG31" s="451"/>
      <c r="AH31" s="451"/>
      <c r="AI31" s="451"/>
      <c r="AJ31" s="451"/>
      <c r="AK31" s="451"/>
      <c r="AL31" s="451"/>
      <c r="AM31" s="452"/>
      <c r="AN31" s="453"/>
      <c r="AO31" s="451"/>
      <c r="AP31" s="451"/>
      <c r="AQ31" s="451"/>
      <c r="AR31" s="451"/>
      <c r="AS31" s="451"/>
      <c r="AT31" s="451"/>
      <c r="AU31" s="451"/>
      <c r="AV31" s="451"/>
      <c r="AW31" s="452"/>
      <c r="AX31" s="447"/>
      <c r="AY31" s="445"/>
      <c r="AZ31" s="445"/>
      <c r="BA31" s="445"/>
      <c r="BB31" s="445"/>
      <c r="BC31" s="445"/>
      <c r="BD31" s="445"/>
      <c r="BE31" s="445"/>
      <c r="BF31" s="445"/>
      <c r="BG31" s="446"/>
      <c r="BH31" s="56"/>
      <c r="BI31" s="479"/>
      <c r="BJ31" s="480"/>
      <c r="BK31" s="480"/>
      <c r="BL31" s="480"/>
      <c r="BM31" s="480"/>
      <c r="BN31" s="481"/>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row>
    <row r="32" spans="1:100" ht="15" customHeight="1" x14ac:dyDescent="0.25">
      <c r="A32" s="56"/>
      <c r="B32" s="286"/>
      <c r="C32" s="286"/>
      <c r="D32" s="287"/>
      <c r="E32" s="514"/>
      <c r="F32" s="515"/>
      <c r="G32" s="515"/>
      <c r="H32" s="515"/>
      <c r="I32" s="515"/>
      <c r="J32" s="450" t="str">
        <f ca="1">IF(AND('Mapa final'!$K$46="Alta",'Mapa final'!$O$46="Leve"),CONCATENATE("R",'Mapa final'!$A$46),"")</f>
        <v/>
      </c>
      <c r="K32" s="448"/>
      <c r="L32" s="448" t="str">
        <f ca="1">IF(AND('Mapa final'!$K$49="Alta",'Mapa final'!$O$49="Leve"),CONCATENATE("R",'Mapa final'!$A$49),"")</f>
        <v/>
      </c>
      <c r="M32" s="448"/>
      <c r="N32" s="448" t="str">
        <f ca="1">IF(AND('Mapa final'!$K$52="Alta",'Mapa final'!$O$52="Leve"),CONCATENATE("R",'Mapa final'!$A$52),"")</f>
        <v/>
      </c>
      <c r="O32" s="448"/>
      <c r="P32" s="448" t="str">
        <f ca="1">IF(AND('Mapa final'!$K$55="Alta",'Mapa final'!$O$55="Leve"),CONCATENATE("R",'Mapa final'!$A$55),"")</f>
        <v/>
      </c>
      <c r="Q32" s="448"/>
      <c r="R32" s="448" t="str">
        <f ca="1">IF(AND('Mapa final'!$K$58="Alta",'Mapa final'!$O$58="Leve"),CONCATENATE("R",'Mapa final'!$A$58),"")</f>
        <v/>
      </c>
      <c r="S32" s="449"/>
      <c r="T32" s="450" t="str">
        <f ca="1">IF(AND('Mapa final'!$K$46="Alta",'Mapa final'!$O$46="Menor"),CONCATENATE("R",'Mapa final'!$A$46),"")</f>
        <v/>
      </c>
      <c r="U32" s="448"/>
      <c r="V32" s="448" t="str">
        <f ca="1">IF(AND('Mapa final'!$K$49="Alta",'Mapa final'!$O$49="Menor"),CONCATENATE("R",'Mapa final'!$A$49),"")</f>
        <v/>
      </c>
      <c r="W32" s="448"/>
      <c r="X32" s="448" t="str">
        <f ca="1">IF(AND('Mapa final'!$K$52="Alta",'Mapa final'!$O$52="Menor"),CONCATENATE("R",'Mapa final'!$A$52),"")</f>
        <v/>
      </c>
      <c r="Y32" s="448"/>
      <c r="Z32" s="448" t="str">
        <f ca="1">IF(AND('Mapa final'!$K$55="Alta",'Mapa final'!$O$55="Menor"),CONCATENATE("R",'Mapa final'!$A$55),"")</f>
        <v/>
      </c>
      <c r="AA32" s="448"/>
      <c r="AB32" s="448" t="str">
        <f ca="1">IF(AND('Mapa final'!$K$58="Alta",'Mapa final'!$O$58="Menor"),CONCATENATE("R",'Mapa final'!$A$58),"")</f>
        <v/>
      </c>
      <c r="AC32" s="449"/>
      <c r="AD32" s="453" t="str">
        <f ca="1">IF(AND('Mapa final'!$K$46="Alta",'Mapa final'!$O$46="Moderado"),CONCATENATE("R",'Mapa final'!$A$46),"")</f>
        <v/>
      </c>
      <c r="AE32" s="451"/>
      <c r="AF32" s="451" t="str">
        <f ca="1">IF(AND('Mapa final'!$K$49="Alta",'Mapa final'!$O$49="Moderado"),CONCATENATE("R",'Mapa final'!$A$49),"")</f>
        <v/>
      </c>
      <c r="AG32" s="451"/>
      <c r="AH32" s="451" t="str">
        <f ca="1">IF(AND('Mapa final'!$K$52="Alta",'Mapa final'!$O$52="Moderado"),CONCATENATE("R",'Mapa final'!$A$52),"")</f>
        <v/>
      </c>
      <c r="AI32" s="451"/>
      <c r="AJ32" s="451" t="str">
        <f ca="1">IF(AND('Mapa final'!$K$55="Alta",'Mapa final'!$O$55="Moderado"),CONCATENATE("R",'Mapa final'!$A$55),"")</f>
        <v/>
      </c>
      <c r="AK32" s="451"/>
      <c r="AL32" s="451" t="str">
        <f ca="1">IF(AND('Mapa final'!$K$58="Alta",'Mapa final'!$O$58="Moderado"),CONCATENATE("R",'Mapa final'!$A$58),"")</f>
        <v/>
      </c>
      <c r="AM32" s="452"/>
      <c r="AN32" s="453" t="str">
        <f ca="1">IF(AND('Mapa final'!$K$46="Alta",'Mapa final'!$O$46="Mayor"),CONCATENATE("R",'Mapa final'!$A$46),"")</f>
        <v/>
      </c>
      <c r="AO32" s="451"/>
      <c r="AP32" s="451" t="str">
        <f ca="1">IF(AND('Mapa final'!$K$49="Alta",'Mapa final'!$O$49="Mayor"),CONCATENATE("R",'Mapa final'!$A$49),"")</f>
        <v/>
      </c>
      <c r="AQ32" s="451"/>
      <c r="AR32" s="451" t="str">
        <f ca="1">IF(AND('Mapa final'!$K$52="Alta",'Mapa final'!$O$52="Mayor"),CONCATENATE("R",'Mapa final'!$A$52),"")</f>
        <v/>
      </c>
      <c r="AS32" s="451"/>
      <c r="AT32" s="451" t="str">
        <f ca="1">IF(AND('Mapa final'!$K$55="Alta",'Mapa final'!$O$55="Mayor"),CONCATENATE("R",'Mapa final'!$A$55),"")</f>
        <v/>
      </c>
      <c r="AU32" s="451"/>
      <c r="AV32" s="451" t="str">
        <f ca="1">IF(AND('Mapa final'!$K$58="Alta",'Mapa final'!$O$58="Mayor"),CONCATENATE("R",'Mapa final'!$A$58),"")</f>
        <v/>
      </c>
      <c r="AW32" s="452"/>
      <c r="AX32" s="447" t="str">
        <f ca="1">IF(AND('Mapa final'!$K$46="Alta",'Mapa final'!$O$46="Catastrófico"),CONCATENATE("R",'Mapa final'!$A$46),"")</f>
        <v/>
      </c>
      <c r="AY32" s="445"/>
      <c r="AZ32" s="445" t="str">
        <f ca="1">IF(AND('Mapa final'!$K$49="Alta",'Mapa final'!$O$49="Catastrófico"),CONCATENATE("R",'Mapa final'!$A$49),"")</f>
        <v/>
      </c>
      <c r="BA32" s="445"/>
      <c r="BB32" s="445" t="str">
        <f ca="1">IF(AND('Mapa final'!$K$52="Alta",'Mapa final'!$O$52="Catastrófico"),CONCATENATE("R",'Mapa final'!$A$52),"")</f>
        <v/>
      </c>
      <c r="BC32" s="445"/>
      <c r="BD32" s="445" t="str">
        <f ca="1">IF(AND('Mapa final'!$K$55="Alta",'Mapa final'!$O$55="Catastrófico"),CONCATENATE("R",'Mapa final'!$A$55),"")</f>
        <v/>
      </c>
      <c r="BE32" s="445"/>
      <c r="BF32" s="445" t="str">
        <f ca="1">IF(AND('Mapa final'!$K$58="Alta",'Mapa final'!$O$58="Catastrófico"),CONCATENATE("R",'Mapa final'!$A$58),"")</f>
        <v/>
      </c>
      <c r="BG32" s="446"/>
      <c r="BH32" s="56"/>
      <c r="BI32" s="479"/>
      <c r="BJ32" s="480"/>
      <c r="BK32" s="480"/>
      <c r="BL32" s="480"/>
      <c r="BM32" s="480"/>
      <c r="BN32" s="481"/>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row>
    <row r="33" spans="1:100" ht="15" customHeight="1" thickBot="1" x14ac:dyDescent="0.3">
      <c r="A33" s="56"/>
      <c r="B33" s="286"/>
      <c r="C33" s="286"/>
      <c r="D33" s="287"/>
      <c r="E33" s="514"/>
      <c r="F33" s="515"/>
      <c r="G33" s="515"/>
      <c r="H33" s="515"/>
      <c r="I33" s="515"/>
      <c r="J33" s="450"/>
      <c r="K33" s="448"/>
      <c r="L33" s="448"/>
      <c r="M33" s="448"/>
      <c r="N33" s="448"/>
      <c r="O33" s="448"/>
      <c r="P33" s="448"/>
      <c r="Q33" s="448"/>
      <c r="R33" s="448"/>
      <c r="S33" s="449"/>
      <c r="T33" s="450"/>
      <c r="U33" s="448"/>
      <c r="V33" s="448"/>
      <c r="W33" s="448"/>
      <c r="X33" s="448"/>
      <c r="Y33" s="448"/>
      <c r="Z33" s="448"/>
      <c r="AA33" s="448"/>
      <c r="AB33" s="448"/>
      <c r="AC33" s="449"/>
      <c r="AD33" s="453"/>
      <c r="AE33" s="451"/>
      <c r="AF33" s="451"/>
      <c r="AG33" s="451"/>
      <c r="AH33" s="451"/>
      <c r="AI33" s="451"/>
      <c r="AJ33" s="451"/>
      <c r="AK33" s="451"/>
      <c r="AL33" s="451"/>
      <c r="AM33" s="452"/>
      <c r="AN33" s="453"/>
      <c r="AO33" s="451"/>
      <c r="AP33" s="451"/>
      <c r="AQ33" s="451"/>
      <c r="AR33" s="451"/>
      <c r="AS33" s="451"/>
      <c r="AT33" s="451"/>
      <c r="AU33" s="451"/>
      <c r="AV33" s="451"/>
      <c r="AW33" s="452"/>
      <c r="AX33" s="447"/>
      <c r="AY33" s="445"/>
      <c r="AZ33" s="445"/>
      <c r="BA33" s="445"/>
      <c r="BB33" s="445"/>
      <c r="BC33" s="445"/>
      <c r="BD33" s="445"/>
      <c r="BE33" s="445"/>
      <c r="BF33" s="445"/>
      <c r="BG33" s="446"/>
      <c r="BH33" s="56"/>
      <c r="BI33" s="482"/>
      <c r="BJ33" s="483"/>
      <c r="BK33" s="483"/>
      <c r="BL33" s="483"/>
      <c r="BM33" s="483"/>
      <c r="BN33" s="484"/>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row>
    <row r="34" spans="1:100" ht="15" customHeight="1" x14ac:dyDescent="0.25">
      <c r="A34" s="56"/>
      <c r="B34" s="286"/>
      <c r="C34" s="286"/>
      <c r="D34" s="287"/>
      <c r="E34" s="514"/>
      <c r="F34" s="515"/>
      <c r="G34" s="515"/>
      <c r="H34" s="515"/>
      <c r="I34" s="515"/>
      <c r="J34" s="450" t="str">
        <f ca="1">IF(AND('Mapa final'!$K$61="Alta",'Mapa final'!$O$61="Leve"),CONCATENATE("R",'Mapa final'!$A$61),"")</f>
        <v/>
      </c>
      <c r="K34" s="448"/>
      <c r="L34" s="448" t="str">
        <f ca="1">IF(AND('Mapa final'!$K$64="Alta",'Mapa final'!$O$64="Leve"),CONCATENATE("R",'Mapa final'!$A$64),"")</f>
        <v/>
      </c>
      <c r="M34" s="448"/>
      <c r="N34" s="448" t="str">
        <f ca="1">IF(AND('Mapa final'!$K$70="Alta",'Mapa final'!$O$70="Leve"),CONCATENATE("R",'Mapa final'!$A$70),"")</f>
        <v/>
      </c>
      <c r="O34" s="448"/>
      <c r="P34" s="448" t="str">
        <f ca="1">IF(AND('Mapa final'!$K$73="Alta",'Mapa final'!$O$73="Leve"),CONCATENATE("R",'Mapa final'!$A$73),"")</f>
        <v/>
      </c>
      <c r="Q34" s="448"/>
      <c r="R34" s="448" t="str">
        <f ca="1">IF(AND('Mapa final'!$K$76="Alta",'Mapa final'!$O$76="Leve"),CONCATENATE("R",'Mapa final'!$A$76),"")</f>
        <v/>
      </c>
      <c r="S34" s="449"/>
      <c r="T34" s="450" t="str">
        <f ca="1">IF(AND('Mapa final'!$K$61="Alta",'Mapa final'!$O$61="Menor"),CONCATENATE("R",'Mapa final'!$A$61),"")</f>
        <v/>
      </c>
      <c r="U34" s="448"/>
      <c r="V34" s="448" t="str">
        <f ca="1">IF(AND('Mapa final'!$K$64="Alta",'Mapa final'!$O$64="Menor"),CONCATENATE("R",'Mapa final'!$A$64),"")</f>
        <v/>
      </c>
      <c r="W34" s="448"/>
      <c r="X34" s="448" t="str">
        <f ca="1">IF(AND('Mapa final'!$K$70="Alta",'Mapa final'!$O$70="Menor"),CONCATENATE("R",'Mapa final'!$A$70),"")</f>
        <v/>
      </c>
      <c r="Y34" s="448"/>
      <c r="Z34" s="448" t="str">
        <f ca="1">IF(AND('Mapa final'!$K$73="Alta",'Mapa final'!$O$73="Menor"),CONCATENATE("R",'Mapa final'!$A$73),"")</f>
        <v/>
      </c>
      <c r="AA34" s="448"/>
      <c r="AB34" s="448" t="str">
        <f ca="1">IF(AND('Mapa final'!$K$76="Alta",'Mapa final'!$O$76="Menor"),CONCATENATE("R",'Mapa final'!$A$76),"")</f>
        <v/>
      </c>
      <c r="AC34" s="449"/>
      <c r="AD34" s="453" t="str">
        <f ca="1">IF(AND('Mapa final'!$K$61="Alta",'Mapa final'!$O$61="Moderado"),CONCATENATE("R",'Mapa final'!$A$61),"")</f>
        <v/>
      </c>
      <c r="AE34" s="451"/>
      <c r="AF34" s="451" t="str">
        <f ca="1">IF(AND('Mapa final'!$K$64="Alta",'Mapa final'!$O$64="Moderado"),CONCATENATE("R",'Mapa final'!$A$64),"")</f>
        <v/>
      </c>
      <c r="AG34" s="451"/>
      <c r="AH34" s="451" t="str">
        <f ca="1">IF(AND('Mapa final'!$K$70="Alta",'Mapa final'!$O$70="Moderado"),CONCATENATE("R",'Mapa final'!$A$70),"")</f>
        <v/>
      </c>
      <c r="AI34" s="451"/>
      <c r="AJ34" s="451" t="str">
        <f ca="1">IF(AND('Mapa final'!$K$73="Alta",'Mapa final'!$O$73="Moderado"),CONCATENATE("R",'Mapa final'!$A$73),"")</f>
        <v/>
      </c>
      <c r="AK34" s="451"/>
      <c r="AL34" s="451" t="str">
        <f ca="1">IF(AND('Mapa final'!$K$76="Alta",'Mapa final'!$O$76="Moderado"),CONCATENATE("R",'Mapa final'!$A$76),"")</f>
        <v/>
      </c>
      <c r="AM34" s="452"/>
      <c r="AN34" s="453" t="str">
        <f ca="1">IF(AND('Mapa final'!$K$61="Alta",'Mapa final'!$O$61="Mayor"),CONCATENATE("R",'Mapa final'!$A$61),"")</f>
        <v/>
      </c>
      <c r="AO34" s="451"/>
      <c r="AP34" s="451" t="str">
        <f ca="1">IF(AND('Mapa final'!$K$64="Alta",'Mapa final'!$O$64="Mayor"),CONCATENATE("R",'Mapa final'!$A$64),"")</f>
        <v/>
      </c>
      <c r="AQ34" s="451"/>
      <c r="AR34" s="451" t="str">
        <f ca="1">IF(AND('Mapa final'!$K$70="Alta",'Mapa final'!$O$70="Mayor"),CONCATENATE("R",'Mapa final'!$A$70),"")</f>
        <v/>
      </c>
      <c r="AS34" s="451"/>
      <c r="AT34" s="451" t="str">
        <f ca="1">IF(AND('Mapa final'!$K$73="Alta",'Mapa final'!$O$73="Mayor"),CONCATENATE("R",'Mapa final'!$A$73),"")</f>
        <v/>
      </c>
      <c r="AU34" s="451"/>
      <c r="AV34" s="451" t="str">
        <f ca="1">IF(AND('Mapa final'!$K$76="Alta",'Mapa final'!$O$76="Mayor"),CONCATENATE("R",'Mapa final'!$A$76),"")</f>
        <v/>
      </c>
      <c r="AW34" s="452"/>
      <c r="AX34" s="447" t="str">
        <f ca="1">IF(AND('Mapa final'!$K$61="Alta",'Mapa final'!$O$61="Catastrófico"),CONCATENATE("R",'Mapa final'!$A$61),"")</f>
        <v/>
      </c>
      <c r="AY34" s="445"/>
      <c r="AZ34" s="445" t="str">
        <f ca="1">IF(AND('Mapa final'!$K$64="Alta",'Mapa final'!$O$64="Catastrófico"),CONCATENATE("R",'Mapa final'!$A$64),"")</f>
        <v/>
      </c>
      <c r="BA34" s="445"/>
      <c r="BB34" s="445" t="str">
        <f ca="1">IF(AND('Mapa final'!$K$70="Alta",'Mapa final'!$O$70="Catastrófico"),CONCATENATE("R",'Mapa final'!$A$70),"")</f>
        <v/>
      </c>
      <c r="BC34" s="445"/>
      <c r="BD34" s="445" t="str">
        <f ca="1">IF(AND('Mapa final'!$K$73="Alta",'Mapa final'!$O$73="Catastrófico"),CONCATENATE("R",'Mapa final'!$A$73),"")</f>
        <v/>
      </c>
      <c r="BE34" s="445"/>
      <c r="BF34" s="445" t="str">
        <f ca="1">IF(AND('Mapa final'!$K$76="Alta",'Mapa final'!$O$76="Catastrófico"),CONCATENATE("R",'Mapa final'!$A$76),"")</f>
        <v/>
      </c>
      <c r="BG34" s="446"/>
      <c r="BH34" s="56"/>
      <c r="BI34" s="485" t="s">
        <v>74</v>
      </c>
      <c r="BJ34" s="486"/>
      <c r="BK34" s="486"/>
      <c r="BL34" s="486"/>
      <c r="BM34" s="486"/>
      <c r="BN34" s="487"/>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row>
    <row r="35" spans="1:100" ht="15" customHeight="1" x14ac:dyDescent="0.25">
      <c r="A35" s="56"/>
      <c r="B35" s="286"/>
      <c r="C35" s="286"/>
      <c r="D35" s="287"/>
      <c r="E35" s="514"/>
      <c r="F35" s="515"/>
      <c r="G35" s="515"/>
      <c r="H35" s="515"/>
      <c r="I35" s="515"/>
      <c r="J35" s="450"/>
      <c r="K35" s="448"/>
      <c r="L35" s="448"/>
      <c r="M35" s="448"/>
      <c r="N35" s="448"/>
      <c r="O35" s="448"/>
      <c r="P35" s="448"/>
      <c r="Q35" s="448"/>
      <c r="R35" s="448"/>
      <c r="S35" s="449"/>
      <c r="T35" s="450"/>
      <c r="U35" s="448"/>
      <c r="V35" s="448"/>
      <c r="W35" s="448"/>
      <c r="X35" s="448"/>
      <c r="Y35" s="448"/>
      <c r="Z35" s="448"/>
      <c r="AA35" s="448"/>
      <c r="AB35" s="448"/>
      <c r="AC35" s="449"/>
      <c r="AD35" s="453"/>
      <c r="AE35" s="451"/>
      <c r="AF35" s="451"/>
      <c r="AG35" s="451"/>
      <c r="AH35" s="451"/>
      <c r="AI35" s="451"/>
      <c r="AJ35" s="451"/>
      <c r="AK35" s="451"/>
      <c r="AL35" s="451"/>
      <c r="AM35" s="452"/>
      <c r="AN35" s="453"/>
      <c r="AO35" s="451"/>
      <c r="AP35" s="451"/>
      <c r="AQ35" s="451"/>
      <c r="AR35" s="451"/>
      <c r="AS35" s="451"/>
      <c r="AT35" s="451"/>
      <c r="AU35" s="451"/>
      <c r="AV35" s="451"/>
      <c r="AW35" s="452"/>
      <c r="AX35" s="447"/>
      <c r="AY35" s="445"/>
      <c r="AZ35" s="445"/>
      <c r="BA35" s="445"/>
      <c r="BB35" s="445"/>
      <c r="BC35" s="445"/>
      <c r="BD35" s="445"/>
      <c r="BE35" s="445"/>
      <c r="BF35" s="445"/>
      <c r="BG35" s="446"/>
      <c r="BH35" s="56"/>
      <c r="BI35" s="488"/>
      <c r="BJ35" s="489"/>
      <c r="BK35" s="489"/>
      <c r="BL35" s="489"/>
      <c r="BM35" s="489"/>
      <c r="BN35" s="490"/>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row>
    <row r="36" spans="1:100" ht="15" customHeight="1" x14ac:dyDescent="0.25">
      <c r="A36" s="56"/>
      <c r="B36" s="286"/>
      <c r="C36" s="286"/>
      <c r="D36" s="287"/>
      <c r="E36" s="514"/>
      <c r="F36" s="515"/>
      <c r="G36" s="515"/>
      <c r="H36" s="515"/>
      <c r="I36" s="515"/>
      <c r="J36" s="450" t="str">
        <f ca="1">IF(AND('Mapa final'!$K$79="Alta",'Mapa final'!$O$79="Leve"),CONCATENATE("R",'Mapa final'!$A$79),"")</f>
        <v/>
      </c>
      <c r="K36" s="448"/>
      <c r="L36" s="448" t="str">
        <f ca="1">IF(AND('Mapa final'!$K$82="Alta",'Mapa final'!$O$82="Leve"),CONCATENATE("R",'Mapa final'!$A$82),"")</f>
        <v/>
      </c>
      <c r="M36" s="448"/>
      <c r="N36" s="448" t="str">
        <f ca="1">IF(AND('Mapa final'!$K$85="Alta",'Mapa final'!$O$85="Leve"),CONCATENATE("R",'Mapa final'!$A$85),"")</f>
        <v/>
      </c>
      <c r="O36" s="448"/>
      <c r="P36" s="448" t="str">
        <f ca="1">IF(AND('Mapa final'!$K$88="Alta",'Mapa final'!$O$88="Leve"),CONCATENATE("R",'Mapa final'!$A$88),"")</f>
        <v/>
      </c>
      <c r="Q36" s="448"/>
      <c r="R36" s="448" t="str">
        <f ca="1">IF(AND('Mapa final'!$K$91="Alta",'Mapa final'!$O$91="Leve"),CONCATENATE("R",'Mapa final'!$A$91),"")</f>
        <v/>
      </c>
      <c r="S36" s="449"/>
      <c r="T36" s="450" t="str">
        <f ca="1">IF(AND('Mapa final'!$K$79="Alta",'Mapa final'!$O$79="Menor"),CONCATENATE("R",'Mapa final'!$A$79),"")</f>
        <v/>
      </c>
      <c r="U36" s="448"/>
      <c r="V36" s="448" t="str">
        <f ca="1">IF(AND('Mapa final'!$K$82="Alta",'Mapa final'!$O$82="Menor"),CONCATENATE("R",'Mapa final'!$A$82),"")</f>
        <v/>
      </c>
      <c r="W36" s="448"/>
      <c r="X36" s="448" t="str">
        <f ca="1">IF(AND('Mapa final'!$K$85="Alta",'Mapa final'!$O$85="Menor"),CONCATENATE("R",'Mapa final'!$A$85),"")</f>
        <v/>
      </c>
      <c r="Y36" s="448"/>
      <c r="Z36" s="448" t="str">
        <f ca="1">IF(AND('Mapa final'!$K$88="Alta",'Mapa final'!$O$88="Menor"),CONCATENATE("R",'Mapa final'!$A$88),"")</f>
        <v/>
      </c>
      <c r="AA36" s="448"/>
      <c r="AB36" s="448" t="str">
        <f ca="1">IF(AND('Mapa final'!$K$91="Alta",'Mapa final'!$O$91="Menor"),CONCATENATE("R",'Mapa final'!$A$91),"")</f>
        <v/>
      </c>
      <c r="AC36" s="449"/>
      <c r="AD36" s="453" t="str">
        <f ca="1">IF(AND('Mapa final'!$K$79="Alta",'Mapa final'!$O$79="Moderado"),CONCATENATE("R",'Mapa final'!$A$79),"")</f>
        <v/>
      </c>
      <c r="AE36" s="451"/>
      <c r="AF36" s="451" t="str">
        <f ca="1">IF(AND('Mapa final'!$K$82="Alta",'Mapa final'!$O$82="Moderado"),CONCATENATE("R",'Mapa final'!$A$82),"")</f>
        <v/>
      </c>
      <c r="AG36" s="451"/>
      <c r="AH36" s="451" t="str">
        <f ca="1">IF(AND('Mapa final'!$K$85="Alta",'Mapa final'!$O$85="Moderado"),CONCATENATE("R",'Mapa final'!$A$85),"")</f>
        <v/>
      </c>
      <c r="AI36" s="451"/>
      <c r="AJ36" s="451" t="str">
        <f ca="1">IF(AND('Mapa final'!$K$88="Alta",'Mapa final'!$O$88="Moderado"),CONCATENATE("R",'Mapa final'!$A$88),"")</f>
        <v/>
      </c>
      <c r="AK36" s="451"/>
      <c r="AL36" s="451" t="str">
        <f ca="1">IF(AND('Mapa final'!$K$91="Alta",'Mapa final'!$O$91="Moderado"),CONCATENATE("R",'Mapa final'!$A$91),"")</f>
        <v/>
      </c>
      <c r="AM36" s="452"/>
      <c r="AN36" s="453" t="str">
        <f ca="1">IF(AND('Mapa final'!$K$79="Alta",'Mapa final'!$O$79="Mayor"),CONCATENATE("R",'Mapa final'!$A$79),"")</f>
        <v/>
      </c>
      <c r="AO36" s="451"/>
      <c r="AP36" s="451" t="str">
        <f ca="1">IF(AND('Mapa final'!$K$82="Alta",'Mapa final'!$O$82="Mayor"),CONCATENATE("R",'Mapa final'!$A$82),"")</f>
        <v/>
      </c>
      <c r="AQ36" s="451"/>
      <c r="AR36" s="451" t="str">
        <f ca="1">IF(AND('Mapa final'!$K$85="Alta",'Mapa final'!$O$85="Mayor"),CONCATENATE("R",'Mapa final'!$A$85),"")</f>
        <v/>
      </c>
      <c r="AS36" s="451"/>
      <c r="AT36" s="451" t="str">
        <f ca="1">IF(AND('Mapa final'!$K$88="Alta",'Mapa final'!$O$88="Mayor"),CONCATENATE("R",'Mapa final'!$A$88),"")</f>
        <v/>
      </c>
      <c r="AU36" s="451"/>
      <c r="AV36" s="451" t="str">
        <f ca="1">IF(AND('Mapa final'!$K$91="Alta",'Mapa final'!$O$91="Mayor"),CONCATENATE("R",'Mapa final'!$A$91),"")</f>
        <v>R30</v>
      </c>
      <c r="AW36" s="452"/>
      <c r="AX36" s="447" t="str">
        <f ca="1">IF(AND('Mapa final'!$K$79="Alta",'Mapa final'!$O$79="Catastrófico"),CONCATENATE("R",'Mapa final'!$A$79),"")</f>
        <v/>
      </c>
      <c r="AY36" s="445"/>
      <c r="AZ36" s="445" t="str">
        <f ca="1">IF(AND('Mapa final'!$K$82="Alta",'Mapa final'!$O$82="Catastrófico"),CONCATENATE("R",'Mapa final'!$A$82),"")</f>
        <v/>
      </c>
      <c r="BA36" s="445"/>
      <c r="BB36" s="445" t="str">
        <f ca="1">IF(AND('Mapa final'!$K$85="Alta",'Mapa final'!$O$85="Catastrófico"),CONCATENATE("R",'Mapa final'!$A$85),"")</f>
        <v/>
      </c>
      <c r="BC36" s="445"/>
      <c r="BD36" s="445" t="str">
        <f ca="1">IF(AND('Mapa final'!$K$88="Alta",'Mapa final'!$O$88="Catastrófico"),CONCATENATE("R",'Mapa final'!$A$88),"")</f>
        <v/>
      </c>
      <c r="BE36" s="445"/>
      <c r="BF36" s="445" t="str">
        <f ca="1">IF(AND('Mapa final'!$K$91="Alta",'Mapa final'!$O$91="Catastrófico"),CONCATENATE("R",'Mapa final'!$A$91),"")</f>
        <v/>
      </c>
      <c r="BG36" s="446"/>
      <c r="BH36" s="56"/>
      <c r="BI36" s="488"/>
      <c r="BJ36" s="489"/>
      <c r="BK36" s="489"/>
      <c r="BL36" s="489"/>
      <c r="BM36" s="489"/>
      <c r="BN36" s="490"/>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row>
    <row r="37" spans="1:100" ht="15" customHeight="1" x14ac:dyDescent="0.25">
      <c r="A37" s="56"/>
      <c r="B37" s="286"/>
      <c r="C37" s="286"/>
      <c r="D37" s="287"/>
      <c r="E37" s="514"/>
      <c r="F37" s="515"/>
      <c r="G37" s="515"/>
      <c r="H37" s="515"/>
      <c r="I37" s="515"/>
      <c r="J37" s="450"/>
      <c r="K37" s="448"/>
      <c r="L37" s="448"/>
      <c r="M37" s="448"/>
      <c r="N37" s="448"/>
      <c r="O37" s="448"/>
      <c r="P37" s="448"/>
      <c r="Q37" s="448"/>
      <c r="R37" s="448"/>
      <c r="S37" s="449"/>
      <c r="T37" s="450"/>
      <c r="U37" s="448"/>
      <c r="V37" s="448"/>
      <c r="W37" s="448"/>
      <c r="X37" s="448"/>
      <c r="Y37" s="448"/>
      <c r="Z37" s="448"/>
      <c r="AA37" s="448"/>
      <c r="AB37" s="448"/>
      <c r="AC37" s="449"/>
      <c r="AD37" s="453"/>
      <c r="AE37" s="451"/>
      <c r="AF37" s="451"/>
      <c r="AG37" s="451"/>
      <c r="AH37" s="451"/>
      <c r="AI37" s="451"/>
      <c r="AJ37" s="451"/>
      <c r="AK37" s="451"/>
      <c r="AL37" s="451"/>
      <c r="AM37" s="452"/>
      <c r="AN37" s="453"/>
      <c r="AO37" s="451"/>
      <c r="AP37" s="451"/>
      <c r="AQ37" s="451"/>
      <c r="AR37" s="451"/>
      <c r="AS37" s="451"/>
      <c r="AT37" s="451"/>
      <c r="AU37" s="451"/>
      <c r="AV37" s="451"/>
      <c r="AW37" s="452"/>
      <c r="AX37" s="447"/>
      <c r="AY37" s="445"/>
      <c r="AZ37" s="445"/>
      <c r="BA37" s="445"/>
      <c r="BB37" s="445"/>
      <c r="BC37" s="445"/>
      <c r="BD37" s="445"/>
      <c r="BE37" s="445"/>
      <c r="BF37" s="445"/>
      <c r="BG37" s="446"/>
      <c r="BH37" s="56"/>
      <c r="BI37" s="488"/>
      <c r="BJ37" s="489"/>
      <c r="BK37" s="489"/>
      <c r="BL37" s="489"/>
      <c r="BM37" s="489"/>
      <c r="BN37" s="490"/>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row>
    <row r="38" spans="1:100" ht="15" customHeight="1" x14ac:dyDescent="0.25">
      <c r="A38" s="56"/>
      <c r="B38" s="286"/>
      <c r="C38" s="286"/>
      <c r="D38" s="287"/>
      <c r="E38" s="514"/>
      <c r="F38" s="515"/>
      <c r="G38" s="515"/>
      <c r="H38" s="515"/>
      <c r="I38" s="515"/>
      <c r="J38" s="450" t="str">
        <f ca="1">IF(AND('Mapa final'!$K$94="Alta",'Mapa final'!$O$94="Leve"),CONCATENATE("R",'Mapa final'!$A$94),"")</f>
        <v/>
      </c>
      <c r="K38" s="448"/>
      <c r="L38" s="448" t="e">
        <f>IF(AND('Mapa final'!#REF!="Alta",'Mapa final'!#REF!="Leve"),CONCATENATE("R",'Mapa final'!#REF!),"")</f>
        <v>#REF!</v>
      </c>
      <c r="M38" s="448"/>
      <c r="N38" s="448" t="str">
        <f>IF(AND('Mapa final'!$K$97="Alta",'Mapa final'!$O$97="Leve"),CONCATENATE("R",'Mapa final'!$A$97),"")</f>
        <v/>
      </c>
      <c r="O38" s="448"/>
      <c r="P38" s="448" t="str">
        <f ca="1">IF(AND('Mapa final'!$K$100="Alta",'Mapa final'!$O$100="Leve"),CONCATENATE("R",'Mapa final'!$A$100),"")</f>
        <v/>
      </c>
      <c r="Q38" s="448"/>
      <c r="R38" s="448" t="str">
        <f ca="1">IF(AND('Mapa final'!$K$103="Alta",'Mapa final'!$O$103="Leve"),CONCATENATE("R",'Mapa final'!$A$103),"")</f>
        <v/>
      </c>
      <c r="S38" s="449"/>
      <c r="T38" s="450" t="str">
        <f ca="1">IF(AND('Mapa final'!$K$94="Alta",'Mapa final'!$O$94="Menor"),CONCATENATE("R",'Mapa final'!$A$94),"")</f>
        <v/>
      </c>
      <c r="U38" s="448"/>
      <c r="V38" s="448" t="e">
        <f>IF(AND('Mapa final'!#REF!="Alta",'Mapa final'!#REF!="Menor"),CONCATENATE("R",'Mapa final'!#REF!),"")</f>
        <v>#REF!</v>
      </c>
      <c r="W38" s="448"/>
      <c r="X38" s="448" t="str">
        <f>IF(AND('Mapa final'!$K$97="Alta",'Mapa final'!$O$97="Menor"),CONCATENATE("R",'Mapa final'!$A$97),"")</f>
        <v/>
      </c>
      <c r="Y38" s="448"/>
      <c r="Z38" s="448" t="str">
        <f ca="1">IF(AND('Mapa final'!$K$100="Alta",'Mapa final'!$O$100="Menor"),CONCATENATE("R",'Mapa final'!$A$100),"")</f>
        <v/>
      </c>
      <c r="AA38" s="448"/>
      <c r="AB38" s="448" t="str">
        <f ca="1">IF(AND('Mapa final'!$K$103="Alta",'Mapa final'!$O$103="Menor"),CONCATENATE("R",'Mapa final'!$A$103),"")</f>
        <v/>
      </c>
      <c r="AC38" s="449"/>
      <c r="AD38" s="453" t="str">
        <f ca="1">IF(AND('Mapa final'!$K$94="Alta",'Mapa final'!$O$94="Moderado"),CONCATENATE("R",'Mapa final'!$A$94),"")</f>
        <v/>
      </c>
      <c r="AE38" s="451"/>
      <c r="AF38" s="451" t="e">
        <f>IF(AND('Mapa final'!#REF!="Alta",'Mapa final'!#REF!="Moderado"),CONCATENATE("R",'Mapa final'!#REF!),"")</f>
        <v>#REF!</v>
      </c>
      <c r="AG38" s="451"/>
      <c r="AH38" s="451" t="str">
        <f>IF(AND('Mapa final'!$K$97="Alta",'Mapa final'!$O$97="Moderado"),CONCATENATE("R",'Mapa final'!$A$97),"")</f>
        <v>R32</v>
      </c>
      <c r="AI38" s="451"/>
      <c r="AJ38" s="451" t="str">
        <f ca="1">IF(AND('Mapa final'!$K$100="Alta",'Mapa final'!$O$100="Moderado"),CONCATENATE("R",'Mapa final'!$A$100),"")</f>
        <v/>
      </c>
      <c r="AK38" s="451"/>
      <c r="AL38" s="451" t="str">
        <f ca="1">IF(AND('Mapa final'!$K$103="Alta",'Mapa final'!$O$103="Moderado"),CONCATENATE("R",'Mapa final'!$A$103),"")</f>
        <v/>
      </c>
      <c r="AM38" s="452"/>
      <c r="AN38" s="453" t="str">
        <f ca="1">IF(AND('Mapa final'!$K$94="Alta",'Mapa final'!$O$94="Mayor"),CONCATENATE("R",'Mapa final'!$A$94),"")</f>
        <v/>
      </c>
      <c r="AO38" s="451"/>
      <c r="AP38" s="451" t="e">
        <f>IF(AND('Mapa final'!#REF!="Alta",'Mapa final'!#REF!="Mayor"),CONCATENATE("R",'Mapa final'!#REF!),"")</f>
        <v>#REF!</v>
      </c>
      <c r="AQ38" s="451"/>
      <c r="AR38" s="451" t="str">
        <f>IF(AND('Mapa final'!$K$97="Alta",'Mapa final'!$O$97="Mayor"),CONCATENATE("R",'Mapa final'!$A$97),"")</f>
        <v/>
      </c>
      <c r="AS38" s="451"/>
      <c r="AT38" s="451" t="str">
        <f ca="1">IF(AND('Mapa final'!$K$100="Alta",'Mapa final'!$O$100="Mayor"),CONCATENATE("R",'Mapa final'!$A$100),"")</f>
        <v/>
      </c>
      <c r="AU38" s="451"/>
      <c r="AV38" s="451" t="str">
        <f ca="1">IF(AND('Mapa final'!$K$103="Alta",'Mapa final'!$O$103="Mayor"),CONCATENATE("R",'Mapa final'!$A$103),"")</f>
        <v/>
      </c>
      <c r="AW38" s="452"/>
      <c r="AX38" s="447" t="str">
        <f ca="1">IF(AND('Mapa final'!$K$94="Alta",'Mapa final'!$O$94="Catastrófico"),CONCATENATE("R",'Mapa final'!$A$94),"")</f>
        <v/>
      </c>
      <c r="AY38" s="445"/>
      <c r="AZ38" s="445" t="e">
        <f>IF(AND('Mapa final'!#REF!="Alta",'Mapa final'!#REF!="Catastrófico"),CONCATENATE("R",'Mapa final'!#REF!),"")</f>
        <v>#REF!</v>
      </c>
      <c r="BA38" s="445"/>
      <c r="BB38" s="445" t="str">
        <f>IF(AND('Mapa final'!$K$97="Alta",'Mapa final'!$O$97="Catastrófico"),CONCATENATE("R",'Mapa final'!$A$97),"")</f>
        <v/>
      </c>
      <c r="BC38" s="445"/>
      <c r="BD38" s="445" t="str">
        <f ca="1">IF(AND('Mapa final'!$K$100="Alta",'Mapa final'!$O$100="Catastrófico"),CONCATENATE("R",'Mapa final'!$A$100),"")</f>
        <v/>
      </c>
      <c r="BE38" s="445"/>
      <c r="BF38" s="445" t="str">
        <f ca="1">IF(AND('Mapa final'!$K$103="Alta",'Mapa final'!$O$103="Catastrófico"),CONCATENATE("R",'Mapa final'!$A$103),"")</f>
        <v/>
      </c>
      <c r="BG38" s="446"/>
      <c r="BH38" s="56"/>
      <c r="BI38" s="488"/>
      <c r="BJ38" s="489"/>
      <c r="BK38" s="489"/>
      <c r="BL38" s="489"/>
      <c r="BM38" s="489"/>
      <c r="BN38" s="490"/>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row>
    <row r="39" spans="1:100" ht="15" customHeight="1" x14ac:dyDescent="0.25">
      <c r="A39" s="56"/>
      <c r="B39" s="286"/>
      <c r="C39" s="286"/>
      <c r="D39" s="287"/>
      <c r="E39" s="514"/>
      <c r="F39" s="515"/>
      <c r="G39" s="515"/>
      <c r="H39" s="515"/>
      <c r="I39" s="515"/>
      <c r="J39" s="450"/>
      <c r="K39" s="448"/>
      <c r="L39" s="448"/>
      <c r="M39" s="448"/>
      <c r="N39" s="448"/>
      <c r="O39" s="448"/>
      <c r="P39" s="448"/>
      <c r="Q39" s="448"/>
      <c r="R39" s="448"/>
      <c r="S39" s="449"/>
      <c r="T39" s="450"/>
      <c r="U39" s="448"/>
      <c r="V39" s="448"/>
      <c r="W39" s="448"/>
      <c r="X39" s="448"/>
      <c r="Y39" s="448"/>
      <c r="Z39" s="448"/>
      <c r="AA39" s="448"/>
      <c r="AB39" s="448"/>
      <c r="AC39" s="449"/>
      <c r="AD39" s="453"/>
      <c r="AE39" s="451"/>
      <c r="AF39" s="451"/>
      <c r="AG39" s="451"/>
      <c r="AH39" s="451"/>
      <c r="AI39" s="451"/>
      <c r="AJ39" s="451"/>
      <c r="AK39" s="451"/>
      <c r="AL39" s="451"/>
      <c r="AM39" s="452"/>
      <c r="AN39" s="453"/>
      <c r="AO39" s="451"/>
      <c r="AP39" s="451"/>
      <c r="AQ39" s="451"/>
      <c r="AR39" s="451"/>
      <c r="AS39" s="451"/>
      <c r="AT39" s="451"/>
      <c r="AU39" s="451"/>
      <c r="AV39" s="451"/>
      <c r="AW39" s="452"/>
      <c r="AX39" s="447"/>
      <c r="AY39" s="445"/>
      <c r="AZ39" s="445"/>
      <c r="BA39" s="445"/>
      <c r="BB39" s="445"/>
      <c r="BC39" s="445"/>
      <c r="BD39" s="445"/>
      <c r="BE39" s="445"/>
      <c r="BF39" s="445"/>
      <c r="BG39" s="446"/>
      <c r="BH39" s="56"/>
      <c r="BI39" s="488"/>
      <c r="BJ39" s="489"/>
      <c r="BK39" s="489"/>
      <c r="BL39" s="489"/>
      <c r="BM39" s="489"/>
      <c r="BN39" s="490"/>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row>
    <row r="40" spans="1:100" ht="15" customHeight="1" x14ac:dyDescent="0.25">
      <c r="A40" s="56"/>
      <c r="B40" s="286"/>
      <c r="C40" s="286"/>
      <c r="D40" s="287"/>
      <c r="E40" s="514"/>
      <c r="F40" s="515"/>
      <c r="G40" s="515"/>
      <c r="H40" s="515"/>
      <c r="I40" s="515"/>
      <c r="J40" s="450" t="str">
        <f ca="1">IF(AND('Mapa final'!$K$106="Alta",'Mapa final'!$O$106="Leve"),CONCATENATE("R",'Mapa final'!$A$106),"")</f>
        <v/>
      </c>
      <c r="K40" s="448"/>
      <c r="L40" s="448" t="str">
        <f ca="1">IF(AND('Mapa final'!$K$109="Alta",'Mapa final'!$O$109="Leve"),CONCATENATE("R",'Mapa final'!$A$109),"")</f>
        <v/>
      </c>
      <c r="M40" s="448"/>
      <c r="N40" s="448" t="str">
        <f ca="1">IF(AND('Mapa final'!$K$112="Alta",'Mapa final'!$O$112="Leve"),CONCATENATE("R",'Mapa final'!$A$112),"")</f>
        <v/>
      </c>
      <c r="O40" s="448"/>
      <c r="P40" s="448" t="str">
        <f ca="1">IF(AND('Mapa final'!$K$115="Alta",'Mapa final'!$O$115="Leve"),CONCATENATE("R",'Mapa final'!$A$115),"")</f>
        <v/>
      </c>
      <c r="Q40" s="448"/>
      <c r="R40" s="448" t="str">
        <f ca="1">IF(AND('Mapa final'!$K$118="Alta",'Mapa final'!$O$118="Leve"),CONCATENATE("R",'Mapa final'!$A$118),"")</f>
        <v/>
      </c>
      <c r="S40" s="449"/>
      <c r="T40" s="450" t="str">
        <f ca="1">IF(AND('Mapa final'!$K$106="Alta",'Mapa final'!$O$106="Menor"),CONCATENATE("R",'Mapa final'!$A$106),"")</f>
        <v/>
      </c>
      <c r="U40" s="448"/>
      <c r="V40" s="448" t="str">
        <f ca="1">IF(AND('Mapa final'!$K$109="Alta",'Mapa final'!$O$109="Menor"),CONCATENATE("R",'Mapa final'!$A$109),"")</f>
        <v/>
      </c>
      <c r="W40" s="448"/>
      <c r="X40" s="448" t="str">
        <f ca="1">IF(AND('Mapa final'!$K$112="Alta",'Mapa final'!$O$112="Menor"),CONCATENATE("R",'Mapa final'!$A$112),"")</f>
        <v/>
      </c>
      <c r="Y40" s="448"/>
      <c r="Z40" s="448" t="str">
        <f ca="1">IF(AND('Mapa final'!$K$115="Alta",'Mapa final'!$O$115="Menor"),CONCATENATE("R",'Mapa final'!$A$115),"")</f>
        <v/>
      </c>
      <c r="AA40" s="448"/>
      <c r="AB40" s="448" t="str">
        <f ca="1">IF(AND('Mapa final'!$K$118="Alta",'Mapa final'!$O$118="Menor"),CONCATENATE("R",'Mapa final'!$A$118),"")</f>
        <v/>
      </c>
      <c r="AC40" s="449"/>
      <c r="AD40" s="453" t="str">
        <f ca="1">IF(AND('Mapa final'!$K$106="Alta",'Mapa final'!$O$106="Moderado"),CONCATENATE("R",'Mapa final'!$A$106),"")</f>
        <v/>
      </c>
      <c r="AE40" s="451"/>
      <c r="AF40" s="451" t="str">
        <f ca="1">IF(AND('Mapa final'!$K$109="Alta",'Mapa final'!$O$109="Moderado"),CONCATENATE("R",'Mapa final'!$A$109),"")</f>
        <v/>
      </c>
      <c r="AG40" s="451"/>
      <c r="AH40" s="451" t="str">
        <f ca="1">IF(AND('Mapa final'!$K$112="Alta",'Mapa final'!$O$112="Moderado"),CONCATENATE("R",'Mapa final'!$A$112),"")</f>
        <v/>
      </c>
      <c r="AI40" s="451"/>
      <c r="AJ40" s="451" t="str">
        <f ca="1">IF(AND('Mapa final'!$K$115="Alta",'Mapa final'!$O$115="Moderado"),CONCATENATE("R",'Mapa final'!$A$115),"")</f>
        <v>R38</v>
      </c>
      <c r="AK40" s="451"/>
      <c r="AL40" s="451" t="str">
        <f ca="1">IF(AND('Mapa final'!$K$118="Alta",'Mapa final'!$O$118="Moderado"),CONCATENATE("R",'Mapa final'!$A$118),"")</f>
        <v/>
      </c>
      <c r="AM40" s="452"/>
      <c r="AN40" s="453" t="str">
        <f ca="1">IF(AND('Mapa final'!$K$106="Alta",'Mapa final'!$O$106="Mayor"),CONCATENATE("R",'Mapa final'!$A$106),"")</f>
        <v/>
      </c>
      <c r="AO40" s="451"/>
      <c r="AP40" s="451" t="str">
        <f ca="1">IF(AND('Mapa final'!$K$109="Alta",'Mapa final'!$O$109="Mayor"),CONCATENATE("R",'Mapa final'!$A$109),"")</f>
        <v/>
      </c>
      <c r="AQ40" s="451"/>
      <c r="AR40" s="451" t="str">
        <f ca="1">IF(AND('Mapa final'!$K$112="Alta",'Mapa final'!$O$112="Mayor"),CONCATENATE("R",'Mapa final'!$A$112),"")</f>
        <v/>
      </c>
      <c r="AS40" s="451"/>
      <c r="AT40" s="451" t="str">
        <f ca="1">IF(AND('Mapa final'!$K$115="Alta",'Mapa final'!$O$115="Mayor"),CONCATENATE("R",'Mapa final'!$A$115),"")</f>
        <v/>
      </c>
      <c r="AU40" s="451"/>
      <c r="AV40" s="451" t="str">
        <f ca="1">IF(AND('Mapa final'!$K$118="Alta",'Mapa final'!$O$118="Mayor"),CONCATENATE("R",'Mapa final'!$A$118),"")</f>
        <v/>
      </c>
      <c r="AW40" s="452"/>
      <c r="AX40" s="447" t="str">
        <f ca="1">IF(AND('Mapa final'!$K$106="Alta",'Mapa final'!$O$106="Catastrófico"),CONCATENATE("R",'Mapa final'!$A$106),"")</f>
        <v/>
      </c>
      <c r="AY40" s="445"/>
      <c r="AZ40" s="445" t="str">
        <f ca="1">IF(AND('Mapa final'!$K$109="Alta",'Mapa final'!$O$109="Catastrófico"),CONCATENATE("R",'Mapa final'!$A$109),"")</f>
        <v/>
      </c>
      <c r="BA40" s="445"/>
      <c r="BB40" s="445" t="str">
        <f ca="1">IF(AND('Mapa final'!$K$112="Alta",'Mapa final'!$O$112="Catastrófico"),CONCATENATE("R",'Mapa final'!$A$112),"")</f>
        <v/>
      </c>
      <c r="BC40" s="445"/>
      <c r="BD40" s="445" t="str">
        <f ca="1">IF(AND('Mapa final'!$K$115="Alta",'Mapa final'!$O$115="Catastrófico"),CONCATENATE("R",'Mapa final'!$A$115),"")</f>
        <v/>
      </c>
      <c r="BE40" s="445"/>
      <c r="BF40" s="445" t="str">
        <f ca="1">IF(AND('Mapa final'!$K$118="Alta",'Mapa final'!$O$118="Catastrófico"),CONCATENATE("R",'Mapa final'!$A$118),"")</f>
        <v/>
      </c>
      <c r="BG40" s="446"/>
      <c r="BH40" s="56"/>
      <c r="BI40" s="488"/>
      <c r="BJ40" s="489"/>
      <c r="BK40" s="489"/>
      <c r="BL40" s="489"/>
      <c r="BM40" s="489"/>
      <c r="BN40" s="490"/>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row>
    <row r="41" spans="1:100" ht="15" customHeight="1" x14ac:dyDescent="0.25">
      <c r="A41" s="56"/>
      <c r="B41" s="286"/>
      <c r="C41" s="286"/>
      <c r="D41" s="287"/>
      <c r="E41" s="514"/>
      <c r="F41" s="515"/>
      <c r="G41" s="515"/>
      <c r="H41" s="515"/>
      <c r="I41" s="515"/>
      <c r="J41" s="450"/>
      <c r="K41" s="448"/>
      <c r="L41" s="448"/>
      <c r="M41" s="448"/>
      <c r="N41" s="448"/>
      <c r="O41" s="448"/>
      <c r="P41" s="448"/>
      <c r="Q41" s="448"/>
      <c r="R41" s="448"/>
      <c r="S41" s="449"/>
      <c r="T41" s="450"/>
      <c r="U41" s="448"/>
      <c r="V41" s="448"/>
      <c r="W41" s="448"/>
      <c r="X41" s="448"/>
      <c r="Y41" s="448"/>
      <c r="Z41" s="448"/>
      <c r="AA41" s="448"/>
      <c r="AB41" s="448"/>
      <c r="AC41" s="449"/>
      <c r="AD41" s="453"/>
      <c r="AE41" s="451"/>
      <c r="AF41" s="451"/>
      <c r="AG41" s="451"/>
      <c r="AH41" s="451"/>
      <c r="AI41" s="451"/>
      <c r="AJ41" s="451"/>
      <c r="AK41" s="451"/>
      <c r="AL41" s="451"/>
      <c r="AM41" s="452"/>
      <c r="AN41" s="453"/>
      <c r="AO41" s="451"/>
      <c r="AP41" s="451"/>
      <c r="AQ41" s="451"/>
      <c r="AR41" s="451"/>
      <c r="AS41" s="451"/>
      <c r="AT41" s="451"/>
      <c r="AU41" s="451"/>
      <c r="AV41" s="451"/>
      <c r="AW41" s="452"/>
      <c r="AX41" s="447"/>
      <c r="AY41" s="445"/>
      <c r="AZ41" s="445"/>
      <c r="BA41" s="445"/>
      <c r="BB41" s="445"/>
      <c r="BC41" s="445"/>
      <c r="BD41" s="445"/>
      <c r="BE41" s="445"/>
      <c r="BF41" s="445"/>
      <c r="BG41" s="446"/>
      <c r="BH41" s="56"/>
      <c r="BI41" s="488"/>
      <c r="BJ41" s="489"/>
      <c r="BK41" s="489"/>
      <c r="BL41" s="489"/>
      <c r="BM41" s="489"/>
      <c r="BN41" s="490"/>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row>
    <row r="42" spans="1:100" ht="15" customHeight="1" x14ac:dyDescent="0.25">
      <c r="A42" s="56"/>
      <c r="B42" s="286"/>
      <c r="C42" s="286"/>
      <c r="D42" s="287"/>
      <c r="E42" s="514"/>
      <c r="F42" s="515"/>
      <c r="G42" s="515"/>
      <c r="H42" s="515"/>
      <c r="I42" s="515"/>
      <c r="J42" s="450" t="str">
        <f ca="1">IF(AND('Mapa final'!$K$121="Alta",'Mapa final'!$O$121="Leve"),CONCATENATE("R",'Mapa final'!$A$121),"")</f>
        <v/>
      </c>
      <c r="K42" s="448"/>
      <c r="L42" s="448" t="str">
        <f ca="1">IF(AND('Mapa final'!$K$124="Alta",'Mapa final'!$O$124="Leve"),CONCATENATE("R",'Mapa final'!$A$124),"")</f>
        <v/>
      </c>
      <c r="M42" s="448"/>
      <c r="N42" s="448" t="str">
        <f ca="1">IF(AND('Mapa final'!$K$127="Alta",'Mapa final'!$O$127="Leve"),CONCATENATE("R",'Mapa final'!$A$127),"")</f>
        <v/>
      </c>
      <c r="O42" s="448"/>
      <c r="P42" s="448" t="str">
        <f ca="1">IF(AND('Mapa final'!$K$130="Alta",'Mapa final'!$O$130="Leve"),CONCATENATE("R",'Mapa final'!$A$130),"")</f>
        <v/>
      </c>
      <c r="Q42" s="448"/>
      <c r="R42" s="448" t="str">
        <f ca="1">IF(AND('Mapa final'!$K$133="Alta",'Mapa final'!$O$133="Leve"),CONCATENATE("R",'Mapa final'!$A$133),"")</f>
        <v/>
      </c>
      <c r="S42" s="449"/>
      <c r="T42" s="450" t="str">
        <f ca="1">IF(AND('Mapa final'!$K$121="Alta",'Mapa final'!$O$121="Menor"),CONCATENATE("R",'Mapa final'!$A$121),"")</f>
        <v/>
      </c>
      <c r="U42" s="448"/>
      <c r="V42" s="448" t="str">
        <f ca="1">IF(AND('Mapa final'!$K$124="Alta",'Mapa final'!$O$124="Menor"),CONCATENATE("R",'Mapa final'!$A$124),"")</f>
        <v/>
      </c>
      <c r="W42" s="448"/>
      <c r="X42" s="448" t="str">
        <f ca="1">IF(AND('Mapa final'!$K$127="Alta",'Mapa final'!$O$127="Menor"),CONCATENATE("R",'Mapa final'!$A$127),"")</f>
        <v/>
      </c>
      <c r="Y42" s="448"/>
      <c r="Z42" s="448" t="str">
        <f ca="1">IF(AND('Mapa final'!$K$130="Alta",'Mapa final'!$O$130="Menor"),CONCATENATE("R",'Mapa final'!$A$130),"")</f>
        <v/>
      </c>
      <c r="AA42" s="448"/>
      <c r="AB42" s="448" t="str">
        <f ca="1">IF(AND('Mapa final'!$K$133="Alta",'Mapa final'!$O$133="Menor"),CONCATENATE("R",'Mapa final'!$A$133),"")</f>
        <v/>
      </c>
      <c r="AC42" s="449"/>
      <c r="AD42" s="453" t="str">
        <f ca="1">IF(AND('Mapa final'!$K$121="Alta",'Mapa final'!$O$121="Moderado"),CONCATENATE("R",'Mapa final'!$A$121),"")</f>
        <v/>
      </c>
      <c r="AE42" s="451"/>
      <c r="AF42" s="451" t="str">
        <f ca="1">IF(AND('Mapa final'!$K$124="Alta",'Mapa final'!$O$124="Moderado"),CONCATENATE("R",'Mapa final'!$A$124),"")</f>
        <v/>
      </c>
      <c r="AG42" s="451"/>
      <c r="AH42" s="451" t="str">
        <f ca="1">IF(AND('Mapa final'!$K$127="Alta",'Mapa final'!$O$127="Moderado"),CONCATENATE("R",'Mapa final'!$A$127),"")</f>
        <v/>
      </c>
      <c r="AI42" s="451"/>
      <c r="AJ42" s="451" t="str">
        <f ca="1">IF(AND('Mapa final'!$K$130="Alta",'Mapa final'!$O$130="Moderado"),CONCATENATE("R",'Mapa final'!$A$130),"")</f>
        <v/>
      </c>
      <c r="AK42" s="451"/>
      <c r="AL42" s="451" t="str">
        <f ca="1">IF(AND('Mapa final'!$K$133="Alta",'Mapa final'!$O$133="Moderado"),CONCATENATE("R",'Mapa final'!$A$133),"")</f>
        <v/>
      </c>
      <c r="AM42" s="452"/>
      <c r="AN42" s="453" t="str">
        <f ca="1">IF(AND('Mapa final'!$K$121="Alta",'Mapa final'!$O$121="Mayor"),CONCATENATE("R",'Mapa final'!$A$121),"")</f>
        <v/>
      </c>
      <c r="AO42" s="451"/>
      <c r="AP42" s="451" t="str">
        <f ca="1">IF(AND('Mapa final'!$K$124="Alta",'Mapa final'!$O$124="Mayor"),CONCATENATE("R",'Mapa final'!$A$124),"")</f>
        <v/>
      </c>
      <c r="AQ42" s="451"/>
      <c r="AR42" s="451" t="str">
        <f ca="1">IF(AND('Mapa final'!$K$127="Alta",'Mapa final'!$O$127="Mayor"),CONCATENATE("R",'Mapa final'!$A$127),"")</f>
        <v/>
      </c>
      <c r="AS42" s="451"/>
      <c r="AT42" s="451" t="str">
        <f ca="1">IF(AND('Mapa final'!$K$130="Alta",'Mapa final'!$O$130="Mayor"),CONCATENATE("R",'Mapa final'!$A$130),"")</f>
        <v/>
      </c>
      <c r="AU42" s="451"/>
      <c r="AV42" s="451" t="str">
        <f ca="1">IF(AND('Mapa final'!$K$133="Alta",'Mapa final'!$O$133="Mayor"),CONCATENATE("R",'Mapa final'!$A$133),"")</f>
        <v/>
      </c>
      <c r="AW42" s="452"/>
      <c r="AX42" s="447" t="str">
        <f ca="1">IF(AND('Mapa final'!$K$121="Alta",'Mapa final'!$O$121="Catastrófico"),CONCATENATE("R",'Mapa final'!$A$121),"")</f>
        <v/>
      </c>
      <c r="AY42" s="445"/>
      <c r="AZ42" s="445" t="str">
        <f ca="1">IF(AND('Mapa final'!$K$124="Alta",'Mapa final'!$O$124="Catastrófico"),CONCATENATE("R",'Mapa final'!$A$124),"")</f>
        <v/>
      </c>
      <c r="BA42" s="445"/>
      <c r="BB42" s="445" t="str">
        <f ca="1">IF(AND('Mapa final'!$K$127="Alta",'Mapa final'!$O$127="Catastrófico"),CONCATENATE("R",'Mapa final'!$A$127),"")</f>
        <v/>
      </c>
      <c r="BC42" s="445"/>
      <c r="BD42" s="445" t="str">
        <f ca="1">IF(AND('Mapa final'!$K$130="Alta",'Mapa final'!$O$130="Catastrófico"),CONCATENATE("R",'Mapa final'!$A$130),"")</f>
        <v/>
      </c>
      <c r="BE42" s="445"/>
      <c r="BF42" s="445" t="str">
        <f ca="1">IF(AND('Mapa final'!$K$133="Alta",'Mapa final'!$O$133="Catastrófico"),CONCATENATE("R",'Mapa final'!$A$133),"")</f>
        <v/>
      </c>
      <c r="BG42" s="446"/>
      <c r="BH42" s="56"/>
      <c r="BI42" s="488"/>
      <c r="BJ42" s="489"/>
      <c r="BK42" s="489"/>
      <c r="BL42" s="489"/>
      <c r="BM42" s="489"/>
      <c r="BN42" s="490"/>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row>
    <row r="43" spans="1:100" ht="15" customHeight="1" x14ac:dyDescent="0.25">
      <c r="A43" s="56"/>
      <c r="B43" s="286"/>
      <c r="C43" s="286"/>
      <c r="D43" s="287"/>
      <c r="E43" s="514"/>
      <c r="F43" s="515"/>
      <c r="G43" s="515"/>
      <c r="H43" s="515"/>
      <c r="I43" s="515"/>
      <c r="J43" s="450"/>
      <c r="K43" s="448"/>
      <c r="L43" s="448"/>
      <c r="M43" s="448"/>
      <c r="N43" s="448"/>
      <c r="O43" s="448"/>
      <c r="P43" s="448"/>
      <c r="Q43" s="448"/>
      <c r="R43" s="448"/>
      <c r="S43" s="449"/>
      <c r="T43" s="450"/>
      <c r="U43" s="448"/>
      <c r="V43" s="448"/>
      <c r="W43" s="448"/>
      <c r="X43" s="448"/>
      <c r="Y43" s="448"/>
      <c r="Z43" s="448"/>
      <c r="AA43" s="448"/>
      <c r="AB43" s="448"/>
      <c r="AC43" s="449"/>
      <c r="AD43" s="453"/>
      <c r="AE43" s="451"/>
      <c r="AF43" s="451"/>
      <c r="AG43" s="451"/>
      <c r="AH43" s="451"/>
      <c r="AI43" s="451"/>
      <c r="AJ43" s="451"/>
      <c r="AK43" s="451"/>
      <c r="AL43" s="451"/>
      <c r="AM43" s="452"/>
      <c r="AN43" s="453"/>
      <c r="AO43" s="451"/>
      <c r="AP43" s="451"/>
      <c r="AQ43" s="451"/>
      <c r="AR43" s="451"/>
      <c r="AS43" s="451"/>
      <c r="AT43" s="451"/>
      <c r="AU43" s="451"/>
      <c r="AV43" s="451"/>
      <c r="AW43" s="452"/>
      <c r="AX43" s="447"/>
      <c r="AY43" s="445"/>
      <c r="AZ43" s="445"/>
      <c r="BA43" s="445"/>
      <c r="BB43" s="445"/>
      <c r="BC43" s="445"/>
      <c r="BD43" s="445"/>
      <c r="BE43" s="445"/>
      <c r="BF43" s="445"/>
      <c r="BG43" s="446"/>
      <c r="BH43" s="56"/>
      <c r="BI43" s="488"/>
      <c r="BJ43" s="489"/>
      <c r="BK43" s="489"/>
      <c r="BL43" s="489"/>
      <c r="BM43" s="489"/>
      <c r="BN43" s="490"/>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row>
    <row r="44" spans="1:100" ht="15" customHeight="1" x14ac:dyDescent="0.25">
      <c r="A44" s="56"/>
      <c r="B44" s="286"/>
      <c r="C44" s="286"/>
      <c r="D44" s="287"/>
      <c r="E44" s="514"/>
      <c r="F44" s="515"/>
      <c r="G44" s="515"/>
      <c r="H44" s="515"/>
      <c r="I44" s="515"/>
      <c r="J44" s="450" t="str">
        <f ca="1">IF(AND('Mapa final'!$K$136="Alta",'Mapa final'!$O$136="Leve"),CONCATENATE("R",'Mapa final'!$A$136),"")</f>
        <v/>
      </c>
      <c r="K44" s="448"/>
      <c r="L44" s="448" t="str">
        <f ca="1">IF(AND('Mapa final'!$K$139="Alta",'Mapa final'!$O$139="Leve"),CONCATENATE("R",'Mapa final'!$A$139),"")</f>
        <v/>
      </c>
      <c r="M44" s="448"/>
      <c r="N44" s="448" t="str">
        <f ca="1">IF(AND('Mapa final'!$K$142="Alta",'Mapa final'!$O$142="Leve"),CONCATENATE("R",'Mapa final'!$A$142),"")</f>
        <v/>
      </c>
      <c r="O44" s="448"/>
      <c r="P44" s="448" t="str">
        <f ca="1">IF(AND('Mapa final'!$K$145="Alta",'Mapa final'!$O$145="Leve"),CONCATENATE("R",'Mapa final'!$A$145),"")</f>
        <v/>
      </c>
      <c r="Q44" s="448"/>
      <c r="R44" s="448" t="str">
        <f ca="1">IF(AND('Mapa final'!$K$148="Alta",'Mapa final'!$O$148="Leve"),CONCATENATE("R",'Mapa final'!$A$148),"")</f>
        <v/>
      </c>
      <c r="S44" s="449"/>
      <c r="T44" s="450" t="str">
        <f ca="1">IF(AND('Mapa final'!$K$136="Alta",'Mapa final'!$O$136="Menor"),CONCATENATE("R",'Mapa final'!$A$136),"")</f>
        <v/>
      </c>
      <c r="U44" s="448"/>
      <c r="V44" s="448" t="str">
        <f ca="1">IF(AND('Mapa final'!$K$139="Alta",'Mapa final'!$O$139="Menor"),CONCATENATE("R",'Mapa final'!$A$139),"")</f>
        <v/>
      </c>
      <c r="W44" s="448"/>
      <c r="X44" s="448" t="str">
        <f ca="1">IF(AND('Mapa final'!$K$142="Alta",'Mapa final'!$O$142="Menor"),CONCATENATE("R",'Mapa final'!$A$142),"")</f>
        <v/>
      </c>
      <c r="Y44" s="448"/>
      <c r="Z44" s="448" t="str">
        <f ca="1">IF(AND('Mapa final'!$K$145="Alta",'Mapa final'!$O$145="Menor"),CONCATENATE("R",'Mapa final'!$A$145),"")</f>
        <v/>
      </c>
      <c r="AA44" s="448"/>
      <c r="AB44" s="448" t="str">
        <f ca="1">IF(AND('Mapa final'!$K$148="Alta",'Mapa final'!$O$148="Menor"),CONCATENATE("R",'Mapa final'!$A$148),"")</f>
        <v/>
      </c>
      <c r="AC44" s="449"/>
      <c r="AD44" s="453" t="str">
        <f ca="1">IF(AND('Mapa final'!$K$136="Alta",'Mapa final'!$O$136="Moderado"),CONCATENATE("R",'Mapa final'!$A$136),"")</f>
        <v/>
      </c>
      <c r="AE44" s="451"/>
      <c r="AF44" s="451" t="str">
        <f ca="1">IF(AND('Mapa final'!$K$139="Alta",'Mapa final'!$O$139="Moderado"),CONCATENATE("R",'Mapa final'!$A$139),"")</f>
        <v/>
      </c>
      <c r="AG44" s="451"/>
      <c r="AH44" s="451" t="str">
        <f ca="1">IF(AND('Mapa final'!$K$142="Alta",'Mapa final'!$O$142="Moderado"),CONCATENATE("R",'Mapa final'!$A$142),"")</f>
        <v/>
      </c>
      <c r="AI44" s="451"/>
      <c r="AJ44" s="451" t="str">
        <f ca="1">IF(AND('Mapa final'!$K$145="Alta",'Mapa final'!$O$145="Moderado"),CONCATENATE("R",'Mapa final'!$A$145),"")</f>
        <v/>
      </c>
      <c r="AK44" s="451"/>
      <c r="AL44" s="451" t="str">
        <f ca="1">IF(AND('Mapa final'!$K$148="Alta",'Mapa final'!$O$148="Moderado"),CONCATENATE("R",'Mapa final'!$A$148),"")</f>
        <v/>
      </c>
      <c r="AM44" s="452"/>
      <c r="AN44" s="453" t="str">
        <f ca="1">IF(AND('Mapa final'!$K$136="Alta",'Mapa final'!$O$136="Mayor"),CONCATENATE("R",'Mapa final'!$A$136),"")</f>
        <v/>
      </c>
      <c r="AO44" s="451"/>
      <c r="AP44" s="451" t="str">
        <f ca="1">IF(AND('Mapa final'!$K$139="Alta",'Mapa final'!$O$139="Mayor"),CONCATENATE("R",'Mapa final'!$A$139),"")</f>
        <v/>
      </c>
      <c r="AQ44" s="451"/>
      <c r="AR44" s="451" t="str">
        <f ca="1">IF(AND('Mapa final'!$K$142="Alta",'Mapa final'!$O$142="Mayor"),CONCATENATE("R",'Mapa final'!$A$142),"")</f>
        <v/>
      </c>
      <c r="AS44" s="451"/>
      <c r="AT44" s="451" t="str">
        <f ca="1">IF(AND('Mapa final'!$K$145="Alta",'Mapa final'!$O$145="Mayor"),CONCATENATE("R",'Mapa final'!$A$145),"")</f>
        <v/>
      </c>
      <c r="AU44" s="451"/>
      <c r="AV44" s="451" t="str">
        <f ca="1">IF(AND('Mapa final'!$K$148="Alta",'Mapa final'!$O$148="Mayor"),CONCATENATE("R",'Mapa final'!$A$148),"")</f>
        <v/>
      </c>
      <c r="AW44" s="452"/>
      <c r="AX44" s="447" t="str">
        <f ca="1">IF(AND('Mapa final'!$K$136="Alta",'Mapa final'!$O$136="Catastrófico"),CONCATENATE("R",'Mapa final'!$A$136),"")</f>
        <v/>
      </c>
      <c r="AY44" s="445"/>
      <c r="AZ44" s="445" t="str">
        <f ca="1">IF(AND('Mapa final'!$K$139="Alta",'Mapa final'!$O$139="Catastrófico"),CONCATENATE("R",'Mapa final'!$A$139),"")</f>
        <v/>
      </c>
      <c r="BA44" s="445"/>
      <c r="BB44" s="445" t="str">
        <f ca="1">IF(AND('Mapa final'!$K$142="Alta",'Mapa final'!$O$142="Catastrófico"),CONCATENATE("R",'Mapa final'!$A$142),"")</f>
        <v/>
      </c>
      <c r="BC44" s="445"/>
      <c r="BD44" s="445" t="str">
        <f ca="1">IF(AND('Mapa final'!$K$145="Alta",'Mapa final'!$O$145="Catastrófico"),CONCATENATE("R",'Mapa final'!$A$145),"")</f>
        <v/>
      </c>
      <c r="BE44" s="445"/>
      <c r="BF44" s="445" t="str">
        <f ca="1">IF(AND('Mapa final'!$K$148="Alta",'Mapa final'!$O$148="Catastrófico"),CONCATENATE("R",'Mapa final'!$A$148),"")</f>
        <v/>
      </c>
      <c r="BG44" s="446"/>
      <c r="BH44" s="56"/>
      <c r="BI44" s="488"/>
      <c r="BJ44" s="489"/>
      <c r="BK44" s="489"/>
      <c r="BL44" s="489"/>
      <c r="BM44" s="489"/>
      <c r="BN44" s="490"/>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row>
    <row r="45" spans="1:100" ht="15" customHeight="1" thickBot="1" x14ac:dyDescent="0.3">
      <c r="A45" s="56"/>
      <c r="B45" s="286"/>
      <c r="C45" s="286"/>
      <c r="D45" s="287"/>
      <c r="E45" s="514"/>
      <c r="F45" s="515"/>
      <c r="G45" s="515"/>
      <c r="H45" s="515"/>
      <c r="I45" s="515"/>
      <c r="J45" s="460"/>
      <c r="K45" s="461"/>
      <c r="L45" s="461"/>
      <c r="M45" s="461"/>
      <c r="N45" s="461"/>
      <c r="O45" s="461"/>
      <c r="P45" s="461"/>
      <c r="Q45" s="461"/>
      <c r="R45" s="461"/>
      <c r="S45" s="462"/>
      <c r="T45" s="460"/>
      <c r="U45" s="461"/>
      <c r="V45" s="461"/>
      <c r="W45" s="461"/>
      <c r="X45" s="461"/>
      <c r="Y45" s="461"/>
      <c r="Z45" s="461"/>
      <c r="AA45" s="461"/>
      <c r="AB45" s="461"/>
      <c r="AC45" s="462"/>
      <c r="AD45" s="454"/>
      <c r="AE45" s="455"/>
      <c r="AF45" s="455"/>
      <c r="AG45" s="455"/>
      <c r="AH45" s="455"/>
      <c r="AI45" s="455"/>
      <c r="AJ45" s="455"/>
      <c r="AK45" s="455"/>
      <c r="AL45" s="455"/>
      <c r="AM45" s="456"/>
      <c r="AN45" s="454"/>
      <c r="AO45" s="455"/>
      <c r="AP45" s="455"/>
      <c r="AQ45" s="455"/>
      <c r="AR45" s="455"/>
      <c r="AS45" s="455"/>
      <c r="AT45" s="455"/>
      <c r="AU45" s="455"/>
      <c r="AV45" s="455"/>
      <c r="AW45" s="456"/>
      <c r="AX45" s="467"/>
      <c r="AY45" s="466"/>
      <c r="AZ45" s="466"/>
      <c r="BA45" s="466"/>
      <c r="BB45" s="466"/>
      <c r="BC45" s="466"/>
      <c r="BD45" s="466"/>
      <c r="BE45" s="466"/>
      <c r="BF45" s="466"/>
      <c r="BG45" s="468"/>
      <c r="BH45" s="56"/>
      <c r="BI45" s="488"/>
      <c r="BJ45" s="489"/>
      <c r="BK45" s="489"/>
      <c r="BL45" s="489"/>
      <c r="BM45" s="489"/>
      <c r="BN45" s="490"/>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row>
    <row r="46" spans="1:100" ht="15" customHeight="1" x14ac:dyDescent="0.25">
      <c r="A46" s="56"/>
      <c r="B46" s="286"/>
      <c r="C46" s="286"/>
      <c r="D46" s="287"/>
      <c r="E46" s="512" t="s">
        <v>108</v>
      </c>
      <c r="F46" s="513"/>
      <c r="G46" s="513"/>
      <c r="H46" s="513"/>
      <c r="I46" s="513"/>
      <c r="J46" s="457" t="str">
        <f ca="1">IF(AND('Mapa final'!$K$7="Media",'Mapa final'!$O$7="Leve"),CONCATENATE("R",'Mapa final'!$A$7),"")</f>
        <v/>
      </c>
      <c r="K46" s="458"/>
      <c r="L46" s="458" t="str">
        <f ca="1">IF(AND('Mapa final'!$K$10="Media",'Mapa final'!$O$10="Leve"),CONCATENATE("R",'Mapa final'!$A$10),"")</f>
        <v/>
      </c>
      <c r="M46" s="458"/>
      <c r="N46" s="458" t="str">
        <f ca="1">IF(AND('Mapa final'!$K$13="Media",'Mapa final'!$O$13="Leve"),CONCATENATE("R",'Mapa final'!$A$13),"")</f>
        <v/>
      </c>
      <c r="O46" s="458"/>
      <c r="P46" s="458" t="e">
        <f>IF(AND('Mapa final'!#REF!="Media",'Mapa final'!#REF!="Leve"),CONCATENATE("R",'Mapa final'!#REF!),"")</f>
        <v>#REF!</v>
      </c>
      <c r="Q46" s="458"/>
      <c r="R46" s="458" t="e">
        <f>IF(AND('Mapa final'!#REF!="Media",'Mapa final'!#REF!="Leve"),CONCATENATE("R",'Mapa final'!#REF!),"")</f>
        <v>#REF!</v>
      </c>
      <c r="S46" s="459"/>
      <c r="T46" s="457" t="str">
        <f ca="1">IF(AND('Mapa final'!$K$7="Media",'Mapa final'!$O$7="Menor"),CONCATENATE("R",'Mapa final'!$A$7),"")</f>
        <v/>
      </c>
      <c r="U46" s="458"/>
      <c r="V46" s="458" t="str">
        <f ca="1">IF(AND('Mapa final'!$K$10="Media",'Mapa final'!$O$10="Menor"),CONCATENATE("R",'Mapa final'!$A$10),"")</f>
        <v/>
      </c>
      <c r="W46" s="458"/>
      <c r="X46" s="458" t="str">
        <f ca="1">IF(AND('Mapa final'!$K$13="Media",'Mapa final'!$O$13="Menor"),CONCATENATE("R",'Mapa final'!$A$13),"")</f>
        <v/>
      </c>
      <c r="Y46" s="458"/>
      <c r="Z46" s="458" t="e">
        <f>IF(AND('Mapa final'!#REF!="Media",'Mapa final'!#REF!="Menor"),CONCATENATE("R",'Mapa final'!#REF!),"")</f>
        <v>#REF!</v>
      </c>
      <c r="AA46" s="458"/>
      <c r="AB46" s="458" t="e">
        <f>IF(AND('Mapa final'!#REF!="Media",'Mapa final'!#REF!="Menor"),CONCATENATE("R",'Mapa final'!#REF!),"")</f>
        <v>#REF!</v>
      </c>
      <c r="AC46" s="459"/>
      <c r="AD46" s="457" t="str">
        <f ca="1">IF(AND('Mapa final'!$K$7="Media",'Mapa final'!$O$7="Moderado"),CONCATENATE("R",'Mapa final'!$A$7),"")</f>
        <v/>
      </c>
      <c r="AE46" s="458"/>
      <c r="AF46" s="458" t="str">
        <f ca="1">IF(AND('Mapa final'!$K$10="Media",'Mapa final'!$O$10="Moderado"),CONCATENATE("R",'Mapa final'!$A$10),"")</f>
        <v>R2</v>
      </c>
      <c r="AG46" s="458"/>
      <c r="AH46" s="458" t="str">
        <f ca="1">IF(AND('Mapa final'!$K$13="Media",'Mapa final'!$O$13="Moderado"),CONCATENATE("R",'Mapa final'!$A$13),"")</f>
        <v/>
      </c>
      <c r="AI46" s="458"/>
      <c r="AJ46" s="458" t="e">
        <f>IF(AND('Mapa final'!#REF!="Media",'Mapa final'!#REF!="Moderado"),CONCATENATE("R",'Mapa final'!#REF!),"")</f>
        <v>#REF!</v>
      </c>
      <c r="AK46" s="458"/>
      <c r="AL46" s="458" t="e">
        <f>IF(AND('Mapa final'!#REF!="Media",'Mapa final'!#REF!="Moderado"),CONCATENATE("R",'Mapa final'!#REF!),"")</f>
        <v>#REF!</v>
      </c>
      <c r="AM46" s="459"/>
      <c r="AN46" s="463" t="str">
        <f ca="1">IF(AND('Mapa final'!$K$7="Media",'Mapa final'!$O$7="Mayor"),CONCATENATE("R",'Mapa final'!$A$7),"")</f>
        <v/>
      </c>
      <c r="AO46" s="464"/>
      <c r="AP46" s="464" t="str">
        <f ca="1">IF(AND('Mapa final'!$K$10="Media",'Mapa final'!$O$10="Mayor"),CONCATENATE("R",'Mapa final'!$A$10),"")</f>
        <v/>
      </c>
      <c r="AQ46" s="464"/>
      <c r="AR46" s="464" t="str">
        <f ca="1">IF(AND('Mapa final'!$K$13="Media",'Mapa final'!$O$13="Mayor"),CONCATENATE("R",'Mapa final'!$A$13),"")</f>
        <v/>
      </c>
      <c r="AS46" s="464"/>
      <c r="AT46" s="464" t="e">
        <f>IF(AND('Mapa final'!#REF!="Media",'Mapa final'!#REF!="Mayor"),CONCATENATE("R",'Mapa final'!#REF!),"")</f>
        <v>#REF!</v>
      </c>
      <c r="AU46" s="464"/>
      <c r="AV46" s="464" t="e">
        <f>IF(AND('Mapa final'!#REF!="Media",'Mapa final'!#REF!="Mayor"),CONCATENATE("R",'Mapa final'!#REF!),"")</f>
        <v>#REF!</v>
      </c>
      <c r="AW46" s="465"/>
      <c r="AX46" s="470" t="str">
        <f ca="1">IF(AND('Mapa final'!$K$7="Media",'Mapa final'!$O$7="Catastrófico"),CONCATENATE("R",'Mapa final'!$A$7),"")</f>
        <v/>
      </c>
      <c r="AY46" s="469"/>
      <c r="AZ46" s="469" t="str">
        <f ca="1">IF(AND('Mapa final'!$K$10="Media",'Mapa final'!$O$10="Catastrófico"),CONCATENATE("R",'Mapa final'!$A$10),"")</f>
        <v/>
      </c>
      <c r="BA46" s="469"/>
      <c r="BB46" s="469" t="str">
        <f ca="1">IF(AND('Mapa final'!$K$13="Media",'Mapa final'!$O$13="Catastrófico"),CONCATENATE("R",'Mapa final'!$A$13),"")</f>
        <v/>
      </c>
      <c r="BC46" s="469"/>
      <c r="BD46" s="469" t="e">
        <f>IF(AND('Mapa final'!#REF!="Media",'Mapa final'!#REF!="Catastrófico"),CONCATENATE("R",'Mapa final'!#REF!),"")</f>
        <v>#REF!</v>
      </c>
      <c r="BE46" s="469"/>
      <c r="BF46" s="469" t="e">
        <f>IF(AND('Mapa final'!#REF!="Media",'Mapa final'!#REF!="Catastrófico"),CONCATENATE("R",'Mapa final'!#REF!),"")</f>
        <v>#REF!</v>
      </c>
      <c r="BG46" s="525"/>
      <c r="BH46" s="56"/>
      <c r="BI46" s="488"/>
      <c r="BJ46" s="489"/>
      <c r="BK46" s="489"/>
      <c r="BL46" s="489"/>
      <c r="BM46" s="489"/>
      <c r="BN46" s="490"/>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row>
    <row r="47" spans="1:100" ht="15" customHeight="1" x14ac:dyDescent="0.25">
      <c r="A47" s="56"/>
      <c r="B47" s="286"/>
      <c r="C47" s="286"/>
      <c r="D47" s="287"/>
      <c r="E47" s="514"/>
      <c r="F47" s="515"/>
      <c r="G47" s="515"/>
      <c r="H47" s="515"/>
      <c r="I47" s="515"/>
      <c r="J47" s="450"/>
      <c r="K47" s="448"/>
      <c r="L47" s="448"/>
      <c r="M47" s="448"/>
      <c r="N47" s="448"/>
      <c r="O47" s="448"/>
      <c r="P47" s="448"/>
      <c r="Q47" s="448"/>
      <c r="R47" s="448"/>
      <c r="S47" s="449"/>
      <c r="T47" s="450"/>
      <c r="U47" s="448"/>
      <c r="V47" s="448"/>
      <c r="W47" s="448"/>
      <c r="X47" s="448"/>
      <c r="Y47" s="448"/>
      <c r="Z47" s="448"/>
      <c r="AA47" s="448"/>
      <c r="AB47" s="448"/>
      <c r="AC47" s="449"/>
      <c r="AD47" s="450"/>
      <c r="AE47" s="448"/>
      <c r="AF47" s="448"/>
      <c r="AG47" s="448"/>
      <c r="AH47" s="448"/>
      <c r="AI47" s="448"/>
      <c r="AJ47" s="448"/>
      <c r="AK47" s="448"/>
      <c r="AL47" s="448"/>
      <c r="AM47" s="449"/>
      <c r="AN47" s="453"/>
      <c r="AO47" s="451"/>
      <c r="AP47" s="451"/>
      <c r="AQ47" s="451"/>
      <c r="AR47" s="451"/>
      <c r="AS47" s="451"/>
      <c r="AT47" s="451"/>
      <c r="AU47" s="451"/>
      <c r="AV47" s="451"/>
      <c r="AW47" s="452"/>
      <c r="AX47" s="447"/>
      <c r="AY47" s="445"/>
      <c r="AZ47" s="445"/>
      <c r="BA47" s="445"/>
      <c r="BB47" s="445"/>
      <c r="BC47" s="445"/>
      <c r="BD47" s="445"/>
      <c r="BE47" s="445"/>
      <c r="BF47" s="445"/>
      <c r="BG47" s="446"/>
      <c r="BH47" s="56"/>
      <c r="BI47" s="488"/>
      <c r="BJ47" s="489"/>
      <c r="BK47" s="489"/>
      <c r="BL47" s="489"/>
      <c r="BM47" s="489"/>
      <c r="BN47" s="490"/>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row>
    <row r="48" spans="1:100" ht="15" customHeight="1" x14ac:dyDescent="0.25">
      <c r="A48" s="56"/>
      <c r="B48" s="286"/>
      <c r="C48" s="286"/>
      <c r="D48" s="287"/>
      <c r="E48" s="514"/>
      <c r="F48" s="515"/>
      <c r="G48" s="515"/>
      <c r="H48" s="515"/>
      <c r="I48" s="515"/>
      <c r="J48" s="450" t="str">
        <f ca="1">IF(AND('Mapa final'!$K$16="Media",'Mapa final'!$O$16="Leve"),CONCATENATE("R",'Mapa final'!$A$16),"")</f>
        <v/>
      </c>
      <c r="K48" s="448"/>
      <c r="L48" s="448" t="str">
        <f ca="1">IF(AND('Mapa final'!$K$19="Media",'Mapa final'!$O$19="Leve"),CONCATENATE("R",'Mapa final'!$A$19),"")</f>
        <v/>
      </c>
      <c r="M48" s="448"/>
      <c r="N48" s="448" t="str">
        <f ca="1">IF(AND('Mapa final'!$K$22="Media",'Mapa final'!$O$22="Leve"),CONCATENATE("R",'Mapa final'!$A$22),"")</f>
        <v/>
      </c>
      <c r="O48" s="448"/>
      <c r="P48" s="448" t="str">
        <f ca="1">IF(AND('Mapa final'!$K$25="Media",'Mapa final'!$O$25="Leve"),CONCATENATE("R",'Mapa final'!$A$25),"")</f>
        <v/>
      </c>
      <c r="Q48" s="448"/>
      <c r="R48" s="448" t="str">
        <f ca="1">IF(AND('Mapa final'!$K$28="Media",'Mapa final'!$O$28="Leve"),CONCATENATE("R",'Mapa final'!$A$28),"")</f>
        <v/>
      </c>
      <c r="S48" s="449"/>
      <c r="T48" s="450" t="str">
        <f ca="1">IF(AND('Mapa final'!$K$16="Media",'Mapa final'!$O$16="Menor"),CONCATENATE("R",'Mapa final'!$A$16),"")</f>
        <v/>
      </c>
      <c r="U48" s="448"/>
      <c r="V48" s="448" t="str">
        <f ca="1">IF(AND('Mapa final'!$K$19="Media",'Mapa final'!$O$19="Menor"),CONCATENATE("R",'Mapa final'!$A$19),"")</f>
        <v/>
      </c>
      <c r="W48" s="448"/>
      <c r="X48" s="448" t="str">
        <f ca="1">IF(AND('Mapa final'!$K$22="Media",'Mapa final'!$O$22="Menor"),CONCATENATE("R",'Mapa final'!$A$22),"")</f>
        <v/>
      </c>
      <c r="Y48" s="448"/>
      <c r="Z48" s="448" t="str">
        <f ca="1">IF(AND('Mapa final'!$K$25="Media",'Mapa final'!$O$25="Menor"),CONCATENATE("R",'Mapa final'!$A$25),"")</f>
        <v/>
      </c>
      <c r="AA48" s="448"/>
      <c r="AB48" s="448" t="str">
        <f ca="1">IF(AND('Mapa final'!$K$28="Media",'Mapa final'!$O$28="Menor"),CONCATENATE("R",'Mapa final'!$A$28),"")</f>
        <v/>
      </c>
      <c r="AC48" s="449"/>
      <c r="AD48" s="450" t="str">
        <f ca="1">IF(AND('Mapa final'!$K$16="Media",'Mapa final'!$O$16="Moderado"),CONCATENATE("R",'Mapa final'!$A$16),"")</f>
        <v/>
      </c>
      <c r="AE48" s="448"/>
      <c r="AF48" s="448" t="str">
        <f ca="1">IF(AND('Mapa final'!$K$19="Media",'Mapa final'!$O$19="Moderado"),CONCATENATE("R",'Mapa final'!$A$19),"")</f>
        <v/>
      </c>
      <c r="AG48" s="448"/>
      <c r="AH48" s="448" t="str">
        <f ca="1">IF(AND('Mapa final'!$K$22="Media",'Mapa final'!$O$22="Moderado"),CONCATENATE("R",'Mapa final'!$A$22),"")</f>
        <v/>
      </c>
      <c r="AI48" s="448"/>
      <c r="AJ48" s="448" t="str">
        <f ca="1">IF(AND('Mapa final'!$K$25="Media",'Mapa final'!$O$25="Moderado"),CONCATENATE("R",'Mapa final'!$A$25),"")</f>
        <v/>
      </c>
      <c r="AK48" s="448"/>
      <c r="AL48" s="448" t="str">
        <f ca="1">IF(AND('Mapa final'!$K$28="Media",'Mapa final'!$O$28="Moderado"),CONCATENATE("R",'Mapa final'!$A$28),"")</f>
        <v/>
      </c>
      <c r="AM48" s="449"/>
      <c r="AN48" s="453" t="str">
        <f ca="1">IF(AND('Mapa final'!$K$16="Media",'Mapa final'!$O$16="Mayor"),CONCATENATE("R",'Mapa final'!$A$16),"")</f>
        <v/>
      </c>
      <c r="AO48" s="451"/>
      <c r="AP48" s="451" t="str">
        <f ca="1">IF(AND('Mapa final'!$K$19="Media",'Mapa final'!$O$19="Mayor"),CONCATENATE("R",'Mapa final'!$A$19),"")</f>
        <v/>
      </c>
      <c r="AQ48" s="451"/>
      <c r="AR48" s="451" t="str">
        <f ca="1">IF(AND('Mapa final'!$K$22="Media",'Mapa final'!$O$22="Mayor"),CONCATENATE("R",'Mapa final'!$A$22),"")</f>
        <v/>
      </c>
      <c r="AS48" s="451"/>
      <c r="AT48" s="451" t="str">
        <f ca="1">IF(AND('Mapa final'!$K$25="Media",'Mapa final'!$O$25="Mayor"),CONCATENATE("R",'Mapa final'!$A$25),"")</f>
        <v/>
      </c>
      <c r="AU48" s="451"/>
      <c r="AV48" s="451" t="str">
        <f ca="1">IF(AND('Mapa final'!$K$28="Media",'Mapa final'!$O$28="Mayor"),CONCATENATE("R",'Mapa final'!$A$28),"")</f>
        <v/>
      </c>
      <c r="AW48" s="452"/>
      <c r="AX48" s="447" t="str">
        <f ca="1">IF(AND('Mapa final'!$K$16="Media",'Mapa final'!$O$16="Catastrófico"),CONCATENATE("R",'Mapa final'!$A$16),"")</f>
        <v/>
      </c>
      <c r="AY48" s="445"/>
      <c r="AZ48" s="445" t="str">
        <f ca="1">IF(AND('Mapa final'!$K$19="Media",'Mapa final'!$O$19="Catastrófico"),CONCATENATE("R",'Mapa final'!$A$19),"")</f>
        <v/>
      </c>
      <c r="BA48" s="445"/>
      <c r="BB48" s="445" t="str">
        <f ca="1">IF(AND('Mapa final'!$K$22="Media",'Mapa final'!$O$22="Catastrófico"),CONCATENATE("R",'Mapa final'!$A$22),"")</f>
        <v/>
      </c>
      <c r="BC48" s="445"/>
      <c r="BD48" s="445" t="str">
        <f ca="1">IF(AND('Mapa final'!$K$25="Media",'Mapa final'!$O$25="Catastrófico"),CONCATENATE("R",'Mapa final'!$A$25),"")</f>
        <v/>
      </c>
      <c r="BE48" s="445"/>
      <c r="BF48" s="445" t="str">
        <f ca="1">IF(AND('Mapa final'!$K$28="Media",'Mapa final'!$O$28="Catastrófico"),CONCATENATE("R",'Mapa final'!$A$28),"")</f>
        <v/>
      </c>
      <c r="BG48" s="446"/>
      <c r="BH48" s="56"/>
      <c r="BI48" s="488"/>
      <c r="BJ48" s="489"/>
      <c r="BK48" s="489"/>
      <c r="BL48" s="489"/>
      <c r="BM48" s="489"/>
      <c r="BN48" s="490"/>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row>
    <row r="49" spans="1:100" ht="15" customHeight="1" x14ac:dyDescent="0.25">
      <c r="A49" s="56"/>
      <c r="B49" s="286"/>
      <c r="C49" s="286"/>
      <c r="D49" s="287"/>
      <c r="E49" s="514"/>
      <c r="F49" s="515"/>
      <c r="G49" s="515"/>
      <c r="H49" s="515"/>
      <c r="I49" s="515"/>
      <c r="J49" s="450"/>
      <c r="K49" s="448"/>
      <c r="L49" s="448"/>
      <c r="M49" s="448"/>
      <c r="N49" s="448"/>
      <c r="O49" s="448"/>
      <c r="P49" s="448"/>
      <c r="Q49" s="448"/>
      <c r="R49" s="448"/>
      <c r="S49" s="449"/>
      <c r="T49" s="450"/>
      <c r="U49" s="448"/>
      <c r="V49" s="448"/>
      <c r="W49" s="448"/>
      <c r="X49" s="448"/>
      <c r="Y49" s="448"/>
      <c r="Z49" s="448"/>
      <c r="AA49" s="448"/>
      <c r="AB49" s="448"/>
      <c r="AC49" s="449"/>
      <c r="AD49" s="450"/>
      <c r="AE49" s="448"/>
      <c r="AF49" s="448"/>
      <c r="AG49" s="448"/>
      <c r="AH49" s="448"/>
      <c r="AI49" s="448"/>
      <c r="AJ49" s="448"/>
      <c r="AK49" s="448"/>
      <c r="AL49" s="448"/>
      <c r="AM49" s="449"/>
      <c r="AN49" s="453"/>
      <c r="AO49" s="451"/>
      <c r="AP49" s="451"/>
      <c r="AQ49" s="451"/>
      <c r="AR49" s="451"/>
      <c r="AS49" s="451"/>
      <c r="AT49" s="451"/>
      <c r="AU49" s="451"/>
      <c r="AV49" s="451"/>
      <c r="AW49" s="452"/>
      <c r="AX49" s="447"/>
      <c r="AY49" s="445"/>
      <c r="AZ49" s="445"/>
      <c r="BA49" s="445"/>
      <c r="BB49" s="445"/>
      <c r="BC49" s="445"/>
      <c r="BD49" s="445"/>
      <c r="BE49" s="445"/>
      <c r="BF49" s="445"/>
      <c r="BG49" s="446"/>
      <c r="BH49" s="56"/>
      <c r="BI49" s="488"/>
      <c r="BJ49" s="489"/>
      <c r="BK49" s="489"/>
      <c r="BL49" s="489"/>
      <c r="BM49" s="489"/>
      <c r="BN49" s="490"/>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row>
    <row r="50" spans="1:100" ht="15" customHeight="1" x14ac:dyDescent="0.25">
      <c r="A50" s="56"/>
      <c r="B50" s="286"/>
      <c r="C50" s="286"/>
      <c r="D50" s="287"/>
      <c r="E50" s="514"/>
      <c r="F50" s="515"/>
      <c r="G50" s="515"/>
      <c r="H50" s="515"/>
      <c r="I50" s="515"/>
      <c r="J50" s="450" t="str">
        <f ca="1">IF(AND('Mapa final'!$K$31="Media",'Mapa final'!$O$31="Leve"),CONCATENATE("R",'Mapa final'!$A$31),"")</f>
        <v/>
      </c>
      <c r="K50" s="448"/>
      <c r="L50" s="448" t="str">
        <f ca="1">IF(AND('Mapa final'!$K$34="Media",'Mapa final'!$O$34="Leve"),CONCATENATE("R",'Mapa final'!$A$34),"")</f>
        <v/>
      </c>
      <c r="M50" s="448"/>
      <c r="N50" s="448" t="str">
        <f ca="1">IF(AND('Mapa final'!$K$37="Media",'Mapa final'!$O$37="Leve"),CONCATENATE("R",'Mapa final'!$A$37),"")</f>
        <v/>
      </c>
      <c r="O50" s="448"/>
      <c r="P50" s="448" t="str">
        <f ca="1">IF(AND('Mapa final'!$K$40="Media",'Mapa final'!$O$40="Leve"),CONCATENATE("R",'Mapa final'!$A$40),"")</f>
        <v/>
      </c>
      <c r="Q50" s="448"/>
      <c r="R50" s="448" t="str">
        <f ca="1">IF(AND('Mapa final'!$K$43="Media",'Mapa final'!$O$43="Leve"),CONCATENATE("R",'Mapa final'!$A$43),"")</f>
        <v/>
      </c>
      <c r="S50" s="449"/>
      <c r="T50" s="450" t="str">
        <f ca="1">IF(AND('Mapa final'!$K$31="Media",'Mapa final'!$O$31="Menor"),CONCATENATE("R",'Mapa final'!$A$31),"")</f>
        <v/>
      </c>
      <c r="U50" s="448"/>
      <c r="V50" s="448" t="str">
        <f ca="1">IF(AND('Mapa final'!$K$34="Media",'Mapa final'!$O$34="Menor"),CONCATENATE("R",'Mapa final'!$A$34),"")</f>
        <v/>
      </c>
      <c r="W50" s="448"/>
      <c r="X50" s="448" t="str">
        <f ca="1">IF(AND('Mapa final'!$K$37="Media",'Mapa final'!$O$37="Menor"),CONCATENATE("R",'Mapa final'!$A$37),"")</f>
        <v/>
      </c>
      <c r="Y50" s="448"/>
      <c r="Z50" s="448" t="str">
        <f ca="1">IF(AND('Mapa final'!$K$40="Media",'Mapa final'!$O$40="Menor"),CONCATENATE("R",'Mapa final'!$A$40),"")</f>
        <v/>
      </c>
      <c r="AA50" s="448"/>
      <c r="AB50" s="448" t="str">
        <f ca="1">IF(AND('Mapa final'!$K$43="Media",'Mapa final'!$O$43="Menor"),CONCATENATE("R",'Mapa final'!$A$43),"")</f>
        <v/>
      </c>
      <c r="AC50" s="449"/>
      <c r="AD50" s="450" t="str">
        <f ca="1">IF(AND('Mapa final'!$K$31="Media",'Mapa final'!$O$31="Moderado"),CONCATENATE("R",'Mapa final'!$A$31),"")</f>
        <v/>
      </c>
      <c r="AE50" s="448"/>
      <c r="AF50" s="448" t="str">
        <f ca="1">IF(AND('Mapa final'!$K$34="Media",'Mapa final'!$O$34="Moderado"),CONCATENATE("R",'Mapa final'!$A$34),"")</f>
        <v/>
      </c>
      <c r="AG50" s="448"/>
      <c r="AH50" s="448" t="str">
        <f ca="1">IF(AND('Mapa final'!$K$37="Media",'Mapa final'!$O$37="Moderado"),CONCATENATE("R",'Mapa final'!$A$37),"")</f>
        <v/>
      </c>
      <c r="AI50" s="448"/>
      <c r="AJ50" s="448" t="str">
        <f ca="1">IF(AND('Mapa final'!$K$40="Media",'Mapa final'!$O$40="Moderado"),CONCATENATE("R",'Mapa final'!$A$40),"")</f>
        <v/>
      </c>
      <c r="AK50" s="448"/>
      <c r="AL50" s="448" t="str">
        <f ca="1">IF(AND('Mapa final'!$K$43="Media",'Mapa final'!$O$43="Moderado"),CONCATENATE("R",'Mapa final'!$A$43),"")</f>
        <v/>
      </c>
      <c r="AM50" s="449"/>
      <c r="AN50" s="453" t="str">
        <f ca="1">IF(AND('Mapa final'!$K$31="Media",'Mapa final'!$O$31="Mayor"),CONCATENATE("R",'Mapa final'!$A$31),"")</f>
        <v/>
      </c>
      <c r="AO50" s="451"/>
      <c r="AP50" s="451" t="str">
        <f ca="1">IF(AND('Mapa final'!$K$34="Media",'Mapa final'!$O$34="Mayor"),CONCATENATE("R",'Mapa final'!$A$34),"")</f>
        <v/>
      </c>
      <c r="AQ50" s="451"/>
      <c r="AR50" s="451" t="str">
        <f ca="1">IF(AND('Mapa final'!$K$37="Media",'Mapa final'!$O$37="Mayor"),CONCATENATE("R",'Mapa final'!$A$37),"")</f>
        <v/>
      </c>
      <c r="AS50" s="451"/>
      <c r="AT50" s="451" t="str">
        <f ca="1">IF(AND('Mapa final'!$K$40="Media",'Mapa final'!$O$40="Mayor"),CONCATENATE("R",'Mapa final'!$A$40),"")</f>
        <v/>
      </c>
      <c r="AU50" s="451"/>
      <c r="AV50" s="451" t="str">
        <f ca="1">IF(AND('Mapa final'!$K$43="Media",'Mapa final'!$O$43="Mayor"),CONCATENATE("R",'Mapa final'!$A$43),"")</f>
        <v/>
      </c>
      <c r="AW50" s="452"/>
      <c r="AX50" s="447" t="str">
        <f ca="1">IF(AND('Mapa final'!$K$31="Media",'Mapa final'!$O$31="Catastrófico"),CONCATENATE("R",'Mapa final'!$A$31),"")</f>
        <v/>
      </c>
      <c r="AY50" s="445"/>
      <c r="AZ50" s="445" t="str">
        <f ca="1">IF(AND('Mapa final'!$K$34="Media",'Mapa final'!$O$34="Catastrófico"),CONCATENATE("R",'Mapa final'!$A$34),"")</f>
        <v/>
      </c>
      <c r="BA50" s="445"/>
      <c r="BB50" s="445" t="str">
        <f ca="1">IF(AND('Mapa final'!$K$37="Media",'Mapa final'!$O$37="Catastrófico"),CONCATENATE("R",'Mapa final'!$A$37),"")</f>
        <v/>
      </c>
      <c r="BC50" s="445"/>
      <c r="BD50" s="445" t="str">
        <f ca="1">IF(AND('Mapa final'!$K$40="Media",'Mapa final'!$O$40="Catastrófico"),CONCATENATE("R",'Mapa final'!$A$40),"")</f>
        <v/>
      </c>
      <c r="BE50" s="445"/>
      <c r="BF50" s="445" t="str">
        <f ca="1">IF(AND('Mapa final'!$K$43="Media",'Mapa final'!$O$43="Catastrófico"),CONCATENATE("R",'Mapa final'!$A$43),"")</f>
        <v/>
      </c>
      <c r="BG50" s="446"/>
      <c r="BH50" s="56"/>
      <c r="BI50" s="488"/>
      <c r="BJ50" s="489"/>
      <c r="BK50" s="489"/>
      <c r="BL50" s="489"/>
      <c r="BM50" s="489"/>
      <c r="BN50" s="490"/>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row>
    <row r="51" spans="1:100" ht="15" customHeight="1" x14ac:dyDescent="0.25">
      <c r="A51" s="56"/>
      <c r="B51" s="286"/>
      <c r="C51" s="286"/>
      <c r="D51" s="287"/>
      <c r="E51" s="514"/>
      <c r="F51" s="515"/>
      <c r="G51" s="515"/>
      <c r="H51" s="515"/>
      <c r="I51" s="515"/>
      <c r="J51" s="450"/>
      <c r="K51" s="448"/>
      <c r="L51" s="448"/>
      <c r="M51" s="448"/>
      <c r="N51" s="448"/>
      <c r="O51" s="448"/>
      <c r="P51" s="448"/>
      <c r="Q51" s="448"/>
      <c r="R51" s="448"/>
      <c r="S51" s="449"/>
      <c r="T51" s="450"/>
      <c r="U51" s="448"/>
      <c r="V51" s="448"/>
      <c r="W51" s="448"/>
      <c r="X51" s="448"/>
      <c r="Y51" s="448"/>
      <c r="Z51" s="448"/>
      <c r="AA51" s="448"/>
      <c r="AB51" s="448"/>
      <c r="AC51" s="449"/>
      <c r="AD51" s="450"/>
      <c r="AE51" s="448"/>
      <c r="AF51" s="448"/>
      <c r="AG51" s="448"/>
      <c r="AH51" s="448"/>
      <c r="AI51" s="448"/>
      <c r="AJ51" s="448"/>
      <c r="AK51" s="448"/>
      <c r="AL51" s="448"/>
      <c r="AM51" s="449"/>
      <c r="AN51" s="453"/>
      <c r="AO51" s="451"/>
      <c r="AP51" s="451"/>
      <c r="AQ51" s="451"/>
      <c r="AR51" s="451"/>
      <c r="AS51" s="451"/>
      <c r="AT51" s="451"/>
      <c r="AU51" s="451"/>
      <c r="AV51" s="451"/>
      <c r="AW51" s="452"/>
      <c r="AX51" s="447"/>
      <c r="AY51" s="445"/>
      <c r="AZ51" s="445"/>
      <c r="BA51" s="445"/>
      <c r="BB51" s="445"/>
      <c r="BC51" s="445"/>
      <c r="BD51" s="445"/>
      <c r="BE51" s="445"/>
      <c r="BF51" s="445"/>
      <c r="BG51" s="446"/>
      <c r="BH51" s="56"/>
      <c r="BI51" s="488"/>
      <c r="BJ51" s="489"/>
      <c r="BK51" s="489"/>
      <c r="BL51" s="489"/>
      <c r="BM51" s="489"/>
      <c r="BN51" s="490"/>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row>
    <row r="52" spans="1:100" ht="15" customHeight="1" x14ac:dyDescent="0.25">
      <c r="A52" s="56"/>
      <c r="B52" s="286"/>
      <c r="C52" s="286"/>
      <c r="D52" s="287"/>
      <c r="E52" s="514"/>
      <c r="F52" s="515"/>
      <c r="G52" s="515"/>
      <c r="H52" s="515"/>
      <c r="I52" s="515"/>
      <c r="J52" s="450" t="str">
        <f ca="1">IF(AND('Mapa final'!$K$46="Media",'Mapa final'!$O$46="Leve"),CONCATENATE("R",'Mapa final'!$A$46),"")</f>
        <v/>
      </c>
      <c r="K52" s="448"/>
      <c r="L52" s="448" t="str">
        <f ca="1">IF(AND('Mapa final'!$K$49="Media",'Mapa final'!$O$49="Leve"),CONCATENATE("R",'Mapa final'!$A$49),"")</f>
        <v/>
      </c>
      <c r="M52" s="448"/>
      <c r="N52" s="448" t="str">
        <f ca="1">IF(AND('Mapa final'!$K$52="Media",'Mapa final'!$O$52="Leve"),CONCATENATE("R",'Mapa final'!$A$52),"")</f>
        <v/>
      </c>
      <c r="O52" s="448"/>
      <c r="P52" s="448" t="str">
        <f ca="1">IF(AND('Mapa final'!$K$55="Media",'Mapa final'!$O$55="Leve"),CONCATENATE("R",'Mapa final'!$A$55),"")</f>
        <v/>
      </c>
      <c r="Q52" s="448"/>
      <c r="R52" s="448" t="str">
        <f ca="1">IF(AND('Mapa final'!$K$58="Media",'Mapa final'!$O$58="Leve"),CONCATENATE("R",'Mapa final'!$A$58),"")</f>
        <v/>
      </c>
      <c r="S52" s="449"/>
      <c r="T52" s="450" t="str">
        <f ca="1">IF(AND('Mapa final'!$K$46="Media",'Mapa final'!$O$46="Menor"),CONCATENATE("R",'Mapa final'!$A$46),"")</f>
        <v/>
      </c>
      <c r="U52" s="448"/>
      <c r="V52" s="448" t="str">
        <f ca="1">IF(AND('Mapa final'!$K$49="Media",'Mapa final'!$O$49="Menor"),CONCATENATE("R",'Mapa final'!$A$49),"")</f>
        <v/>
      </c>
      <c r="W52" s="448"/>
      <c r="X52" s="448" t="str">
        <f ca="1">IF(AND('Mapa final'!$K$52="Media",'Mapa final'!$O$52="Menor"),CONCATENATE("R",'Mapa final'!$A$52),"")</f>
        <v/>
      </c>
      <c r="Y52" s="448"/>
      <c r="Z52" s="448" t="str">
        <f ca="1">IF(AND('Mapa final'!$K$55="Media",'Mapa final'!$O$55="Menor"),CONCATENATE("R",'Mapa final'!$A$55),"")</f>
        <v/>
      </c>
      <c r="AA52" s="448"/>
      <c r="AB52" s="448" t="str">
        <f ca="1">IF(AND('Mapa final'!$K$58="Media",'Mapa final'!$O$58="Menor"),CONCATENATE("R",'Mapa final'!$A$58),"")</f>
        <v/>
      </c>
      <c r="AC52" s="449"/>
      <c r="AD52" s="450" t="str">
        <f ca="1">IF(AND('Mapa final'!$K$46="Media",'Mapa final'!$O$46="Moderado"),CONCATENATE("R",'Mapa final'!$A$46),"")</f>
        <v>R15</v>
      </c>
      <c r="AE52" s="448"/>
      <c r="AF52" s="448" t="str">
        <f ca="1">IF(AND('Mapa final'!$K$49="Media",'Mapa final'!$O$49="Moderado"),CONCATENATE("R",'Mapa final'!$A$49),"")</f>
        <v/>
      </c>
      <c r="AG52" s="448"/>
      <c r="AH52" s="448" t="str">
        <f ca="1">IF(AND('Mapa final'!$K$52="Media",'Mapa final'!$O$52="Moderado"),CONCATENATE("R",'Mapa final'!$A$52),"")</f>
        <v>R17</v>
      </c>
      <c r="AI52" s="448"/>
      <c r="AJ52" s="448" t="str">
        <f ca="1">IF(AND('Mapa final'!$K$55="Media",'Mapa final'!$O$55="Moderado"),CONCATENATE("R",'Mapa final'!$A$55),"")</f>
        <v>R18</v>
      </c>
      <c r="AK52" s="448"/>
      <c r="AL52" s="448" t="str">
        <f ca="1">IF(AND('Mapa final'!$K$58="Media",'Mapa final'!$O$58="Moderado"),CONCATENATE("R",'Mapa final'!$A$58),"")</f>
        <v/>
      </c>
      <c r="AM52" s="449"/>
      <c r="AN52" s="453" t="str">
        <f ca="1">IF(AND('Mapa final'!$K$46="Media",'Mapa final'!$O$46="Mayor"),CONCATENATE("R",'Mapa final'!$A$46),"")</f>
        <v/>
      </c>
      <c r="AO52" s="451"/>
      <c r="AP52" s="451" t="str">
        <f ca="1">IF(AND('Mapa final'!$K$49="Media",'Mapa final'!$O$49="Mayor"),CONCATENATE("R",'Mapa final'!$A$49),"")</f>
        <v/>
      </c>
      <c r="AQ52" s="451"/>
      <c r="AR52" s="451" t="str">
        <f ca="1">IF(AND('Mapa final'!$K$52="Media",'Mapa final'!$O$52="Mayor"),CONCATENATE("R",'Mapa final'!$A$52),"")</f>
        <v/>
      </c>
      <c r="AS52" s="451"/>
      <c r="AT52" s="451" t="str">
        <f ca="1">IF(AND('Mapa final'!$K$55="Media",'Mapa final'!$O$55="Mayor"),CONCATENATE("R",'Mapa final'!$A$55),"")</f>
        <v/>
      </c>
      <c r="AU52" s="451"/>
      <c r="AV52" s="451" t="str">
        <f ca="1">IF(AND('Mapa final'!$K$58="Media",'Mapa final'!$O$58="Mayor"),CONCATENATE("R",'Mapa final'!$A$58),"")</f>
        <v>R19</v>
      </c>
      <c r="AW52" s="452"/>
      <c r="AX52" s="447" t="str">
        <f ca="1">IF(AND('Mapa final'!$K$46="Media",'Mapa final'!$O$46="Catastrófico"),CONCATENATE("R",'Mapa final'!$A$46),"")</f>
        <v/>
      </c>
      <c r="AY52" s="445"/>
      <c r="AZ52" s="445" t="str">
        <f ca="1">IF(AND('Mapa final'!$K$49="Media",'Mapa final'!$O$49="Catastrófico"),CONCATENATE("R",'Mapa final'!$A$49),"")</f>
        <v/>
      </c>
      <c r="BA52" s="445"/>
      <c r="BB52" s="445" t="str">
        <f ca="1">IF(AND('Mapa final'!$K$52="Media",'Mapa final'!$O$52="Catastrófico"),CONCATENATE("R",'Mapa final'!$A$52),"")</f>
        <v/>
      </c>
      <c r="BC52" s="445"/>
      <c r="BD52" s="445" t="str">
        <f ca="1">IF(AND('Mapa final'!$K$55="Media",'Mapa final'!$O$55="Catastrófico"),CONCATENATE("R",'Mapa final'!$A$55),"")</f>
        <v/>
      </c>
      <c r="BE52" s="445"/>
      <c r="BF52" s="445" t="str">
        <f ca="1">IF(AND('Mapa final'!$K$58="Media",'Mapa final'!$O$58="Catastrófico"),CONCATENATE("R",'Mapa final'!$A$58),"")</f>
        <v/>
      </c>
      <c r="BG52" s="446"/>
      <c r="BH52" s="56"/>
      <c r="BI52" s="488"/>
      <c r="BJ52" s="489"/>
      <c r="BK52" s="489"/>
      <c r="BL52" s="489"/>
      <c r="BM52" s="489"/>
      <c r="BN52" s="490"/>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row>
    <row r="53" spans="1:100" ht="15" customHeight="1" thickBot="1" x14ac:dyDescent="0.3">
      <c r="A53" s="56"/>
      <c r="B53" s="286"/>
      <c r="C53" s="286"/>
      <c r="D53" s="287"/>
      <c r="E53" s="514"/>
      <c r="F53" s="515"/>
      <c r="G53" s="515"/>
      <c r="H53" s="515"/>
      <c r="I53" s="515"/>
      <c r="J53" s="450"/>
      <c r="K53" s="448"/>
      <c r="L53" s="448"/>
      <c r="M53" s="448"/>
      <c r="N53" s="448"/>
      <c r="O53" s="448"/>
      <c r="P53" s="448"/>
      <c r="Q53" s="448"/>
      <c r="R53" s="448"/>
      <c r="S53" s="449"/>
      <c r="T53" s="450"/>
      <c r="U53" s="448"/>
      <c r="V53" s="448"/>
      <c r="W53" s="448"/>
      <c r="X53" s="448"/>
      <c r="Y53" s="448"/>
      <c r="Z53" s="448"/>
      <c r="AA53" s="448"/>
      <c r="AB53" s="448"/>
      <c r="AC53" s="449"/>
      <c r="AD53" s="450"/>
      <c r="AE53" s="448"/>
      <c r="AF53" s="448"/>
      <c r="AG53" s="448"/>
      <c r="AH53" s="448"/>
      <c r="AI53" s="448"/>
      <c r="AJ53" s="448"/>
      <c r="AK53" s="448"/>
      <c r="AL53" s="448"/>
      <c r="AM53" s="449"/>
      <c r="AN53" s="453"/>
      <c r="AO53" s="451"/>
      <c r="AP53" s="451"/>
      <c r="AQ53" s="451"/>
      <c r="AR53" s="451"/>
      <c r="AS53" s="451"/>
      <c r="AT53" s="451"/>
      <c r="AU53" s="451"/>
      <c r="AV53" s="451"/>
      <c r="AW53" s="452"/>
      <c r="AX53" s="447"/>
      <c r="AY53" s="445"/>
      <c r="AZ53" s="445"/>
      <c r="BA53" s="445"/>
      <c r="BB53" s="445"/>
      <c r="BC53" s="445"/>
      <c r="BD53" s="445"/>
      <c r="BE53" s="445"/>
      <c r="BF53" s="445"/>
      <c r="BG53" s="446"/>
      <c r="BH53" s="56"/>
      <c r="BI53" s="491"/>
      <c r="BJ53" s="492"/>
      <c r="BK53" s="492"/>
      <c r="BL53" s="492"/>
      <c r="BM53" s="492"/>
      <c r="BN53" s="493"/>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row>
    <row r="54" spans="1:100" ht="15" customHeight="1" x14ac:dyDescent="0.25">
      <c r="A54" s="56"/>
      <c r="B54" s="286"/>
      <c r="C54" s="286"/>
      <c r="D54" s="287"/>
      <c r="E54" s="514"/>
      <c r="F54" s="515"/>
      <c r="G54" s="515"/>
      <c r="H54" s="515"/>
      <c r="I54" s="515"/>
      <c r="J54" s="450" t="str">
        <f ca="1">IF(AND('Mapa final'!$K$61="Media",'Mapa final'!$O$61="Leve"),CONCATENATE("R",'Mapa final'!$A$61),"")</f>
        <v/>
      </c>
      <c r="K54" s="448"/>
      <c r="L54" s="448" t="str">
        <f ca="1">IF(AND('Mapa final'!$K$64="Media",'Mapa final'!$O$64="Leve"),CONCATENATE("R",'Mapa final'!$A$64),"")</f>
        <v/>
      </c>
      <c r="M54" s="448"/>
      <c r="N54" s="448" t="str">
        <f ca="1">IF(AND('Mapa final'!$K$70="Media",'Mapa final'!$O$70="Leve"),CONCATENATE("R",'Mapa final'!$A$70),"")</f>
        <v/>
      </c>
      <c r="O54" s="448"/>
      <c r="P54" s="448" t="str">
        <f ca="1">IF(AND('Mapa final'!$K$73="Media",'Mapa final'!$O$73="Leve"),CONCATENATE("R",'Mapa final'!$A$73),"")</f>
        <v/>
      </c>
      <c r="Q54" s="448"/>
      <c r="R54" s="448" t="str">
        <f ca="1">IF(AND('Mapa final'!$K$76="Media",'Mapa final'!$O$76="Leve"),CONCATENATE("R",'Mapa final'!$A$76),"")</f>
        <v/>
      </c>
      <c r="S54" s="449"/>
      <c r="T54" s="450" t="str">
        <f ca="1">IF(AND('Mapa final'!$K$61="Media",'Mapa final'!$O$61="Menor"),CONCATENATE("R",'Mapa final'!$A$61),"")</f>
        <v/>
      </c>
      <c r="U54" s="448"/>
      <c r="V54" s="448" t="str">
        <f ca="1">IF(AND('Mapa final'!$K$64="Media",'Mapa final'!$O$64="Menor"),CONCATENATE("R",'Mapa final'!$A$64),"")</f>
        <v/>
      </c>
      <c r="W54" s="448"/>
      <c r="X54" s="448" t="str">
        <f ca="1">IF(AND('Mapa final'!$K$70="Media",'Mapa final'!$O$70="Menor"),CONCATENATE("R",'Mapa final'!$A$70),"")</f>
        <v/>
      </c>
      <c r="Y54" s="448"/>
      <c r="Z54" s="448" t="str">
        <f ca="1">IF(AND('Mapa final'!$K$73="Media",'Mapa final'!$O$73="Menor"),CONCATENATE("R",'Mapa final'!$A$73),"")</f>
        <v/>
      </c>
      <c r="AA54" s="448"/>
      <c r="AB54" s="448" t="str">
        <f ca="1">IF(AND('Mapa final'!$K$76="Media",'Mapa final'!$O$76="Menor"),CONCATENATE("R",'Mapa final'!$A$76),"")</f>
        <v/>
      </c>
      <c r="AC54" s="449"/>
      <c r="AD54" s="450" t="str">
        <f ca="1">IF(AND('Mapa final'!$K$61="Media",'Mapa final'!$O$61="Moderado"),CONCATENATE("R",'Mapa final'!$A$61),"")</f>
        <v/>
      </c>
      <c r="AE54" s="448"/>
      <c r="AF54" s="448" t="str">
        <f ca="1">IF(AND('Mapa final'!$K$64="Media",'Mapa final'!$O$64="Moderado"),CONCATENATE("R",'Mapa final'!$A$64),"")</f>
        <v/>
      </c>
      <c r="AG54" s="448"/>
      <c r="AH54" s="448" t="str">
        <f ca="1">IF(AND('Mapa final'!$K$70="Media",'Mapa final'!$O$70="Moderado"),CONCATENATE("R",'Mapa final'!$A$70),"")</f>
        <v/>
      </c>
      <c r="AI54" s="448"/>
      <c r="AJ54" s="448" t="str">
        <f ca="1">IF(AND('Mapa final'!$K$73="Media",'Mapa final'!$O$73="Moderado"),CONCATENATE("R",'Mapa final'!$A$73),"")</f>
        <v/>
      </c>
      <c r="AK54" s="448"/>
      <c r="AL54" s="448" t="str">
        <f ca="1">IF(AND('Mapa final'!$K$76="Media",'Mapa final'!$O$76="Moderado"),CONCATENATE("R",'Mapa final'!$A$76),"")</f>
        <v/>
      </c>
      <c r="AM54" s="449"/>
      <c r="AN54" s="453" t="str">
        <f ca="1">IF(AND('Mapa final'!$K$61="Media",'Mapa final'!$O$61="Mayor"),CONCATENATE("R",'Mapa final'!$A$61),"")</f>
        <v/>
      </c>
      <c r="AO54" s="451"/>
      <c r="AP54" s="451" t="str">
        <f ca="1">IF(AND('Mapa final'!$K$64="Media",'Mapa final'!$O$64="Mayor"),CONCATENATE("R",'Mapa final'!$A$64),"")</f>
        <v/>
      </c>
      <c r="AQ54" s="451"/>
      <c r="AR54" s="451" t="str">
        <f ca="1">IF(AND('Mapa final'!$K$70="Media",'Mapa final'!$O$70="Mayor"),CONCATENATE("R",'Mapa final'!$A$70),"")</f>
        <v>R23</v>
      </c>
      <c r="AS54" s="451"/>
      <c r="AT54" s="451" t="str">
        <f ca="1">IF(AND('Mapa final'!$K$73="Media",'Mapa final'!$O$73="Mayor"),CONCATENATE("R",'Mapa final'!$A$73),"")</f>
        <v/>
      </c>
      <c r="AU54" s="451"/>
      <c r="AV54" s="451" t="str">
        <f ca="1">IF(AND('Mapa final'!$K$76="Media",'Mapa final'!$O$76="Mayor"),CONCATENATE("R",'Mapa final'!$A$76),"")</f>
        <v/>
      </c>
      <c r="AW54" s="452"/>
      <c r="AX54" s="447" t="str">
        <f ca="1">IF(AND('Mapa final'!$K$61="Media",'Mapa final'!$O$61="Catastrófico"),CONCATENATE("R",'Mapa final'!$A$61),"")</f>
        <v/>
      </c>
      <c r="AY54" s="445"/>
      <c r="AZ54" s="445" t="str">
        <f ca="1">IF(AND('Mapa final'!$K$64="Media",'Mapa final'!$O$64="Catastrófico"),CONCATENATE("R",'Mapa final'!$A$64),"")</f>
        <v/>
      </c>
      <c r="BA54" s="445"/>
      <c r="BB54" s="445" t="str">
        <f ca="1">IF(AND('Mapa final'!$K$70="Media",'Mapa final'!$O$70="Catastrófico"),CONCATENATE("R",'Mapa final'!$A$70),"")</f>
        <v/>
      </c>
      <c r="BC54" s="445"/>
      <c r="BD54" s="445" t="str">
        <f ca="1">IF(AND('Mapa final'!$K$73="Media",'Mapa final'!$O$73="Catastrófico"),CONCATENATE("R",'Mapa final'!$A$73),"")</f>
        <v/>
      </c>
      <c r="BE54" s="445"/>
      <c r="BF54" s="445" t="str">
        <f ca="1">IF(AND('Mapa final'!$K$76="Media",'Mapa final'!$O$76="Catastrófico"),CONCATENATE("R",'Mapa final'!$A$76),"")</f>
        <v/>
      </c>
      <c r="BG54" s="446"/>
      <c r="BH54" s="56"/>
      <c r="BI54" s="494" t="s">
        <v>75</v>
      </c>
      <c r="BJ54" s="495"/>
      <c r="BK54" s="495"/>
      <c r="BL54" s="495"/>
      <c r="BM54" s="495"/>
      <c r="BN54" s="49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row>
    <row r="55" spans="1:100" ht="15" customHeight="1" x14ac:dyDescent="0.25">
      <c r="A55" s="56"/>
      <c r="B55" s="286"/>
      <c r="C55" s="286"/>
      <c r="D55" s="287"/>
      <c r="E55" s="514"/>
      <c r="F55" s="515"/>
      <c r="G55" s="515"/>
      <c r="H55" s="515"/>
      <c r="I55" s="515"/>
      <c r="J55" s="450"/>
      <c r="K55" s="448"/>
      <c r="L55" s="448"/>
      <c r="M55" s="448"/>
      <c r="N55" s="448"/>
      <c r="O55" s="448"/>
      <c r="P55" s="448"/>
      <c r="Q55" s="448"/>
      <c r="R55" s="448"/>
      <c r="S55" s="449"/>
      <c r="T55" s="450"/>
      <c r="U55" s="448"/>
      <c r="V55" s="448"/>
      <c r="W55" s="448"/>
      <c r="X55" s="448"/>
      <c r="Y55" s="448"/>
      <c r="Z55" s="448"/>
      <c r="AA55" s="448"/>
      <c r="AB55" s="448"/>
      <c r="AC55" s="449"/>
      <c r="AD55" s="450"/>
      <c r="AE55" s="448"/>
      <c r="AF55" s="448"/>
      <c r="AG55" s="448"/>
      <c r="AH55" s="448"/>
      <c r="AI55" s="448"/>
      <c r="AJ55" s="448"/>
      <c r="AK55" s="448"/>
      <c r="AL55" s="448"/>
      <c r="AM55" s="449"/>
      <c r="AN55" s="453"/>
      <c r="AO55" s="451"/>
      <c r="AP55" s="451"/>
      <c r="AQ55" s="451"/>
      <c r="AR55" s="451"/>
      <c r="AS55" s="451"/>
      <c r="AT55" s="451"/>
      <c r="AU55" s="451"/>
      <c r="AV55" s="451"/>
      <c r="AW55" s="452"/>
      <c r="AX55" s="447"/>
      <c r="AY55" s="445"/>
      <c r="AZ55" s="445"/>
      <c r="BA55" s="445"/>
      <c r="BB55" s="445"/>
      <c r="BC55" s="445"/>
      <c r="BD55" s="445"/>
      <c r="BE55" s="445"/>
      <c r="BF55" s="445"/>
      <c r="BG55" s="446"/>
      <c r="BH55" s="56"/>
      <c r="BI55" s="497"/>
      <c r="BJ55" s="498"/>
      <c r="BK55" s="498"/>
      <c r="BL55" s="498"/>
      <c r="BM55" s="498"/>
      <c r="BN55" s="499"/>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row>
    <row r="56" spans="1:100" ht="15" customHeight="1" x14ac:dyDescent="0.25">
      <c r="A56" s="56"/>
      <c r="B56" s="286"/>
      <c r="C56" s="286"/>
      <c r="D56" s="287"/>
      <c r="E56" s="514"/>
      <c r="F56" s="515"/>
      <c r="G56" s="515"/>
      <c r="H56" s="515"/>
      <c r="I56" s="515"/>
      <c r="J56" s="450" t="str">
        <f ca="1">IF(AND('Mapa final'!$K$79="Media",'Mapa final'!$O$79="Leve"),CONCATENATE("R",'Mapa final'!$A$79),"")</f>
        <v/>
      </c>
      <c r="K56" s="448"/>
      <c r="L56" s="448" t="str">
        <f ca="1">IF(AND('Mapa final'!$K$82="Media",'Mapa final'!$O$82="Leve"),CONCATENATE("R",'Mapa final'!$A$82),"")</f>
        <v/>
      </c>
      <c r="M56" s="448"/>
      <c r="N56" s="448" t="str">
        <f ca="1">IF(AND('Mapa final'!$K$85="Media",'Mapa final'!$O$85="Leve"),CONCATENATE("R",'Mapa final'!$A$85),"")</f>
        <v/>
      </c>
      <c r="O56" s="448"/>
      <c r="P56" s="448" t="str">
        <f ca="1">IF(AND('Mapa final'!$K$88="Media",'Mapa final'!$O$88="Leve"),CONCATENATE("R",'Mapa final'!$A$88),"")</f>
        <v/>
      </c>
      <c r="Q56" s="448"/>
      <c r="R56" s="448" t="str">
        <f ca="1">IF(AND('Mapa final'!$K$91="Media",'Mapa final'!$O$91="Leve"),CONCATENATE("R",'Mapa final'!$A$91),"")</f>
        <v/>
      </c>
      <c r="S56" s="449"/>
      <c r="T56" s="450" t="str">
        <f ca="1">IF(AND('Mapa final'!$K$79="Media",'Mapa final'!$O$79="Menor"),CONCATENATE("R",'Mapa final'!$A$79),"")</f>
        <v/>
      </c>
      <c r="U56" s="448"/>
      <c r="V56" s="448" t="str">
        <f ca="1">IF(AND('Mapa final'!$K$82="Media",'Mapa final'!$O$82="Menor"),CONCATENATE("R",'Mapa final'!$A$82),"")</f>
        <v/>
      </c>
      <c r="W56" s="448"/>
      <c r="X56" s="448" t="str">
        <f ca="1">IF(AND('Mapa final'!$K$85="Media",'Mapa final'!$O$85="Menor"),CONCATENATE("R",'Mapa final'!$A$85),"")</f>
        <v/>
      </c>
      <c r="Y56" s="448"/>
      <c r="Z56" s="448" t="str">
        <f ca="1">IF(AND('Mapa final'!$K$88="Media",'Mapa final'!$O$88="Menor"),CONCATENATE("R",'Mapa final'!$A$88),"")</f>
        <v/>
      </c>
      <c r="AA56" s="448"/>
      <c r="AB56" s="448" t="str">
        <f ca="1">IF(AND('Mapa final'!$K$91="Media",'Mapa final'!$O$91="Menor"),CONCATENATE("R",'Mapa final'!$A$91),"")</f>
        <v/>
      </c>
      <c r="AC56" s="449"/>
      <c r="AD56" s="450" t="str">
        <f ca="1">IF(AND('Mapa final'!$K$79="Media",'Mapa final'!$O$79="Moderado"),CONCATENATE("R",'Mapa final'!$A$79),"")</f>
        <v/>
      </c>
      <c r="AE56" s="448"/>
      <c r="AF56" s="448" t="str">
        <f ca="1">IF(AND('Mapa final'!$K$82="Media",'Mapa final'!$O$82="Moderado"),CONCATENATE("R",'Mapa final'!$A$82),"")</f>
        <v/>
      </c>
      <c r="AG56" s="448"/>
      <c r="AH56" s="448" t="str">
        <f ca="1">IF(AND('Mapa final'!$K$85="Media",'Mapa final'!$O$85="Moderado"),CONCATENATE("R",'Mapa final'!$A$85),"")</f>
        <v/>
      </c>
      <c r="AI56" s="448"/>
      <c r="AJ56" s="448" t="str">
        <f ca="1">IF(AND('Mapa final'!$K$88="Media",'Mapa final'!$O$88="Moderado"),CONCATENATE("R",'Mapa final'!$A$88),"")</f>
        <v/>
      </c>
      <c r="AK56" s="448"/>
      <c r="AL56" s="448" t="str">
        <f ca="1">IF(AND('Mapa final'!$K$91="Media",'Mapa final'!$O$91="Moderado"),CONCATENATE("R",'Mapa final'!$A$91),"")</f>
        <v/>
      </c>
      <c r="AM56" s="449"/>
      <c r="AN56" s="453" t="str">
        <f ca="1">IF(AND('Mapa final'!$K$79="Media",'Mapa final'!$O$79="Mayor"),CONCATENATE("R",'Mapa final'!$A$79),"")</f>
        <v/>
      </c>
      <c r="AO56" s="451"/>
      <c r="AP56" s="451" t="str">
        <f ca="1">IF(AND('Mapa final'!$K$82="Media",'Mapa final'!$O$82="Mayor"),CONCATENATE("R",'Mapa final'!$A$82),"")</f>
        <v/>
      </c>
      <c r="AQ56" s="451"/>
      <c r="AR56" s="451" t="str">
        <f ca="1">IF(AND('Mapa final'!$K$85="Media",'Mapa final'!$O$85="Mayor"),CONCATENATE("R",'Mapa final'!$A$85),"")</f>
        <v>R28</v>
      </c>
      <c r="AS56" s="451"/>
      <c r="AT56" s="451" t="str">
        <f ca="1">IF(AND('Mapa final'!$K$88="Media",'Mapa final'!$O$88="Mayor"),CONCATENATE("R",'Mapa final'!$A$88),"")</f>
        <v>R29</v>
      </c>
      <c r="AU56" s="451"/>
      <c r="AV56" s="451" t="str">
        <f ca="1">IF(AND('Mapa final'!$K$91="Media",'Mapa final'!$O$91="Mayor"),CONCATENATE("R",'Mapa final'!$A$91),"")</f>
        <v/>
      </c>
      <c r="AW56" s="452"/>
      <c r="AX56" s="447" t="str">
        <f ca="1">IF(AND('Mapa final'!$K$79="Media",'Mapa final'!$O$79="Catastrófico"),CONCATENATE("R",'Mapa final'!$A$79),"")</f>
        <v/>
      </c>
      <c r="AY56" s="445"/>
      <c r="AZ56" s="445" t="str">
        <f ca="1">IF(AND('Mapa final'!$K$82="Media",'Mapa final'!$O$82="Catastrófico"),CONCATENATE("R",'Mapa final'!$A$82),"")</f>
        <v/>
      </c>
      <c r="BA56" s="445"/>
      <c r="BB56" s="445" t="str">
        <f ca="1">IF(AND('Mapa final'!$K$85="Media",'Mapa final'!$O$85="Catastrófico"),CONCATENATE("R",'Mapa final'!$A$85),"")</f>
        <v/>
      </c>
      <c r="BC56" s="445"/>
      <c r="BD56" s="445" t="str">
        <f ca="1">IF(AND('Mapa final'!$K$88="Media",'Mapa final'!$O$88="Catastrófico"),CONCATENATE("R",'Mapa final'!$A$88),"")</f>
        <v/>
      </c>
      <c r="BE56" s="445"/>
      <c r="BF56" s="445" t="str">
        <f ca="1">IF(AND('Mapa final'!$K$91="Media",'Mapa final'!$O$91="Catastrófico"),CONCATENATE("R",'Mapa final'!$A$91),"")</f>
        <v/>
      </c>
      <c r="BG56" s="446"/>
      <c r="BH56" s="56"/>
      <c r="BI56" s="497"/>
      <c r="BJ56" s="498"/>
      <c r="BK56" s="498"/>
      <c r="BL56" s="498"/>
      <c r="BM56" s="498"/>
      <c r="BN56" s="499"/>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row>
    <row r="57" spans="1:100" ht="15" customHeight="1" x14ac:dyDescent="0.25">
      <c r="A57" s="56"/>
      <c r="B57" s="286"/>
      <c r="C57" s="286"/>
      <c r="D57" s="287"/>
      <c r="E57" s="514"/>
      <c r="F57" s="515"/>
      <c r="G57" s="515"/>
      <c r="H57" s="515"/>
      <c r="I57" s="515"/>
      <c r="J57" s="450"/>
      <c r="K57" s="448"/>
      <c r="L57" s="448"/>
      <c r="M57" s="448"/>
      <c r="N57" s="448"/>
      <c r="O57" s="448"/>
      <c r="P57" s="448"/>
      <c r="Q57" s="448"/>
      <c r="R57" s="448"/>
      <c r="S57" s="449"/>
      <c r="T57" s="450"/>
      <c r="U57" s="448"/>
      <c r="V57" s="448"/>
      <c r="W57" s="448"/>
      <c r="X57" s="448"/>
      <c r="Y57" s="448"/>
      <c r="Z57" s="448"/>
      <c r="AA57" s="448"/>
      <c r="AB57" s="448"/>
      <c r="AC57" s="449"/>
      <c r="AD57" s="450"/>
      <c r="AE57" s="448"/>
      <c r="AF57" s="448"/>
      <c r="AG57" s="448"/>
      <c r="AH57" s="448"/>
      <c r="AI57" s="448"/>
      <c r="AJ57" s="448"/>
      <c r="AK57" s="448"/>
      <c r="AL57" s="448"/>
      <c r="AM57" s="449"/>
      <c r="AN57" s="453"/>
      <c r="AO57" s="451"/>
      <c r="AP57" s="451"/>
      <c r="AQ57" s="451"/>
      <c r="AR57" s="451"/>
      <c r="AS57" s="451"/>
      <c r="AT57" s="451"/>
      <c r="AU57" s="451"/>
      <c r="AV57" s="451"/>
      <c r="AW57" s="452"/>
      <c r="AX57" s="447"/>
      <c r="AY57" s="445"/>
      <c r="AZ57" s="445"/>
      <c r="BA57" s="445"/>
      <c r="BB57" s="445"/>
      <c r="BC57" s="445"/>
      <c r="BD57" s="445"/>
      <c r="BE57" s="445"/>
      <c r="BF57" s="445"/>
      <c r="BG57" s="446"/>
      <c r="BH57" s="56"/>
      <c r="BI57" s="497"/>
      <c r="BJ57" s="498"/>
      <c r="BK57" s="498"/>
      <c r="BL57" s="498"/>
      <c r="BM57" s="498"/>
      <c r="BN57" s="499"/>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row>
    <row r="58" spans="1:100" ht="15" customHeight="1" x14ac:dyDescent="0.25">
      <c r="A58" s="56"/>
      <c r="B58" s="286"/>
      <c r="C58" s="286"/>
      <c r="D58" s="287"/>
      <c r="E58" s="514"/>
      <c r="F58" s="515"/>
      <c r="G58" s="515"/>
      <c r="H58" s="515"/>
      <c r="I58" s="515"/>
      <c r="J58" s="450" t="str">
        <f ca="1">IF(AND('Mapa final'!$K$94="Media",'Mapa final'!$O$94="Leve"),CONCATENATE("R",'Mapa final'!$A$94),"")</f>
        <v/>
      </c>
      <c r="K58" s="448"/>
      <c r="L58" s="448" t="e">
        <f>IF(AND('Mapa final'!#REF!="Media",'Mapa final'!#REF!="Leve"),CONCATENATE("R",'Mapa final'!#REF!),"")</f>
        <v>#REF!</v>
      </c>
      <c r="M58" s="448"/>
      <c r="N58" s="448" t="str">
        <f>IF(AND('Mapa final'!$K$97="Media",'Mapa final'!$O$97="Leve"),CONCATENATE("R",'Mapa final'!$A$97),"")</f>
        <v/>
      </c>
      <c r="O58" s="448"/>
      <c r="P58" s="448" t="str">
        <f ca="1">IF(AND('Mapa final'!$K$100="Media",'Mapa final'!$O$100="Leve"),CONCATENATE("R",'Mapa final'!$A$100),"")</f>
        <v/>
      </c>
      <c r="Q58" s="448"/>
      <c r="R58" s="448" t="str">
        <f ca="1">IF(AND('Mapa final'!$K$103="Media",'Mapa final'!$O$103="Leve"),CONCATENATE("R",'Mapa final'!$A$103),"")</f>
        <v/>
      </c>
      <c r="S58" s="449"/>
      <c r="T58" s="450" t="str">
        <f ca="1">IF(AND('Mapa final'!$K$94="Media",'Mapa final'!$O$94="Menor"),CONCATENATE("R",'Mapa final'!$A$94),"")</f>
        <v/>
      </c>
      <c r="U58" s="448"/>
      <c r="V58" s="448" t="e">
        <f>IF(AND('Mapa final'!#REF!="Media",'Mapa final'!#REF!="Menor"),CONCATENATE("R",'Mapa final'!#REF!),"")</f>
        <v>#REF!</v>
      </c>
      <c r="W58" s="448"/>
      <c r="X58" s="448" t="str">
        <f>IF(AND('Mapa final'!$K$97="Media",'Mapa final'!$O$97="Menor"),CONCATENATE("R",'Mapa final'!$A$97),"")</f>
        <v/>
      </c>
      <c r="Y58" s="448"/>
      <c r="Z58" s="448" t="str">
        <f ca="1">IF(AND('Mapa final'!$K$100="Media",'Mapa final'!$O$100="Menor"),CONCATENATE("R",'Mapa final'!$A$100),"")</f>
        <v/>
      </c>
      <c r="AA58" s="448"/>
      <c r="AB58" s="448" t="str">
        <f ca="1">IF(AND('Mapa final'!$K$103="Media",'Mapa final'!$O$103="Menor"),CONCATENATE("R",'Mapa final'!$A$103),"")</f>
        <v/>
      </c>
      <c r="AC58" s="449"/>
      <c r="AD58" s="450" t="str">
        <f ca="1">IF(AND('Mapa final'!$K$94="Media",'Mapa final'!$O$94="Moderado"),CONCATENATE("R",'Mapa final'!$A$94),"")</f>
        <v/>
      </c>
      <c r="AE58" s="448"/>
      <c r="AF58" s="448" t="e">
        <f>IF(AND('Mapa final'!#REF!="Media",'Mapa final'!#REF!="Moderado"),CONCATENATE("R",'Mapa final'!#REF!),"")</f>
        <v>#REF!</v>
      </c>
      <c r="AG58" s="448"/>
      <c r="AH58" s="448" t="str">
        <f>IF(AND('Mapa final'!$K$97="Media",'Mapa final'!$O$97="Moderado"),CONCATENATE("R",'Mapa final'!$A$97),"")</f>
        <v/>
      </c>
      <c r="AI58" s="448"/>
      <c r="AJ58" s="448" t="str">
        <f ca="1">IF(AND('Mapa final'!$K$100="Media",'Mapa final'!$O$100="Moderado"),CONCATENATE("R",'Mapa final'!$A$100),"")</f>
        <v>R33</v>
      </c>
      <c r="AK58" s="448"/>
      <c r="AL58" s="448" t="str">
        <f ca="1">IF(AND('Mapa final'!$K$103="Media",'Mapa final'!$O$103="Moderado"),CONCATENATE("R",'Mapa final'!$A$103),"")</f>
        <v>R34</v>
      </c>
      <c r="AM58" s="449"/>
      <c r="AN58" s="453" t="str">
        <f ca="1">IF(AND('Mapa final'!$K$94="Media",'Mapa final'!$O$94="Mayor"),CONCATENATE("R",'Mapa final'!$A$94),"")</f>
        <v/>
      </c>
      <c r="AO58" s="451"/>
      <c r="AP58" s="451" t="e">
        <f>IF(AND('Mapa final'!#REF!="Media",'Mapa final'!#REF!="Mayor"),CONCATENATE("R",'Mapa final'!#REF!),"")</f>
        <v>#REF!</v>
      </c>
      <c r="AQ58" s="451"/>
      <c r="AR58" s="451" t="str">
        <f>IF(AND('Mapa final'!$K$97="Media",'Mapa final'!$O$97="Mayor"),CONCATENATE("R",'Mapa final'!$A$97),"")</f>
        <v/>
      </c>
      <c r="AS58" s="451"/>
      <c r="AT58" s="451" t="str">
        <f ca="1">IF(AND('Mapa final'!$K$100="Media",'Mapa final'!$O$100="Mayor"),CONCATENATE("R",'Mapa final'!$A$100),"")</f>
        <v/>
      </c>
      <c r="AU58" s="451"/>
      <c r="AV58" s="451" t="str">
        <f ca="1">IF(AND('Mapa final'!$K$103="Media",'Mapa final'!$O$103="Mayor"),CONCATENATE("R",'Mapa final'!$A$103),"")</f>
        <v/>
      </c>
      <c r="AW58" s="452"/>
      <c r="AX58" s="447" t="str">
        <f ca="1">IF(AND('Mapa final'!$K$94="Media",'Mapa final'!$O$94="Catastrófico"),CONCATENATE("R",'Mapa final'!$A$94),"")</f>
        <v/>
      </c>
      <c r="AY58" s="445"/>
      <c r="AZ58" s="445" t="e">
        <f>IF(AND('Mapa final'!#REF!="Media",'Mapa final'!#REF!="Catastrófico"),CONCATENATE("R",'Mapa final'!#REF!),"")</f>
        <v>#REF!</v>
      </c>
      <c r="BA58" s="445"/>
      <c r="BB58" s="445" t="str">
        <f>IF(AND('Mapa final'!$K$97="Media",'Mapa final'!$O$97="Catastrófico"),CONCATENATE("R",'Mapa final'!$A$97),"")</f>
        <v/>
      </c>
      <c r="BC58" s="445"/>
      <c r="BD58" s="445" t="str">
        <f ca="1">IF(AND('Mapa final'!$K$100="Media",'Mapa final'!$O$100="Catastrófico"),CONCATENATE("R",'Mapa final'!$A$100),"")</f>
        <v/>
      </c>
      <c r="BE58" s="445"/>
      <c r="BF58" s="445" t="str">
        <f ca="1">IF(AND('Mapa final'!$K$103="Media",'Mapa final'!$O$103="Catastrófico"),CONCATENATE("R",'Mapa final'!$A$103),"")</f>
        <v/>
      </c>
      <c r="BG58" s="446"/>
      <c r="BH58" s="56"/>
      <c r="BI58" s="497"/>
      <c r="BJ58" s="498"/>
      <c r="BK58" s="498"/>
      <c r="BL58" s="498"/>
      <c r="BM58" s="498"/>
      <c r="BN58" s="499"/>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row>
    <row r="59" spans="1:100" ht="15" customHeight="1" x14ac:dyDescent="0.25">
      <c r="A59" s="56"/>
      <c r="B59" s="286"/>
      <c r="C59" s="286"/>
      <c r="D59" s="287"/>
      <c r="E59" s="514"/>
      <c r="F59" s="515"/>
      <c r="G59" s="515"/>
      <c r="H59" s="515"/>
      <c r="I59" s="515"/>
      <c r="J59" s="450"/>
      <c r="K59" s="448"/>
      <c r="L59" s="448"/>
      <c r="M59" s="448"/>
      <c r="N59" s="448"/>
      <c r="O59" s="448"/>
      <c r="P59" s="448"/>
      <c r="Q59" s="448"/>
      <c r="R59" s="448"/>
      <c r="S59" s="449"/>
      <c r="T59" s="450"/>
      <c r="U59" s="448"/>
      <c r="V59" s="448"/>
      <c r="W59" s="448"/>
      <c r="X59" s="448"/>
      <c r="Y59" s="448"/>
      <c r="Z59" s="448"/>
      <c r="AA59" s="448"/>
      <c r="AB59" s="448"/>
      <c r="AC59" s="449"/>
      <c r="AD59" s="450"/>
      <c r="AE59" s="448"/>
      <c r="AF59" s="448"/>
      <c r="AG59" s="448"/>
      <c r="AH59" s="448"/>
      <c r="AI59" s="448"/>
      <c r="AJ59" s="448"/>
      <c r="AK59" s="448"/>
      <c r="AL59" s="448"/>
      <c r="AM59" s="449"/>
      <c r="AN59" s="453"/>
      <c r="AO59" s="451"/>
      <c r="AP59" s="451"/>
      <c r="AQ59" s="451"/>
      <c r="AR59" s="451"/>
      <c r="AS59" s="451"/>
      <c r="AT59" s="451"/>
      <c r="AU59" s="451"/>
      <c r="AV59" s="451"/>
      <c r="AW59" s="452"/>
      <c r="AX59" s="447"/>
      <c r="AY59" s="445"/>
      <c r="AZ59" s="445"/>
      <c r="BA59" s="445"/>
      <c r="BB59" s="445"/>
      <c r="BC59" s="445"/>
      <c r="BD59" s="445"/>
      <c r="BE59" s="445"/>
      <c r="BF59" s="445"/>
      <c r="BG59" s="446"/>
      <c r="BH59" s="56"/>
      <c r="BI59" s="497"/>
      <c r="BJ59" s="498"/>
      <c r="BK59" s="498"/>
      <c r="BL59" s="498"/>
      <c r="BM59" s="498"/>
      <c r="BN59" s="499"/>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row>
    <row r="60" spans="1:100" ht="15" customHeight="1" x14ac:dyDescent="0.25">
      <c r="A60" s="56"/>
      <c r="B60" s="286"/>
      <c r="C60" s="286"/>
      <c r="D60" s="287"/>
      <c r="E60" s="514"/>
      <c r="F60" s="515"/>
      <c r="G60" s="515"/>
      <c r="H60" s="515"/>
      <c r="I60" s="515"/>
      <c r="J60" s="450" t="str">
        <f ca="1">IF(AND('Mapa final'!$K$106="Media",'Mapa final'!$O$106="Leve"),CONCATENATE("R",'Mapa final'!$A$106),"")</f>
        <v/>
      </c>
      <c r="K60" s="448"/>
      <c r="L60" s="448" t="str">
        <f ca="1">IF(AND('Mapa final'!$K$109="Media",'Mapa final'!$O$109="Leve"),CONCATENATE("R",'Mapa final'!$A$109),"")</f>
        <v/>
      </c>
      <c r="M60" s="448"/>
      <c r="N60" s="448" t="str">
        <f ca="1">IF(AND('Mapa final'!$K$112="Media",'Mapa final'!$O$112="Leve"),CONCATENATE("R",'Mapa final'!$A$112),"")</f>
        <v/>
      </c>
      <c r="O60" s="448"/>
      <c r="P60" s="448" t="str">
        <f ca="1">IF(AND('Mapa final'!$K$115="Media",'Mapa final'!$O$115="Leve"),CONCATENATE("R",'Mapa final'!$A$115),"")</f>
        <v/>
      </c>
      <c r="Q60" s="448"/>
      <c r="R60" s="448" t="str">
        <f ca="1">IF(AND('Mapa final'!$K$118="Media",'Mapa final'!$O$118="Leve"),CONCATENATE("R",'Mapa final'!$A$118),"")</f>
        <v/>
      </c>
      <c r="S60" s="449"/>
      <c r="T60" s="450" t="str">
        <f ca="1">IF(AND('Mapa final'!$K$106="Media",'Mapa final'!$O$106="Menor"),CONCATENATE("R",'Mapa final'!$A$106),"")</f>
        <v/>
      </c>
      <c r="U60" s="448"/>
      <c r="V60" s="448" t="str">
        <f ca="1">IF(AND('Mapa final'!$K$109="Media",'Mapa final'!$O$109="Menor"),CONCATENATE("R",'Mapa final'!$A$109),"")</f>
        <v>R36</v>
      </c>
      <c r="W60" s="448"/>
      <c r="X60" s="448" t="str">
        <f ca="1">IF(AND('Mapa final'!$K$112="Media",'Mapa final'!$O$112="Menor"),CONCATENATE("R",'Mapa final'!$A$112),"")</f>
        <v/>
      </c>
      <c r="Y60" s="448"/>
      <c r="Z60" s="448" t="str">
        <f ca="1">IF(AND('Mapa final'!$K$115="Media",'Mapa final'!$O$115="Menor"),CONCATENATE("R",'Mapa final'!$A$115),"")</f>
        <v/>
      </c>
      <c r="AA60" s="448"/>
      <c r="AB60" s="448" t="str">
        <f ca="1">IF(AND('Mapa final'!$K$118="Media",'Mapa final'!$O$118="Menor"),CONCATENATE("R",'Mapa final'!$A$118),"")</f>
        <v/>
      </c>
      <c r="AC60" s="449"/>
      <c r="AD60" s="450" t="str">
        <f ca="1">IF(AND('Mapa final'!$K$106="Media",'Mapa final'!$O$106="Moderado"),CONCATENATE("R",'Mapa final'!$A$106),"")</f>
        <v/>
      </c>
      <c r="AE60" s="448"/>
      <c r="AF60" s="448" t="str">
        <f ca="1">IF(AND('Mapa final'!$K$109="Media",'Mapa final'!$O$109="Moderado"),CONCATENATE("R",'Mapa final'!$A$109),"")</f>
        <v/>
      </c>
      <c r="AG60" s="448"/>
      <c r="AH60" s="448" t="str">
        <f ca="1">IF(AND('Mapa final'!$K$112="Media",'Mapa final'!$O$112="Moderado"),CONCATENATE("R",'Mapa final'!$A$112),"")</f>
        <v/>
      </c>
      <c r="AI60" s="448"/>
      <c r="AJ60" s="448" t="str">
        <f ca="1">IF(AND('Mapa final'!$K$115="Media",'Mapa final'!$O$115="Moderado"),CONCATENATE("R",'Mapa final'!$A$115),"")</f>
        <v/>
      </c>
      <c r="AK60" s="448"/>
      <c r="AL60" s="448" t="str">
        <f ca="1">IF(AND('Mapa final'!$K$118="Media",'Mapa final'!$O$118="Moderado"),CONCATENATE("R",'Mapa final'!$A$118),"")</f>
        <v>R39</v>
      </c>
      <c r="AM60" s="449"/>
      <c r="AN60" s="453" t="str">
        <f ca="1">IF(AND('Mapa final'!$K$106="Media",'Mapa final'!$O$106="Mayor"),CONCATENATE("R",'Mapa final'!$A$106),"")</f>
        <v>R35</v>
      </c>
      <c r="AO60" s="451"/>
      <c r="AP60" s="451" t="str">
        <f ca="1">IF(AND('Mapa final'!$K$109="Media",'Mapa final'!$O$109="Mayor"),CONCATENATE("R",'Mapa final'!$A$109),"")</f>
        <v/>
      </c>
      <c r="AQ60" s="451"/>
      <c r="AR60" s="451" t="str">
        <f ca="1">IF(AND('Mapa final'!$K$112="Media",'Mapa final'!$O$112="Mayor"),CONCATENATE("R",'Mapa final'!$A$112),"")</f>
        <v/>
      </c>
      <c r="AS60" s="451"/>
      <c r="AT60" s="451" t="str">
        <f ca="1">IF(AND('Mapa final'!$K$115="Media",'Mapa final'!$O$115="Mayor"),CONCATENATE("R",'Mapa final'!$A$115),"")</f>
        <v/>
      </c>
      <c r="AU60" s="451"/>
      <c r="AV60" s="451" t="str">
        <f ca="1">IF(AND('Mapa final'!$K$118="Media",'Mapa final'!$O$118="Mayor"),CONCATENATE("R",'Mapa final'!$A$118),"")</f>
        <v/>
      </c>
      <c r="AW60" s="452"/>
      <c r="AX60" s="447" t="str">
        <f ca="1">IF(AND('Mapa final'!$K$106="Media",'Mapa final'!$O$106="Catastrófico"),CONCATENATE("R",'Mapa final'!$A$106),"")</f>
        <v/>
      </c>
      <c r="AY60" s="445"/>
      <c r="AZ60" s="445" t="str">
        <f ca="1">IF(AND('Mapa final'!$K$109="Media",'Mapa final'!$O$109="Catastrófico"),CONCATENATE("R",'Mapa final'!$A$109),"")</f>
        <v/>
      </c>
      <c r="BA60" s="445"/>
      <c r="BB60" s="445" t="str">
        <f ca="1">IF(AND('Mapa final'!$K$112="Media",'Mapa final'!$O$112="Catastrófico"),CONCATENATE("R",'Mapa final'!$A$112),"")</f>
        <v/>
      </c>
      <c r="BC60" s="445"/>
      <c r="BD60" s="445" t="str">
        <f ca="1">IF(AND('Mapa final'!$K$115="Media",'Mapa final'!$O$115="Catastrófico"),CONCATENATE("R",'Mapa final'!$A$115),"")</f>
        <v/>
      </c>
      <c r="BE60" s="445"/>
      <c r="BF60" s="445" t="str">
        <f ca="1">IF(AND('Mapa final'!$K$118="Media",'Mapa final'!$O$118="Catastrófico"),CONCATENATE("R",'Mapa final'!$A$118),"")</f>
        <v/>
      </c>
      <c r="BG60" s="446"/>
      <c r="BH60" s="56"/>
      <c r="BI60" s="497"/>
      <c r="BJ60" s="498"/>
      <c r="BK60" s="498"/>
      <c r="BL60" s="498"/>
      <c r="BM60" s="498"/>
      <c r="BN60" s="499"/>
      <c r="BO60" s="56"/>
      <c r="BP60" s="56"/>
      <c r="BQ60" s="56"/>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row>
    <row r="61" spans="1:100" ht="15" customHeight="1" x14ac:dyDescent="0.25">
      <c r="A61" s="56"/>
      <c r="B61" s="286"/>
      <c r="C61" s="286"/>
      <c r="D61" s="287"/>
      <c r="E61" s="514"/>
      <c r="F61" s="515"/>
      <c r="G61" s="515"/>
      <c r="H61" s="515"/>
      <c r="I61" s="515"/>
      <c r="J61" s="450"/>
      <c r="K61" s="448"/>
      <c r="L61" s="448"/>
      <c r="M61" s="448"/>
      <c r="N61" s="448"/>
      <c r="O61" s="448"/>
      <c r="P61" s="448"/>
      <c r="Q61" s="448"/>
      <c r="R61" s="448"/>
      <c r="S61" s="449"/>
      <c r="T61" s="450"/>
      <c r="U61" s="448"/>
      <c r="V61" s="448"/>
      <c r="W61" s="448"/>
      <c r="X61" s="448"/>
      <c r="Y61" s="448"/>
      <c r="Z61" s="448"/>
      <c r="AA61" s="448"/>
      <c r="AB61" s="448"/>
      <c r="AC61" s="449"/>
      <c r="AD61" s="450"/>
      <c r="AE61" s="448"/>
      <c r="AF61" s="448"/>
      <c r="AG61" s="448"/>
      <c r="AH61" s="448"/>
      <c r="AI61" s="448"/>
      <c r="AJ61" s="448"/>
      <c r="AK61" s="448"/>
      <c r="AL61" s="448"/>
      <c r="AM61" s="449"/>
      <c r="AN61" s="453"/>
      <c r="AO61" s="451"/>
      <c r="AP61" s="451"/>
      <c r="AQ61" s="451"/>
      <c r="AR61" s="451"/>
      <c r="AS61" s="451"/>
      <c r="AT61" s="451"/>
      <c r="AU61" s="451"/>
      <c r="AV61" s="451"/>
      <c r="AW61" s="452"/>
      <c r="AX61" s="447"/>
      <c r="AY61" s="445"/>
      <c r="AZ61" s="445"/>
      <c r="BA61" s="445"/>
      <c r="BB61" s="445"/>
      <c r="BC61" s="445"/>
      <c r="BD61" s="445"/>
      <c r="BE61" s="445"/>
      <c r="BF61" s="445"/>
      <c r="BG61" s="446"/>
      <c r="BH61" s="56"/>
      <c r="BI61" s="497"/>
      <c r="BJ61" s="498"/>
      <c r="BK61" s="498"/>
      <c r="BL61" s="498"/>
      <c r="BM61" s="498"/>
      <c r="BN61" s="499"/>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row>
    <row r="62" spans="1:100" ht="15" customHeight="1" x14ac:dyDescent="0.25">
      <c r="A62" s="56"/>
      <c r="B62" s="286"/>
      <c r="C62" s="286"/>
      <c r="D62" s="287"/>
      <c r="E62" s="514"/>
      <c r="F62" s="515"/>
      <c r="G62" s="515"/>
      <c r="H62" s="515"/>
      <c r="I62" s="515"/>
      <c r="J62" s="450" t="str">
        <f ca="1">IF(AND('Mapa final'!$K$121="Media",'Mapa final'!$O$121="Leve"),CONCATENATE("R",'Mapa final'!$A$121),"")</f>
        <v/>
      </c>
      <c r="K62" s="448"/>
      <c r="L62" s="448" t="str">
        <f ca="1">IF(AND('Mapa final'!$K$124="Media",'Mapa final'!$O$124="Leve"),CONCATENATE("R",'Mapa final'!$A$124),"")</f>
        <v/>
      </c>
      <c r="M62" s="448"/>
      <c r="N62" s="448" t="str">
        <f ca="1">IF(AND('Mapa final'!$K$127="Media",'Mapa final'!$O$127="Leve"),CONCATENATE("R",'Mapa final'!$A$127),"")</f>
        <v/>
      </c>
      <c r="O62" s="448"/>
      <c r="P62" s="448" t="str">
        <f ca="1">IF(AND('Mapa final'!$K$130="Media",'Mapa final'!$O$130="Leve"),CONCATENATE("R",'Mapa final'!$A$130),"")</f>
        <v/>
      </c>
      <c r="Q62" s="448"/>
      <c r="R62" s="448" t="str">
        <f ca="1">IF(AND('Mapa final'!$K$133="Media",'Mapa final'!$O$133="Leve"),CONCATENATE("R",'Mapa final'!$A$133),"")</f>
        <v/>
      </c>
      <c r="S62" s="449"/>
      <c r="T62" s="450" t="str">
        <f ca="1">IF(AND('Mapa final'!$K$121="Media",'Mapa final'!$O$121="Menor"),CONCATENATE("R",'Mapa final'!$A$121),"")</f>
        <v/>
      </c>
      <c r="U62" s="448"/>
      <c r="V62" s="448" t="str">
        <f ca="1">IF(AND('Mapa final'!$K$124="Media",'Mapa final'!$O$124="Menor"),CONCATENATE("R",'Mapa final'!$A$124),"")</f>
        <v/>
      </c>
      <c r="W62" s="448"/>
      <c r="X62" s="448" t="str">
        <f ca="1">IF(AND('Mapa final'!$K$127="Media",'Mapa final'!$O$127="Menor"),CONCATENATE("R",'Mapa final'!$A$127),"")</f>
        <v/>
      </c>
      <c r="Y62" s="448"/>
      <c r="Z62" s="448" t="str">
        <f ca="1">IF(AND('Mapa final'!$K$130="Media",'Mapa final'!$O$130="Menor"),CONCATENATE("R",'Mapa final'!$A$130),"")</f>
        <v/>
      </c>
      <c r="AA62" s="448"/>
      <c r="AB62" s="448" t="str">
        <f ca="1">IF(AND('Mapa final'!$K$133="Media",'Mapa final'!$O$133="Menor"),CONCATENATE("R",'Mapa final'!$A$133),"")</f>
        <v/>
      </c>
      <c r="AC62" s="449"/>
      <c r="AD62" s="450" t="str">
        <f ca="1">IF(AND('Mapa final'!$K$121="Media",'Mapa final'!$O$121="Moderado"),CONCATENATE("R",'Mapa final'!$A$121),"")</f>
        <v>R40</v>
      </c>
      <c r="AE62" s="448"/>
      <c r="AF62" s="448" t="str">
        <f ca="1">IF(AND('Mapa final'!$K$124="Media",'Mapa final'!$O$124="Moderado"),CONCATENATE("R",'Mapa final'!$A$124),"")</f>
        <v/>
      </c>
      <c r="AG62" s="448"/>
      <c r="AH62" s="448" t="str">
        <f ca="1">IF(AND('Mapa final'!$K$127="Media",'Mapa final'!$O$127="Moderado"),CONCATENATE("R",'Mapa final'!$A$127),"")</f>
        <v/>
      </c>
      <c r="AI62" s="448"/>
      <c r="AJ62" s="448" t="str">
        <f ca="1">IF(AND('Mapa final'!$K$130="Media",'Mapa final'!$O$130="Moderado"),CONCATENATE("R",'Mapa final'!$A$130),"")</f>
        <v>R43</v>
      </c>
      <c r="AK62" s="448"/>
      <c r="AL62" s="448" t="str">
        <f ca="1">IF(AND('Mapa final'!$K$133="Media",'Mapa final'!$O$133="Moderado"),CONCATENATE("R",'Mapa final'!$A$133),"")</f>
        <v/>
      </c>
      <c r="AM62" s="449"/>
      <c r="AN62" s="453" t="str">
        <f ca="1">IF(AND('Mapa final'!$K$121="Media",'Mapa final'!$O$121="Mayor"),CONCATENATE("R",'Mapa final'!$A$121),"")</f>
        <v/>
      </c>
      <c r="AO62" s="451"/>
      <c r="AP62" s="451" t="str">
        <f ca="1">IF(AND('Mapa final'!$K$124="Media",'Mapa final'!$O$124="Mayor"),CONCATENATE("R",'Mapa final'!$A$124),"")</f>
        <v/>
      </c>
      <c r="AQ62" s="451"/>
      <c r="AR62" s="451" t="str">
        <f ca="1">IF(AND('Mapa final'!$K$127="Media",'Mapa final'!$O$127="Mayor"),CONCATENATE("R",'Mapa final'!$A$127),"")</f>
        <v>R42</v>
      </c>
      <c r="AS62" s="451"/>
      <c r="AT62" s="451" t="str">
        <f ca="1">IF(AND('Mapa final'!$K$130="Media",'Mapa final'!$O$130="Mayor"),CONCATENATE("R",'Mapa final'!$A$130),"")</f>
        <v/>
      </c>
      <c r="AU62" s="451"/>
      <c r="AV62" s="451" t="str">
        <f ca="1">IF(AND('Mapa final'!$K$133="Media",'Mapa final'!$O$133="Mayor"),CONCATENATE("R",'Mapa final'!$A$133),"")</f>
        <v>R44</v>
      </c>
      <c r="AW62" s="452"/>
      <c r="AX62" s="447" t="str">
        <f ca="1">IF(AND('Mapa final'!$K$121="Media",'Mapa final'!$O$121="Catastrófico"),CONCATENATE("R",'Mapa final'!$A$121),"")</f>
        <v/>
      </c>
      <c r="AY62" s="445"/>
      <c r="AZ62" s="445" t="str">
        <f ca="1">IF(AND('Mapa final'!$K$124="Media",'Mapa final'!$O$124="Catastrófico"),CONCATENATE("R",'Mapa final'!$A$124),"")</f>
        <v/>
      </c>
      <c r="BA62" s="445"/>
      <c r="BB62" s="445" t="str">
        <f ca="1">IF(AND('Mapa final'!$K$127="Media",'Mapa final'!$O$127="Catastrófico"),CONCATENATE("R",'Mapa final'!$A$127),"")</f>
        <v/>
      </c>
      <c r="BC62" s="445"/>
      <c r="BD62" s="445" t="str">
        <f ca="1">IF(AND('Mapa final'!$K$130="Media",'Mapa final'!$O$130="Catastrófico"),CONCATENATE("R",'Mapa final'!$A$130),"")</f>
        <v/>
      </c>
      <c r="BE62" s="445"/>
      <c r="BF62" s="445" t="str">
        <f ca="1">IF(AND('Mapa final'!$K$133="Media",'Mapa final'!$O$133="Catastrófico"),CONCATENATE("R",'Mapa final'!$A$133),"")</f>
        <v/>
      </c>
      <c r="BG62" s="446"/>
      <c r="BH62" s="56"/>
      <c r="BI62" s="497"/>
      <c r="BJ62" s="498"/>
      <c r="BK62" s="498"/>
      <c r="BL62" s="498"/>
      <c r="BM62" s="498"/>
      <c r="BN62" s="499"/>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row>
    <row r="63" spans="1:100" ht="15" customHeight="1" x14ac:dyDescent="0.25">
      <c r="A63" s="56"/>
      <c r="B63" s="286"/>
      <c r="C63" s="286"/>
      <c r="D63" s="287"/>
      <c r="E63" s="514"/>
      <c r="F63" s="515"/>
      <c r="G63" s="515"/>
      <c r="H63" s="515"/>
      <c r="I63" s="515"/>
      <c r="J63" s="450"/>
      <c r="K63" s="448"/>
      <c r="L63" s="448"/>
      <c r="M63" s="448"/>
      <c r="N63" s="448"/>
      <c r="O63" s="448"/>
      <c r="P63" s="448"/>
      <c r="Q63" s="448"/>
      <c r="R63" s="448"/>
      <c r="S63" s="449"/>
      <c r="T63" s="450"/>
      <c r="U63" s="448"/>
      <c r="V63" s="448"/>
      <c r="W63" s="448"/>
      <c r="X63" s="448"/>
      <c r="Y63" s="448"/>
      <c r="Z63" s="448"/>
      <c r="AA63" s="448"/>
      <c r="AB63" s="448"/>
      <c r="AC63" s="449"/>
      <c r="AD63" s="450"/>
      <c r="AE63" s="448"/>
      <c r="AF63" s="448"/>
      <c r="AG63" s="448"/>
      <c r="AH63" s="448"/>
      <c r="AI63" s="448"/>
      <c r="AJ63" s="448"/>
      <c r="AK63" s="448"/>
      <c r="AL63" s="448"/>
      <c r="AM63" s="449"/>
      <c r="AN63" s="453"/>
      <c r="AO63" s="451"/>
      <c r="AP63" s="451"/>
      <c r="AQ63" s="451"/>
      <c r="AR63" s="451"/>
      <c r="AS63" s="451"/>
      <c r="AT63" s="451"/>
      <c r="AU63" s="451"/>
      <c r="AV63" s="451"/>
      <c r="AW63" s="452"/>
      <c r="AX63" s="447"/>
      <c r="AY63" s="445"/>
      <c r="AZ63" s="445"/>
      <c r="BA63" s="445"/>
      <c r="BB63" s="445"/>
      <c r="BC63" s="445"/>
      <c r="BD63" s="445"/>
      <c r="BE63" s="445"/>
      <c r="BF63" s="445"/>
      <c r="BG63" s="446"/>
      <c r="BH63" s="56"/>
      <c r="BI63" s="497"/>
      <c r="BJ63" s="498"/>
      <c r="BK63" s="498"/>
      <c r="BL63" s="498"/>
      <c r="BM63" s="498"/>
      <c r="BN63" s="499"/>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row>
    <row r="64" spans="1:100" ht="15" customHeight="1" x14ac:dyDescent="0.25">
      <c r="A64" s="56"/>
      <c r="B64" s="286"/>
      <c r="C64" s="286"/>
      <c r="D64" s="287"/>
      <c r="E64" s="514"/>
      <c r="F64" s="515"/>
      <c r="G64" s="515"/>
      <c r="H64" s="515"/>
      <c r="I64" s="515"/>
      <c r="J64" s="450" t="str">
        <f ca="1">IF(AND('Mapa final'!$K$136="Media",'Mapa final'!$O$136="Leve"),CONCATENATE("R",'Mapa final'!$A$136),"")</f>
        <v/>
      </c>
      <c r="K64" s="448"/>
      <c r="L64" s="448" t="str">
        <f ca="1">IF(AND('Mapa final'!$K$139="Media",'Mapa final'!$O$139="Leve"),CONCATENATE("R",'Mapa final'!$A$139),"")</f>
        <v/>
      </c>
      <c r="M64" s="448"/>
      <c r="N64" s="448" t="str">
        <f ca="1">IF(AND('Mapa final'!$K$142="Media",'Mapa final'!$O$142="Leve"),CONCATENATE("R",'Mapa final'!$A$142),"")</f>
        <v/>
      </c>
      <c r="O64" s="448"/>
      <c r="P64" s="448" t="str">
        <f ca="1">IF(AND('Mapa final'!$K$145="Media",'Mapa final'!$O$145="Leve"),CONCATENATE("R",'Mapa final'!$A$145),"")</f>
        <v/>
      </c>
      <c r="Q64" s="448"/>
      <c r="R64" s="448" t="str">
        <f ca="1">IF(AND('Mapa final'!$K$148="Media",'Mapa final'!$O$148="Leve"),CONCATENATE("R",'Mapa final'!$A$148),"")</f>
        <v/>
      </c>
      <c r="S64" s="449"/>
      <c r="T64" s="450" t="str">
        <f ca="1">IF(AND('Mapa final'!$K$136="Media",'Mapa final'!$O$136="Menor"),CONCATENATE("R",'Mapa final'!$A$136),"")</f>
        <v/>
      </c>
      <c r="U64" s="448"/>
      <c r="V64" s="448" t="str">
        <f ca="1">IF(AND('Mapa final'!$K$139="Media",'Mapa final'!$O$139="Menor"),CONCATENATE("R",'Mapa final'!$A$139),"")</f>
        <v/>
      </c>
      <c r="W64" s="448"/>
      <c r="X64" s="448" t="str">
        <f ca="1">IF(AND('Mapa final'!$K$142="Media",'Mapa final'!$O$142="Menor"),CONCATENATE("R",'Mapa final'!$A$142),"")</f>
        <v/>
      </c>
      <c r="Y64" s="448"/>
      <c r="Z64" s="448" t="str">
        <f ca="1">IF(AND('Mapa final'!$K$145="Media",'Mapa final'!$O$145="Menor"),CONCATENATE("R",'Mapa final'!$A$145),"")</f>
        <v/>
      </c>
      <c r="AA64" s="448"/>
      <c r="AB64" s="448" t="str">
        <f ca="1">IF(AND('Mapa final'!$K$148="Media",'Mapa final'!$O$148="Menor"),CONCATENATE("R",'Mapa final'!$A$148),"")</f>
        <v/>
      </c>
      <c r="AC64" s="449"/>
      <c r="AD64" s="450" t="str">
        <f ca="1">IF(AND('Mapa final'!$K$136="Media",'Mapa final'!$O$136="Moderado"),CONCATENATE("R",'Mapa final'!$A$136),"")</f>
        <v/>
      </c>
      <c r="AE64" s="448"/>
      <c r="AF64" s="448" t="str">
        <f ca="1">IF(AND('Mapa final'!$K$139="Media",'Mapa final'!$O$139="Moderado"),CONCATENATE("R",'Mapa final'!$A$139),"")</f>
        <v/>
      </c>
      <c r="AG64" s="448"/>
      <c r="AH64" s="448" t="str">
        <f ca="1">IF(AND('Mapa final'!$K$142="Media",'Mapa final'!$O$142="Moderado"),CONCATENATE("R",'Mapa final'!$A$142),"")</f>
        <v/>
      </c>
      <c r="AI64" s="448"/>
      <c r="AJ64" s="448" t="str">
        <f ca="1">IF(AND('Mapa final'!$K$145="Media",'Mapa final'!$O$145="Moderado"),CONCATENATE("R",'Mapa final'!$A$145),"")</f>
        <v/>
      </c>
      <c r="AK64" s="448"/>
      <c r="AL64" s="448" t="str">
        <f ca="1">IF(AND('Mapa final'!$K$148="Media",'Mapa final'!$O$148="Moderado"),CONCATENATE("R",'Mapa final'!$A$148),"")</f>
        <v/>
      </c>
      <c r="AM64" s="449"/>
      <c r="AN64" s="453" t="str">
        <f ca="1">IF(AND('Mapa final'!$K$136="Media",'Mapa final'!$O$136="Mayor"),CONCATENATE("R",'Mapa final'!$A$136),"")</f>
        <v/>
      </c>
      <c r="AO64" s="451"/>
      <c r="AP64" s="451" t="str">
        <f ca="1">IF(AND('Mapa final'!$K$139="Media",'Mapa final'!$O$139="Mayor"),CONCATENATE("R",'Mapa final'!$A$139),"")</f>
        <v/>
      </c>
      <c r="AQ64" s="451"/>
      <c r="AR64" s="451" t="str">
        <f ca="1">IF(AND('Mapa final'!$K$142="Media",'Mapa final'!$O$142="Mayor"),CONCATENATE("R",'Mapa final'!$A$142),"")</f>
        <v/>
      </c>
      <c r="AS64" s="451"/>
      <c r="AT64" s="451" t="str">
        <f ca="1">IF(AND('Mapa final'!$K$145="Media",'Mapa final'!$O$145="Mayor"),CONCATENATE("R",'Mapa final'!$A$145),"")</f>
        <v/>
      </c>
      <c r="AU64" s="451"/>
      <c r="AV64" s="451" t="str">
        <f ca="1">IF(AND('Mapa final'!$K$148="Media",'Mapa final'!$O$148="Mayor"),CONCATENATE("R",'Mapa final'!$A$148),"")</f>
        <v/>
      </c>
      <c r="AW64" s="452"/>
      <c r="AX64" s="447" t="str">
        <f ca="1">IF(AND('Mapa final'!$K$136="Media",'Mapa final'!$O$136="Catastrófico"),CONCATENATE("R",'Mapa final'!$A$136),"")</f>
        <v/>
      </c>
      <c r="AY64" s="445"/>
      <c r="AZ64" s="445" t="str">
        <f ca="1">IF(AND('Mapa final'!$K$139="Media",'Mapa final'!$O$139="Catastrófico"),CONCATENATE("R",'Mapa final'!$A$139),"")</f>
        <v/>
      </c>
      <c r="BA64" s="445"/>
      <c r="BB64" s="445" t="str">
        <f ca="1">IF(AND('Mapa final'!$K$142="Media",'Mapa final'!$O$142="Catastrófico"),CONCATENATE("R",'Mapa final'!$A$142),"")</f>
        <v/>
      </c>
      <c r="BC64" s="445"/>
      <c r="BD64" s="445" t="str">
        <f ca="1">IF(AND('Mapa final'!$K$145="Media",'Mapa final'!$O$145="Catastrófico"),CONCATENATE("R",'Mapa final'!$A$145),"")</f>
        <v/>
      </c>
      <c r="BE64" s="445"/>
      <c r="BF64" s="445" t="str">
        <f ca="1">IF(AND('Mapa final'!$K$148="Media",'Mapa final'!$O$148="Catastrófico"),CONCATENATE("R",'Mapa final'!$A$148),"")</f>
        <v/>
      </c>
      <c r="BG64" s="446"/>
      <c r="BH64" s="56"/>
      <c r="BI64" s="497"/>
      <c r="BJ64" s="498"/>
      <c r="BK64" s="498"/>
      <c r="BL64" s="498"/>
      <c r="BM64" s="498"/>
      <c r="BN64" s="499"/>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row>
    <row r="65" spans="1:100" ht="15.75" customHeight="1" thickBot="1" x14ac:dyDescent="0.3">
      <c r="A65" s="56"/>
      <c r="B65" s="286"/>
      <c r="C65" s="286"/>
      <c r="D65" s="287"/>
      <c r="E65" s="516"/>
      <c r="F65" s="517"/>
      <c r="G65" s="517"/>
      <c r="H65" s="517"/>
      <c r="I65" s="517"/>
      <c r="J65" s="460"/>
      <c r="K65" s="461"/>
      <c r="L65" s="461"/>
      <c r="M65" s="461"/>
      <c r="N65" s="461"/>
      <c r="O65" s="461"/>
      <c r="P65" s="461"/>
      <c r="Q65" s="461"/>
      <c r="R65" s="461"/>
      <c r="S65" s="462"/>
      <c r="T65" s="460"/>
      <c r="U65" s="461"/>
      <c r="V65" s="461"/>
      <c r="W65" s="461"/>
      <c r="X65" s="461"/>
      <c r="Y65" s="461"/>
      <c r="Z65" s="461"/>
      <c r="AA65" s="461"/>
      <c r="AB65" s="461"/>
      <c r="AC65" s="462"/>
      <c r="AD65" s="460"/>
      <c r="AE65" s="461"/>
      <c r="AF65" s="461"/>
      <c r="AG65" s="461"/>
      <c r="AH65" s="461"/>
      <c r="AI65" s="461"/>
      <c r="AJ65" s="461"/>
      <c r="AK65" s="461"/>
      <c r="AL65" s="461"/>
      <c r="AM65" s="462"/>
      <c r="AN65" s="454"/>
      <c r="AO65" s="455"/>
      <c r="AP65" s="455"/>
      <c r="AQ65" s="455"/>
      <c r="AR65" s="455"/>
      <c r="AS65" s="455"/>
      <c r="AT65" s="455"/>
      <c r="AU65" s="455"/>
      <c r="AV65" s="455"/>
      <c r="AW65" s="456"/>
      <c r="AX65" s="467"/>
      <c r="AY65" s="466"/>
      <c r="AZ65" s="466"/>
      <c r="BA65" s="466"/>
      <c r="BB65" s="466"/>
      <c r="BC65" s="466"/>
      <c r="BD65" s="466"/>
      <c r="BE65" s="466"/>
      <c r="BF65" s="466"/>
      <c r="BG65" s="468"/>
      <c r="BH65" s="56"/>
      <c r="BI65" s="497"/>
      <c r="BJ65" s="498"/>
      <c r="BK65" s="498"/>
      <c r="BL65" s="498"/>
      <c r="BM65" s="498"/>
      <c r="BN65" s="499"/>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row>
    <row r="66" spans="1:100" ht="15" customHeight="1" x14ac:dyDescent="0.25">
      <c r="A66" s="56"/>
      <c r="B66" s="286"/>
      <c r="C66" s="286"/>
      <c r="D66" s="287"/>
      <c r="E66" s="512" t="s">
        <v>105</v>
      </c>
      <c r="F66" s="513"/>
      <c r="G66" s="513"/>
      <c r="H66" s="513"/>
      <c r="I66" s="513"/>
      <c r="J66" s="526" t="str">
        <f ca="1">IF(AND('Mapa final'!$K$7="Baja",'Mapa final'!$O$7="Leve"),CONCATENATE("R",'Mapa final'!$A$7),"")</f>
        <v/>
      </c>
      <c r="K66" s="473"/>
      <c r="L66" s="473" t="str">
        <f ca="1">IF(AND('Mapa final'!$K$10="Baja",'Mapa final'!$O$10="Leve"),CONCATENATE("R",'Mapa final'!$A$10),"")</f>
        <v/>
      </c>
      <c r="M66" s="473"/>
      <c r="N66" s="473" t="str">
        <f ca="1">IF(AND('Mapa final'!$K$13="Baja",'Mapa final'!$O$13="Leve"),CONCATENATE("R",'Mapa final'!$A$13),"")</f>
        <v/>
      </c>
      <c r="O66" s="473"/>
      <c r="P66" s="473" t="e">
        <f>IF(AND('Mapa final'!#REF!="Baja",'Mapa final'!#REF!="Leve"),CONCATENATE("R",'Mapa final'!#REF!),"")</f>
        <v>#REF!</v>
      </c>
      <c r="Q66" s="473"/>
      <c r="R66" s="473" t="e">
        <f>IF(AND('Mapa final'!#REF!="Baja",'Mapa final'!#REF!="Leve"),CONCATENATE("R",'Mapa final'!#REF!),"")</f>
        <v>#REF!</v>
      </c>
      <c r="S66" s="475"/>
      <c r="T66" s="457" t="str">
        <f ca="1">IF(AND('Mapa final'!$K$7="Baja",'Mapa final'!$O$7="Menor"),CONCATENATE("R",'Mapa final'!$A$7),"")</f>
        <v/>
      </c>
      <c r="U66" s="458"/>
      <c r="V66" s="458" t="str">
        <f ca="1">IF(AND('Mapa final'!$K$10="Baja",'Mapa final'!$O$10="Menor"),CONCATENATE("R",'Mapa final'!$A$10),"")</f>
        <v/>
      </c>
      <c r="W66" s="458"/>
      <c r="X66" s="458" t="str">
        <f ca="1">IF(AND('Mapa final'!$K$13="Baja",'Mapa final'!$O$13="Menor"),CONCATENATE("R",'Mapa final'!$A$13),"")</f>
        <v/>
      </c>
      <c r="Y66" s="458"/>
      <c r="Z66" s="458" t="e">
        <f>IF(AND('Mapa final'!#REF!="Baja",'Mapa final'!#REF!="Menor"),CONCATENATE("R",'Mapa final'!#REF!),"")</f>
        <v>#REF!</v>
      </c>
      <c r="AA66" s="458"/>
      <c r="AB66" s="458" t="e">
        <f>IF(AND('Mapa final'!#REF!="Baja",'Mapa final'!#REF!="Menor"),CONCATENATE("R",'Mapa final'!#REF!),"")</f>
        <v>#REF!</v>
      </c>
      <c r="AC66" s="459"/>
      <c r="AD66" s="457" t="str">
        <f ca="1">IF(AND('Mapa final'!$K$7="Baja",'Mapa final'!$O$7="Moderado"),CONCATENATE("R",'Mapa final'!$A$7),"")</f>
        <v>R1</v>
      </c>
      <c r="AE66" s="458"/>
      <c r="AF66" s="458" t="str">
        <f ca="1">IF(AND('Mapa final'!$K$10="Baja",'Mapa final'!$O$10="Moderado"),CONCATENATE("R",'Mapa final'!$A$10),"")</f>
        <v/>
      </c>
      <c r="AG66" s="458"/>
      <c r="AH66" s="458" t="str">
        <f ca="1">IF(AND('Mapa final'!$K$13="Baja",'Mapa final'!$O$13="Moderado"),CONCATENATE("R",'Mapa final'!$A$13),"")</f>
        <v/>
      </c>
      <c r="AI66" s="458"/>
      <c r="AJ66" s="458" t="e">
        <f>IF(AND('Mapa final'!#REF!="Baja",'Mapa final'!#REF!="Moderado"),CONCATENATE("R",'Mapa final'!#REF!),"")</f>
        <v>#REF!</v>
      </c>
      <c r="AK66" s="458"/>
      <c r="AL66" s="458" t="e">
        <f>IF(AND('Mapa final'!#REF!="Baja",'Mapa final'!#REF!="Moderado"),CONCATENATE("R",'Mapa final'!#REF!),"")</f>
        <v>#REF!</v>
      </c>
      <c r="AM66" s="459"/>
      <c r="AN66" s="463" t="str">
        <f ca="1">IF(AND('Mapa final'!$K$7="Baja",'Mapa final'!$O$7="Mayor"),CONCATENATE("R",'Mapa final'!$A$7),"")</f>
        <v/>
      </c>
      <c r="AO66" s="464"/>
      <c r="AP66" s="464" t="str">
        <f ca="1">IF(AND('Mapa final'!$K$10="Baja",'Mapa final'!$O$10="Mayor"),CONCATENATE("R",'Mapa final'!$A$10),"")</f>
        <v/>
      </c>
      <c r="AQ66" s="464"/>
      <c r="AR66" s="464" t="str">
        <f ca="1">IF(AND('Mapa final'!$K$13="Baja",'Mapa final'!$O$13="Mayor"),CONCATENATE("R",'Mapa final'!$A$13),"")</f>
        <v/>
      </c>
      <c r="AS66" s="464"/>
      <c r="AT66" s="464" t="e">
        <f>IF(AND('Mapa final'!#REF!="Baja",'Mapa final'!#REF!="Mayor"),CONCATENATE("R",'Mapa final'!#REF!),"")</f>
        <v>#REF!</v>
      </c>
      <c r="AU66" s="464"/>
      <c r="AV66" s="464" t="e">
        <f>IF(AND('Mapa final'!#REF!="Baja",'Mapa final'!#REF!="Mayor"),CONCATENATE("R",'Mapa final'!#REF!),"")</f>
        <v>#REF!</v>
      </c>
      <c r="AW66" s="465"/>
      <c r="AX66" s="470" t="str">
        <f ca="1">IF(AND('Mapa final'!$K$7="Baja",'Mapa final'!$O$7="Catastrófico"),CONCATENATE("R",'Mapa final'!$A$7),"")</f>
        <v/>
      </c>
      <c r="AY66" s="469"/>
      <c r="AZ66" s="469" t="str">
        <f ca="1">IF(AND('Mapa final'!$K$10="Baja",'Mapa final'!$O$10="Catastrófico"),CONCATENATE("R",'Mapa final'!$A$10),"")</f>
        <v/>
      </c>
      <c r="BA66" s="469"/>
      <c r="BB66" s="469" t="str">
        <f ca="1">IF(AND('Mapa final'!$K$13="Baja",'Mapa final'!$O$13="Catastrófico"),CONCATENATE("R",'Mapa final'!$A$13),"")</f>
        <v/>
      </c>
      <c r="BC66" s="469"/>
      <c r="BD66" s="469" t="e">
        <f>IF(AND('Mapa final'!#REF!="Baja",'Mapa final'!#REF!="Catastrófico"),CONCATENATE("R",'Mapa final'!#REF!),"")</f>
        <v>#REF!</v>
      </c>
      <c r="BE66" s="469"/>
      <c r="BF66" s="469" t="e">
        <f>IF(AND('Mapa final'!#REF!="Baja",'Mapa final'!#REF!="Catastrófico"),CONCATENATE("R",'Mapa final'!#REF!),"")</f>
        <v>#REF!</v>
      </c>
      <c r="BG66" s="525"/>
      <c r="BH66" s="56"/>
      <c r="BI66" s="497"/>
      <c r="BJ66" s="498"/>
      <c r="BK66" s="498"/>
      <c r="BL66" s="498"/>
      <c r="BM66" s="498"/>
      <c r="BN66" s="499"/>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row>
    <row r="67" spans="1:100" ht="15" customHeight="1" x14ac:dyDescent="0.25">
      <c r="A67" s="56"/>
      <c r="B67" s="286"/>
      <c r="C67" s="286"/>
      <c r="D67" s="287"/>
      <c r="E67" s="514"/>
      <c r="F67" s="515"/>
      <c r="G67" s="515"/>
      <c r="H67" s="515"/>
      <c r="I67" s="515"/>
      <c r="J67" s="442"/>
      <c r="K67" s="443"/>
      <c r="L67" s="443"/>
      <c r="M67" s="443"/>
      <c r="N67" s="443"/>
      <c r="O67" s="443"/>
      <c r="P67" s="443"/>
      <c r="Q67" s="443"/>
      <c r="R67" s="443"/>
      <c r="S67" s="444"/>
      <c r="T67" s="450"/>
      <c r="U67" s="448"/>
      <c r="V67" s="448"/>
      <c r="W67" s="448"/>
      <c r="X67" s="448"/>
      <c r="Y67" s="448"/>
      <c r="Z67" s="448"/>
      <c r="AA67" s="448"/>
      <c r="AB67" s="448"/>
      <c r="AC67" s="449"/>
      <c r="AD67" s="450"/>
      <c r="AE67" s="448"/>
      <c r="AF67" s="448"/>
      <c r="AG67" s="448"/>
      <c r="AH67" s="448"/>
      <c r="AI67" s="448"/>
      <c r="AJ67" s="448"/>
      <c r="AK67" s="448"/>
      <c r="AL67" s="448"/>
      <c r="AM67" s="449"/>
      <c r="AN67" s="453"/>
      <c r="AO67" s="451"/>
      <c r="AP67" s="451"/>
      <c r="AQ67" s="451"/>
      <c r="AR67" s="451"/>
      <c r="AS67" s="451"/>
      <c r="AT67" s="451"/>
      <c r="AU67" s="451"/>
      <c r="AV67" s="451"/>
      <c r="AW67" s="452"/>
      <c r="AX67" s="447"/>
      <c r="AY67" s="445"/>
      <c r="AZ67" s="445"/>
      <c r="BA67" s="445"/>
      <c r="BB67" s="445"/>
      <c r="BC67" s="445"/>
      <c r="BD67" s="445"/>
      <c r="BE67" s="445"/>
      <c r="BF67" s="445"/>
      <c r="BG67" s="446"/>
      <c r="BH67" s="56"/>
      <c r="BI67" s="497"/>
      <c r="BJ67" s="498"/>
      <c r="BK67" s="498"/>
      <c r="BL67" s="498"/>
      <c r="BM67" s="498"/>
      <c r="BN67" s="499"/>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row>
    <row r="68" spans="1:100" ht="15" customHeight="1" x14ac:dyDescent="0.25">
      <c r="A68" s="56"/>
      <c r="B68" s="286"/>
      <c r="C68" s="286"/>
      <c r="D68" s="287"/>
      <c r="E68" s="514"/>
      <c r="F68" s="515"/>
      <c r="G68" s="515"/>
      <c r="H68" s="515"/>
      <c r="I68" s="515"/>
      <c r="J68" s="442" t="str">
        <f ca="1">IF(AND('Mapa final'!$K$16="Baja",'Mapa final'!$O$16="Leve"),CONCATENATE("R",'Mapa final'!$A$16),"")</f>
        <v/>
      </c>
      <c r="K68" s="443"/>
      <c r="L68" s="443" t="str">
        <f ca="1">IF(AND('Mapa final'!$K$19="Baja",'Mapa final'!$O$19="Leve"),CONCATENATE("R",'Mapa final'!$A$19),"")</f>
        <v/>
      </c>
      <c r="M68" s="443"/>
      <c r="N68" s="443" t="str">
        <f ca="1">IF(AND('Mapa final'!$K$22="Baja",'Mapa final'!$O$22="Leve"),CONCATENATE("R",'Mapa final'!$A$22),"")</f>
        <v/>
      </c>
      <c r="O68" s="443"/>
      <c r="P68" s="443" t="str">
        <f ca="1">IF(AND('Mapa final'!$K$25="Baja",'Mapa final'!$O$25="Leve"),CONCATENATE("R",'Mapa final'!$A$25),"")</f>
        <v/>
      </c>
      <c r="Q68" s="443"/>
      <c r="R68" s="443" t="str">
        <f ca="1">IF(AND('Mapa final'!$K$28="Baja",'Mapa final'!$O$28="Leve"),CONCATENATE("R",'Mapa final'!$A$28),"")</f>
        <v/>
      </c>
      <c r="S68" s="444"/>
      <c r="T68" s="450" t="str">
        <f ca="1">IF(AND('Mapa final'!$K$16="Baja",'Mapa final'!$O$16="Menor"),CONCATENATE("R",'Mapa final'!$A$16),"")</f>
        <v/>
      </c>
      <c r="U68" s="448"/>
      <c r="V68" s="448" t="str">
        <f ca="1">IF(AND('Mapa final'!$K$19="Baja",'Mapa final'!$O$19="Menor"),CONCATENATE("R",'Mapa final'!$A$19),"")</f>
        <v/>
      </c>
      <c r="W68" s="448"/>
      <c r="X68" s="448" t="str">
        <f ca="1">IF(AND('Mapa final'!$K$22="Baja",'Mapa final'!$O$22="Menor"),CONCATENATE("R",'Mapa final'!$A$22),"")</f>
        <v/>
      </c>
      <c r="Y68" s="448"/>
      <c r="Z68" s="448" t="str">
        <f ca="1">IF(AND('Mapa final'!$K$25="Baja",'Mapa final'!$O$25="Menor"),CONCATENATE("R",'Mapa final'!$A$25),"")</f>
        <v/>
      </c>
      <c r="AA68" s="448"/>
      <c r="AB68" s="448" t="str">
        <f ca="1">IF(AND('Mapa final'!$K$28="Baja",'Mapa final'!$O$28="Menor"),CONCATENATE("R",'Mapa final'!$A$28),"")</f>
        <v/>
      </c>
      <c r="AC68" s="449"/>
      <c r="AD68" s="450" t="str">
        <f ca="1">IF(AND('Mapa final'!$K$16="Baja",'Mapa final'!$O$16="Moderado"),CONCATENATE("R",'Mapa final'!$A$16),"")</f>
        <v/>
      </c>
      <c r="AE68" s="448"/>
      <c r="AF68" s="448" t="str">
        <f ca="1">IF(AND('Mapa final'!$K$19="Baja",'Mapa final'!$O$19="Moderado"),CONCATENATE("R",'Mapa final'!$A$19),"")</f>
        <v/>
      </c>
      <c r="AG68" s="448"/>
      <c r="AH68" s="448" t="str">
        <f ca="1">IF(AND('Mapa final'!$K$22="Baja",'Mapa final'!$O$22="Moderado"),CONCATENATE("R",'Mapa final'!$A$22),"")</f>
        <v/>
      </c>
      <c r="AI68" s="448"/>
      <c r="AJ68" s="448" t="str">
        <f ca="1">IF(AND('Mapa final'!$K$25="Baja",'Mapa final'!$O$25="Moderado"),CONCATENATE("R",'Mapa final'!$A$25),"")</f>
        <v/>
      </c>
      <c r="AK68" s="448"/>
      <c r="AL68" s="448" t="str">
        <f ca="1">IF(AND('Mapa final'!$K$28="Baja",'Mapa final'!$O$28="Moderado"),CONCATENATE("R",'Mapa final'!$A$28),"")</f>
        <v/>
      </c>
      <c r="AM68" s="449"/>
      <c r="AN68" s="453" t="str">
        <f ca="1">IF(AND('Mapa final'!$K$16="Baja",'Mapa final'!$O$16="Mayor"),CONCATENATE("R",'Mapa final'!$A$16),"")</f>
        <v/>
      </c>
      <c r="AO68" s="451"/>
      <c r="AP68" s="451" t="str">
        <f ca="1">IF(AND('Mapa final'!$K$19="Baja",'Mapa final'!$O$19="Mayor"),CONCATENATE("R",'Mapa final'!$A$19),"")</f>
        <v/>
      </c>
      <c r="AQ68" s="451"/>
      <c r="AR68" s="451" t="str">
        <f ca="1">IF(AND('Mapa final'!$K$22="Baja",'Mapa final'!$O$22="Mayor"),CONCATENATE("R",'Mapa final'!$A$22),"")</f>
        <v/>
      </c>
      <c r="AS68" s="451"/>
      <c r="AT68" s="451" t="str">
        <f ca="1">IF(AND('Mapa final'!$K$25="Baja",'Mapa final'!$O$25="Mayor"),CONCATENATE("R",'Mapa final'!$A$25),"")</f>
        <v/>
      </c>
      <c r="AU68" s="451"/>
      <c r="AV68" s="451" t="str">
        <f ca="1">IF(AND('Mapa final'!$K$28="Baja",'Mapa final'!$O$28="Mayor"),CONCATENATE("R",'Mapa final'!$A$28),"")</f>
        <v/>
      </c>
      <c r="AW68" s="452"/>
      <c r="AX68" s="447" t="str">
        <f ca="1">IF(AND('Mapa final'!$K$16="Baja",'Mapa final'!$O$16="Catastrófico"),CONCATENATE("R",'Mapa final'!$A$16),"")</f>
        <v/>
      </c>
      <c r="AY68" s="445"/>
      <c r="AZ68" s="445" t="str">
        <f ca="1">IF(AND('Mapa final'!$K$19="Baja",'Mapa final'!$O$19="Catastrófico"),CONCATENATE("R",'Mapa final'!$A$19),"")</f>
        <v/>
      </c>
      <c r="BA68" s="445"/>
      <c r="BB68" s="445" t="str">
        <f ca="1">IF(AND('Mapa final'!$K$22="Baja",'Mapa final'!$O$22="Catastrófico"),CONCATENATE("R",'Mapa final'!$A$22),"")</f>
        <v/>
      </c>
      <c r="BC68" s="445"/>
      <c r="BD68" s="445" t="str">
        <f ca="1">IF(AND('Mapa final'!$K$25="Baja",'Mapa final'!$O$25="Catastrófico"),CONCATENATE("R",'Mapa final'!$A$25),"")</f>
        <v/>
      </c>
      <c r="BE68" s="445"/>
      <c r="BF68" s="445" t="str">
        <f ca="1">IF(AND('Mapa final'!$K$28="Baja",'Mapa final'!$O$28="Catastrófico"),CONCATENATE("R",'Mapa final'!$A$28),"")</f>
        <v/>
      </c>
      <c r="BG68" s="446"/>
      <c r="BH68" s="56"/>
      <c r="BI68" s="497"/>
      <c r="BJ68" s="498"/>
      <c r="BK68" s="498"/>
      <c r="BL68" s="498"/>
      <c r="BM68" s="498"/>
      <c r="BN68" s="499"/>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row>
    <row r="69" spans="1:100" ht="15" customHeight="1" x14ac:dyDescent="0.25">
      <c r="A69" s="56"/>
      <c r="B69" s="286"/>
      <c r="C69" s="286"/>
      <c r="D69" s="287"/>
      <c r="E69" s="514"/>
      <c r="F69" s="515"/>
      <c r="G69" s="515"/>
      <c r="H69" s="515"/>
      <c r="I69" s="515"/>
      <c r="J69" s="442"/>
      <c r="K69" s="443"/>
      <c r="L69" s="443"/>
      <c r="M69" s="443"/>
      <c r="N69" s="443"/>
      <c r="O69" s="443"/>
      <c r="P69" s="443"/>
      <c r="Q69" s="443"/>
      <c r="R69" s="443"/>
      <c r="S69" s="444"/>
      <c r="T69" s="450"/>
      <c r="U69" s="448"/>
      <c r="V69" s="448"/>
      <c r="W69" s="448"/>
      <c r="X69" s="448"/>
      <c r="Y69" s="448"/>
      <c r="Z69" s="448"/>
      <c r="AA69" s="448"/>
      <c r="AB69" s="448"/>
      <c r="AC69" s="449"/>
      <c r="AD69" s="450"/>
      <c r="AE69" s="448"/>
      <c r="AF69" s="448"/>
      <c r="AG69" s="448"/>
      <c r="AH69" s="448"/>
      <c r="AI69" s="448"/>
      <c r="AJ69" s="448"/>
      <c r="AK69" s="448"/>
      <c r="AL69" s="448"/>
      <c r="AM69" s="449"/>
      <c r="AN69" s="453"/>
      <c r="AO69" s="451"/>
      <c r="AP69" s="451"/>
      <c r="AQ69" s="451"/>
      <c r="AR69" s="451"/>
      <c r="AS69" s="451"/>
      <c r="AT69" s="451"/>
      <c r="AU69" s="451"/>
      <c r="AV69" s="451"/>
      <c r="AW69" s="452"/>
      <c r="AX69" s="447"/>
      <c r="AY69" s="445"/>
      <c r="AZ69" s="445"/>
      <c r="BA69" s="445"/>
      <c r="BB69" s="445"/>
      <c r="BC69" s="445"/>
      <c r="BD69" s="445"/>
      <c r="BE69" s="445"/>
      <c r="BF69" s="445"/>
      <c r="BG69" s="446"/>
      <c r="BH69" s="56"/>
      <c r="BI69" s="497"/>
      <c r="BJ69" s="498"/>
      <c r="BK69" s="498"/>
      <c r="BL69" s="498"/>
      <c r="BM69" s="498"/>
      <c r="BN69" s="499"/>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row>
    <row r="70" spans="1:100" ht="15" customHeight="1" x14ac:dyDescent="0.25">
      <c r="A70" s="56"/>
      <c r="B70" s="286"/>
      <c r="C70" s="286"/>
      <c r="D70" s="287"/>
      <c r="E70" s="514"/>
      <c r="F70" s="515"/>
      <c r="G70" s="515"/>
      <c r="H70" s="515"/>
      <c r="I70" s="515"/>
      <c r="J70" s="442" t="str">
        <f ca="1">IF(AND('Mapa final'!$K$31="Baja",'Mapa final'!$O$31="Leve"),CONCATENATE("R",'Mapa final'!$A$31),"")</f>
        <v/>
      </c>
      <c r="K70" s="443"/>
      <c r="L70" s="443" t="str">
        <f ca="1">IF(AND('Mapa final'!$K$34="Baja",'Mapa final'!$O$34="Leve"),CONCATENATE("R",'Mapa final'!$A$34),"")</f>
        <v/>
      </c>
      <c r="M70" s="443"/>
      <c r="N70" s="443" t="str">
        <f ca="1">IF(AND('Mapa final'!$K$37="Baja",'Mapa final'!$O$37="Leve"),CONCATENATE("R",'Mapa final'!$A$37),"")</f>
        <v/>
      </c>
      <c r="O70" s="443"/>
      <c r="P70" s="443" t="str">
        <f ca="1">IF(AND('Mapa final'!$K$40="Baja",'Mapa final'!$O$40="Leve"),CONCATENATE("R",'Mapa final'!$A$40),"")</f>
        <v/>
      </c>
      <c r="Q70" s="443"/>
      <c r="R70" s="443" t="str">
        <f ca="1">IF(AND('Mapa final'!$K$43="Baja",'Mapa final'!$O$43="Leve"),CONCATENATE("R",'Mapa final'!$A$43),"")</f>
        <v/>
      </c>
      <c r="S70" s="444"/>
      <c r="T70" s="450" t="str">
        <f ca="1">IF(AND('Mapa final'!$K$31="Baja",'Mapa final'!$O$31="Menor"),CONCATENATE("R",'Mapa final'!$A$31),"")</f>
        <v/>
      </c>
      <c r="U70" s="448"/>
      <c r="V70" s="448" t="str">
        <f ca="1">IF(AND('Mapa final'!$K$34="Baja",'Mapa final'!$O$34="Menor"),CONCATENATE("R",'Mapa final'!$A$34),"")</f>
        <v/>
      </c>
      <c r="W70" s="448"/>
      <c r="X70" s="448" t="str">
        <f ca="1">IF(AND('Mapa final'!$K$37="Baja",'Mapa final'!$O$37="Menor"),CONCATENATE("R",'Mapa final'!$A$37),"")</f>
        <v/>
      </c>
      <c r="Y70" s="448"/>
      <c r="Z70" s="448" t="str">
        <f ca="1">IF(AND('Mapa final'!$K$40="Baja",'Mapa final'!$O$40="Menor"),CONCATENATE("R",'Mapa final'!$A$40),"")</f>
        <v/>
      </c>
      <c r="AA70" s="448"/>
      <c r="AB70" s="448" t="str">
        <f ca="1">IF(AND('Mapa final'!$K$43="Baja",'Mapa final'!$O$43="Menor"),CONCATENATE("R",'Mapa final'!$A$43),"")</f>
        <v/>
      </c>
      <c r="AC70" s="449"/>
      <c r="AD70" s="450" t="str">
        <f ca="1">IF(AND('Mapa final'!$K$31="Baja",'Mapa final'!$O$31="Moderado"),CONCATENATE("R",'Mapa final'!$A$31),"")</f>
        <v/>
      </c>
      <c r="AE70" s="448"/>
      <c r="AF70" s="448" t="str">
        <f ca="1">IF(AND('Mapa final'!$K$34="Baja",'Mapa final'!$O$34="Moderado"),CONCATENATE("R",'Mapa final'!$A$34),"")</f>
        <v>R11</v>
      </c>
      <c r="AG70" s="448"/>
      <c r="AH70" s="448" t="str">
        <f ca="1">IF(AND('Mapa final'!$K$37="Baja",'Mapa final'!$O$37="Moderado"),CONCATENATE("R",'Mapa final'!$A$37),"")</f>
        <v/>
      </c>
      <c r="AI70" s="448"/>
      <c r="AJ70" s="448" t="str">
        <f ca="1">IF(AND('Mapa final'!$K$40="Baja",'Mapa final'!$O$40="Moderado"),CONCATENATE("R",'Mapa final'!$A$40),"")</f>
        <v>R13</v>
      </c>
      <c r="AK70" s="448"/>
      <c r="AL70" s="448" t="str">
        <f ca="1">IF(AND('Mapa final'!$K$43="Baja",'Mapa final'!$O$43="Moderado"),CONCATENATE("R",'Mapa final'!$A$43),"")</f>
        <v/>
      </c>
      <c r="AM70" s="449"/>
      <c r="AN70" s="453" t="str">
        <f ca="1">IF(AND('Mapa final'!$K$31="Baja",'Mapa final'!$O$31="Mayor"),CONCATENATE("R",'Mapa final'!$A$31),"")</f>
        <v>R10</v>
      </c>
      <c r="AO70" s="451"/>
      <c r="AP70" s="451" t="str">
        <f ca="1">IF(AND('Mapa final'!$K$34="Baja",'Mapa final'!$O$34="Mayor"),CONCATENATE("R",'Mapa final'!$A$34),"")</f>
        <v/>
      </c>
      <c r="AQ70" s="451"/>
      <c r="AR70" s="451" t="str">
        <f ca="1">IF(AND('Mapa final'!$K$37="Baja",'Mapa final'!$O$37="Mayor"),CONCATENATE("R",'Mapa final'!$A$37),"")</f>
        <v/>
      </c>
      <c r="AS70" s="451"/>
      <c r="AT70" s="451" t="str">
        <f ca="1">IF(AND('Mapa final'!$K$40="Baja",'Mapa final'!$O$40="Mayor"),CONCATENATE("R",'Mapa final'!$A$40),"")</f>
        <v/>
      </c>
      <c r="AU70" s="451"/>
      <c r="AV70" s="451" t="str">
        <f ca="1">IF(AND('Mapa final'!$K$43="Baja",'Mapa final'!$O$43="Mayor"),CONCATENATE("R",'Mapa final'!$A$43),"")</f>
        <v/>
      </c>
      <c r="AW70" s="452"/>
      <c r="AX70" s="447" t="str">
        <f ca="1">IF(AND('Mapa final'!$K$31="Baja",'Mapa final'!$O$31="Catastrófico"),CONCATENATE("R",'Mapa final'!$A$31),"")</f>
        <v/>
      </c>
      <c r="AY70" s="445"/>
      <c r="AZ70" s="445" t="str">
        <f ca="1">IF(AND('Mapa final'!$K$34="Baja",'Mapa final'!$O$34="Catastrófico"),CONCATENATE("R",'Mapa final'!$A$34),"")</f>
        <v/>
      </c>
      <c r="BA70" s="445"/>
      <c r="BB70" s="445" t="str">
        <f ca="1">IF(AND('Mapa final'!$K$37="Baja",'Mapa final'!$O$37="Catastrófico"),CONCATENATE("R",'Mapa final'!$A$37),"")</f>
        <v/>
      </c>
      <c r="BC70" s="445"/>
      <c r="BD70" s="445" t="str">
        <f ca="1">IF(AND('Mapa final'!$K$40="Baja",'Mapa final'!$O$40="Catastrófico"),CONCATENATE("R",'Mapa final'!$A$40),"")</f>
        <v/>
      </c>
      <c r="BE70" s="445"/>
      <c r="BF70" s="445" t="str">
        <f ca="1">IF(AND('Mapa final'!$K$43="Baja",'Mapa final'!$O$43="Catastrófico"),CONCATENATE("R",'Mapa final'!$A$43),"")</f>
        <v/>
      </c>
      <c r="BG70" s="446"/>
      <c r="BH70" s="56"/>
      <c r="BI70" s="497"/>
      <c r="BJ70" s="498"/>
      <c r="BK70" s="498"/>
      <c r="BL70" s="498"/>
      <c r="BM70" s="498"/>
      <c r="BN70" s="499"/>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row>
    <row r="71" spans="1:100" ht="15" customHeight="1" x14ac:dyDescent="0.25">
      <c r="A71" s="56"/>
      <c r="B71" s="286"/>
      <c r="C71" s="286"/>
      <c r="D71" s="287"/>
      <c r="E71" s="514"/>
      <c r="F71" s="515"/>
      <c r="G71" s="515"/>
      <c r="H71" s="515"/>
      <c r="I71" s="515"/>
      <c r="J71" s="442"/>
      <c r="K71" s="443"/>
      <c r="L71" s="443"/>
      <c r="M71" s="443"/>
      <c r="N71" s="443"/>
      <c r="O71" s="443"/>
      <c r="P71" s="443"/>
      <c r="Q71" s="443"/>
      <c r="R71" s="443"/>
      <c r="S71" s="444"/>
      <c r="T71" s="450"/>
      <c r="U71" s="448"/>
      <c r="V71" s="448"/>
      <c r="W71" s="448"/>
      <c r="X71" s="448"/>
      <c r="Y71" s="448"/>
      <c r="Z71" s="448"/>
      <c r="AA71" s="448"/>
      <c r="AB71" s="448"/>
      <c r="AC71" s="449"/>
      <c r="AD71" s="450"/>
      <c r="AE71" s="448"/>
      <c r="AF71" s="448"/>
      <c r="AG71" s="448"/>
      <c r="AH71" s="448"/>
      <c r="AI71" s="448"/>
      <c r="AJ71" s="448"/>
      <c r="AK71" s="448"/>
      <c r="AL71" s="448"/>
      <c r="AM71" s="449"/>
      <c r="AN71" s="453"/>
      <c r="AO71" s="451"/>
      <c r="AP71" s="451"/>
      <c r="AQ71" s="451"/>
      <c r="AR71" s="451"/>
      <c r="AS71" s="451"/>
      <c r="AT71" s="451"/>
      <c r="AU71" s="451"/>
      <c r="AV71" s="451"/>
      <c r="AW71" s="452"/>
      <c r="AX71" s="447"/>
      <c r="AY71" s="445"/>
      <c r="AZ71" s="445"/>
      <c r="BA71" s="445"/>
      <c r="BB71" s="445"/>
      <c r="BC71" s="445"/>
      <c r="BD71" s="445"/>
      <c r="BE71" s="445"/>
      <c r="BF71" s="445"/>
      <c r="BG71" s="446"/>
      <c r="BH71" s="56"/>
      <c r="BI71" s="497"/>
      <c r="BJ71" s="498"/>
      <c r="BK71" s="498"/>
      <c r="BL71" s="498"/>
      <c r="BM71" s="498"/>
      <c r="BN71" s="499"/>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row>
    <row r="72" spans="1:100" ht="15" customHeight="1" x14ac:dyDescent="0.25">
      <c r="A72" s="56"/>
      <c r="B72" s="286"/>
      <c r="C72" s="286"/>
      <c r="D72" s="287"/>
      <c r="E72" s="514"/>
      <c r="F72" s="515"/>
      <c r="G72" s="515"/>
      <c r="H72" s="515"/>
      <c r="I72" s="515"/>
      <c r="J72" s="442" t="str">
        <f ca="1">IF(AND('Mapa final'!$K$46="Baja",'Mapa final'!$O$46="Leve"),CONCATENATE("R",'Mapa final'!$A$46),"")</f>
        <v/>
      </c>
      <c r="K72" s="443"/>
      <c r="L72" s="443" t="str">
        <f ca="1">IF(AND('Mapa final'!$K$49="Baja",'Mapa final'!$O$49="Leve"),CONCATENATE("R",'Mapa final'!$A$49),"")</f>
        <v/>
      </c>
      <c r="M72" s="443"/>
      <c r="N72" s="443" t="str">
        <f ca="1">IF(AND('Mapa final'!$K$52="Baja",'Mapa final'!$O$52="Leve"),CONCATENATE("R",'Mapa final'!$A$52),"")</f>
        <v/>
      </c>
      <c r="O72" s="443"/>
      <c r="P72" s="443" t="str">
        <f ca="1">IF(AND('Mapa final'!$K$55="Baja",'Mapa final'!$O$55="Leve"),CONCATENATE("R",'Mapa final'!$A$55),"")</f>
        <v/>
      </c>
      <c r="Q72" s="443"/>
      <c r="R72" s="443" t="str">
        <f ca="1">IF(AND('Mapa final'!$K$58="Baja",'Mapa final'!$O$58="Leve"),CONCATENATE("R",'Mapa final'!$A$58),"")</f>
        <v/>
      </c>
      <c r="S72" s="444"/>
      <c r="T72" s="450" t="str">
        <f ca="1">IF(AND('Mapa final'!$K$46="Baja",'Mapa final'!$O$46="Menor"),CONCATENATE("R",'Mapa final'!$A$46),"")</f>
        <v/>
      </c>
      <c r="U72" s="448"/>
      <c r="V72" s="448" t="str">
        <f ca="1">IF(AND('Mapa final'!$K$49="Baja",'Mapa final'!$O$49="Menor"),CONCATENATE("R",'Mapa final'!$A$49),"")</f>
        <v/>
      </c>
      <c r="W72" s="448"/>
      <c r="X72" s="448" t="str">
        <f ca="1">IF(AND('Mapa final'!$K$52="Baja",'Mapa final'!$O$52="Menor"),CONCATENATE("R",'Mapa final'!$A$52),"")</f>
        <v/>
      </c>
      <c r="Y72" s="448"/>
      <c r="Z72" s="448" t="str">
        <f ca="1">IF(AND('Mapa final'!$K$55="Baja",'Mapa final'!$O$55="Menor"),CONCATENATE("R",'Mapa final'!$A$55),"")</f>
        <v/>
      </c>
      <c r="AA72" s="448"/>
      <c r="AB72" s="448" t="str">
        <f ca="1">IF(AND('Mapa final'!$K$58="Baja",'Mapa final'!$O$58="Menor"),CONCATENATE("R",'Mapa final'!$A$58),"")</f>
        <v/>
      </c>
      <c r="AC72" s="449"/>
      <c r="AD72" s="450" t="str">
        <f ca="1">IF(AND('Mapa final'!$K$46="Baja",'Mapa final'!$O$46="Moderado"),CONCATENATE("R",'Mapa final'!$A$46),"")</f>
        <v/>
      </c>
      <c r="AE72" s="448"/>
      <c r="AF72" s="448" t="str">
        <f ca="1">IF(AND('Mapa final'!$K$49="Baja",'Mapa final'!$O$49="Moderado"),CONCATENATE("R",'Mapa final'!$A$49),"")</f>
        <v/>
      </c>
      <c r="AG72" s="448"/>
      <c r="AH72" s="448" t="str">
        <f ca="1">IF(AND('Mapa final'!$K$52="Baja",'Mapa final'!$O$52="Moderado"),CONCATENATE("R",'Mapa final'!$A$52),"")</f>
        <v/>
      </c>
      <c r="AI72" s="448"/>
      <c r="AJ72" s="448" t="str">
        <f ca="1">IF(AND('Mapa final'!$K$55="Baja",'Mapa final'!$O$55="Moderado"),CONCATENATE("R",'Mapa final'!$A$55),"")</f>
        <v/>
      </c>
      <c r="AK72" s="448"/>
      <c r="AL72" s="448" t="str">
        <f ca="1">IF(AND('Mapa final'!$K$58="Baja",'Mapa final'!$O$58="Moderado"),CONCATENATE("R",'Mapa final'!$A$58),"")</f>
        <v/>
      </c>
      <c r="AM72" s="449"/>
      <c r="AN72" s="453" t="str">
        <f ca="1">IF(AND('Mapa final'!$K$46="Baja",'Mapa final'!$O$46="Mayor"),CONCATENATE("R",'Mapa final'!$A$46),"")</f>
        <v/>
      </c>
      <c r="AO72" s="451"/>
      <c r="AP72" s="451" t="str">
        <f ca="1">IF(AND('Mapa final'!$K$49="Baja",'Mapa final'!$O$49="Mayor"),CONCATENATE("R",'Mapa final'!$A$49),"")</f>
        <v/>
      </c>
      <c r="AQ72" s="451"/>
      <c r="AR72" s="451" t="str">
        <f ca="1">IF(AND('Mapa final'!$K$52="Baja",'Mapa final'!$O$52="Mayor"),CONCATENATE("R",'Mapa final'!$A$52),"")</f>
        <v/>
      </c>
      <c r="AS72" s="451"/>
      <c r="AT72" s="451" t="str">
        <f ca="1">IF(AND('Mapa final'!$K$55="Baja",'Mapa final'!$O$55="Mayor"),CONCATENATE("R",'Mapa final'!$A$55),"")</f>
        <v/>
      </c>
      <c r="AU72" s="451"/>
      <c r="AV72" s="451" t="str">
        <f ca="1">IF(AND('Mapa final'!$K$58="Baja",'Mapa final'!$O$58="Mayor"),CONCATENATE("R",'Mapa final'!$A$58),"")</f>
        <v/>
      </c>
      <c r="AW72" s="452"/>
      <c r="AX72" s="447" t="str">
        <f ca="1">IF(AND('Mapa final'!$K$46="Baja",'Mapa final'!$O$46="Catastrófico"),CONCATENATE("R",'Mapa final'!$A$46),"")</f>
        <v/>
      </c>
      <c r="AY72" s="445"/>
      <c r="AZ72" s="445" t="str">
        <f ca="1">IF(AND('Mapa final'!$K$49="Baja",'Mapa final'!$O$49="Catastrófico"),CONCATENATE("R",'Mapa final'!$A$49),"")</f>
        <v/>
      </c>
      <c r="BA72" s="445"/>
      <c r="BB72" s="445" t="str">
        <f ca="1">IF(AND('Mapa final'!$K$52="Baja",'Mapa final'!$O$52="Catastrófico"),CONCATENATE("R",'Mapa final'!$A$52),"")</f>
        <v/>
      </c>
      <c r="BC72" s="445"/>
      <c r="BD72" s="445" t="str">
        <f ca="1">IF(AND('Mapa final'!$K$55="Baja",'Mapa final'!$O$55="Catastrófico"),CONCATENATE("R",'Mapa final'!$A$55),"")</f>
        <v/>
      </c>
      <c r="BE72" s="445"/>
      <c r="BF72" s="445" t="str">
        <f ca="1">IF(AND('Mapa final'!$K$58="Baja",'Mapa final'!$O$58="Catastrófico"),CONCATENATE("R",'Mapa final'!$A$58),"")</f>
        <v/>
      </c>
      <c r="BG72" s="446"/>
      <c r="BH72" s="56"/>
      <c r="BI72" s="497"/>
      <c r="BJ72" s="498"/>
      <c r="BK72" s="498"/>
      <c r="BL72" s="498"/>
      <c r="BM72" s="498"/>
      <c r="BN72" s="499"/>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row>
    <row r="73" spans="1:100" ht="15" customHeight="1" thickBot="1" x14ac:dyDescent="0.3">
      <c r="A73" s="56"/>
      <c r="B73" s="286"/>
      <c r="C73" s="286"/>
      <c r="D73" s="287"/>
      <c r="E73" s="514"/>
      <c r="F73" s="515"/>
      <c r="G73" s="515"/>
      <c r="H73" s="515"/>
      <c r="I73" s="515"/>
      <c r="J73" s="442"/>
      <c r="K73" s="443"/>
      <c r="L73" s="443"/>
      <c r="M73" s="443"/>
      <c r="N73" s="443"/>
      <c r="O73" s="443"/>
      <c r="P73" s="443"/>
      <c r="Q73" s="443"/>
      <c r="R73" s="443"/>
      <c r="S73" s="444"/>
      <c r="T73" s="450"/>
      <c r="U73" s="448"/>
      <c r="V73" s="448"/>
      <c r="W73" s="448"/>
      <c r="X73" s="448"/>
      <c r="Y73" s="448"/>
      <c r="Z73" s="448"/>
      <c r="AA73" s="448"/>
      <c r="AB73" s="448"/>
      <c r="AC73" s="449"/>
      <c r="AD73" s="450"/>
      <c r="AE73" s="448"/>
      <c r="AF73" s="448"/>
      <c r="AG73" s="448"/>
      <c r="AH73" s="448"/>
      <c r="AI73" s="448"/>
      <c r="AJ73" s="448"/>
      <c r="AK73" s="448"/>
      <c r="AL73" s="448"/>
      <c r="AM73" s="449"/>
      <c r="AN73" s="453"/>
      <c r="AO73" s="451"/>
      <c r="AP73" s="451"/>
      <c r="AQ73" s="451"/>
      <c r="AR73" s="451"/>
      <c r="AS73" s="451"/>
      <c r="AT73" s="451"/>
      <c r="AU73" s="451"/>
      <c r="AV73" s="451"/>
      <c r="AW73" s="452"/>
      <c r="AX73" s="447"/>
      <c r="AY73" s="445"/>
      <c r="AZ73" s="445"/>
      <c r="BA73" s="445"/>
      <c r="BB73" s="445"/>
      <c r="BC73" s="445"/>
      <c r="BD73" s="445"/>
      <c r="BE73" s="445"/>
      <c r="BF73" s="445"/>
      <c r="BG73" s="446"/>
      <c r="BH73" s="56"/>
      <c r="BI73" s="500"/>
      <c r="BJ73" s="501"/>
      <c r="BK73" s="501"/>
      <c r="BL73" s="501"/>
      <c r="BM73" s="501"/>
      <c r="BN73" s="502"/>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row>
    <row r="74" spans="1:100" ht="15" customHeight="1" x14ac:dyDescent="0.25">
      <c r="A74" s="56"/>
      <c r="B74" s="286"/>
      <c r="C74" s="286"/>
      <c r="D74" s="287"/>
      <c r="E74" s="514"/>
      <c r="F74" s="515"/>
      <c r="G74" s="515"/>
      <c r="H74" s="515"/>
      <c r="I74" s="515"/>
      <c r="J74" s="442" t="str">
        <f ca="1">IF(AND('Mapa final'!$K$61="Baja",'Mapa final'!$O$61="Leve"),CONCATENATE("R",'Mapa final'!$A$61),"")</f>
        <v>R20</v>
      </c>
      <c r="K74" s="443"/>
      <c r="L74" s="443" t="str">
        <f ca="1">IF(AND('Mapa final'!$K$64="Baja",'Mapa final'!$O$64="Leve"),CONCATENATE("R",'Mapa final'!$A$64),"")</f>
        <v/>
      </c>
      <c r="M74" s="443"/>
      <c r="N74" s="443" t="str">
        <f ca="1">IF(AND('Mapa final'!$K$70="Baja",'Mapa final'!$O$70="Leve"),CONCATENATE("R",'Mapa final'!$A$70),"")</f>
        <v/>
      </c>
      <c r="O74" s="443"/>
      <c r="P74" s="443" t="str">
        <f ca="1">IF(AND('Mapa final'!$K$73="Baja",'Mapa final'!$O$73="Leve"),CONCATENATE("R",'Mapa final'!$A$73),"")</f>
        <v/>
      </c>
      <c r="Q74" s="443"/>
      <c r="R74" s="443" t="str">
        <f ca="1">IF(AND('Mapa final'!$K$76="Baja",'Mapa final'!$O$76="Leve"),CONCATENATE("R",'Mapa final'!$A$76),"")</f>
        <v/>
      </c>
      <c r="S74" s="444"/>
      <c r="T74" s="450" t="str">
        <f ca="1">IF(AND('Mapa final'!$K$61="Baja",'Mapa final'!$O$61="Menor"),CONCATENATE("R",'Mapa final'!$A$61),"")</f>
        <v/>
      </c>
      <c r="U74" s="448"/>
      <c r="V74" s="448" t="str">
        <f ca="1">IF(AND('Mapa final'!$K$64="Baja",'Mapa final'!$O$64="Menor"),CONCATENATE("R",'Mapa final'!$A$64),"")</f>
        <v>R21</v>
      </c>
      <c r="W74" s="448"/>
      <c r="X74" s="448" t="str">
        <f ca="1">IF(AND('Mapa final'!$K$70="Baja",'Mapa final'!$O$70="Menor"),CONCATENATE("R",'Mapa final'!$A$70),"")</f>
        <v/>
      </c>
      <c r="Y74" s="448"/>
      <c r="Z74" s="448" t="str">
        <f ca="1">IF(AND('Mapa final'!$K$73="Baja",'Mapa final'!$O$73="Menor"),CONCATENATE("R",'Mapa final'!$A$73),"")</f>
        <v/>
      </c>
      <c r="AA74" s="448"/>
      <c r="AB74" s="448" t="str">
        <f ca="1">IF(AND('Mapa final'!$K$76="Baja",'Mapa final'!$O$76="Menor"),CONCATENATE("R",'Mapa final'!$A$76),"")</f>
        <v/>
      </c>
      <c r="AC74" s="449"/>
      <c r="AD74" s="450" t="str">
        <f ca="1">IF(AND('Mapa final'!$K$61="Baja",'Mapa final'!$O$61="Moderado"),CONCATENATE("R",'Mapa final'!$A$61),"")</f>
        <v/>
      </c>
      <c r="AE74" s="448"/>
      <c r="AF74" s="448" t="str">
        <f ca="1">IF(AND('Mapa final'!$K$64="Baja",'Mapa final'!$O$64="Moderado"),CONCATENATE("R",'Mapa final'!$A$64),"")</f>
        <v/>
      </c>
      <c r="AG74" s="448"/>
      <c r="AH74" s="448" t="str">
        <f ca="1">IF(AND('Mapa final'!$K$70="Baja",'Mapa final'!$O$70="Moderado"),CONCATENATE("R",'Mapa final'!$A$70),"")</f>
        <v/>
      </c>
      <c r="AI74" s="448"/>
      <c r="AJ74" s="448" t="str">
        <f ca="1">IF(AND('Mapa final'!$K$73="Baja",'Mapa final'!$O$73="Moderado"),CONCATENATE("R",'Mapa final'!$A$73),"")</f>
        <v>R24</v>
      </c>
      <c r="AK74" s="448"/>
      <c r="AL74" s="448" t="str">
        <f ca="1">IF(AND('Mapa final'!$K$76="Baja",'Mapa final'!$O$76="Moderado"),CONCATENATE("R",'Mapa final'!$A$76),"")</f>
        <v>R25</v>
      </c>
      <c r="AM74" s="449"/>
      <c r="AN74" s="453" t="str">
        <f ca="1">IF(AND('Mapa final'!$K$61="Baja",'Mapa final'!$O$61="Mayor"),CONCATENATE("R",'Mapa final'!$A$61),"")</f>
        <v/>
      </c>
      <c r="AO74" s="451"/>
      <c r="AP74" s="451" t="str">
        <f ca="1">IF(AND('Mapa final'!$K$64="Baja",'Mapa final'!$O$64="Mayor"),CONCATENATE("R",'Mapa final'!$A$64),"")</f>
        <v/>
      </c>
      <c r="AQ74" s="451"/>
      <c r="AR74" s="451" t="str">
        <f ca="1">IF(AND('Mapa final'!$K$70="Baja",'Mapa final'!$O$70="Mayor"),CONCATENATE("R",'Mapa final'!$A$70),"")</f>
        <v/>
      </c>
      <c r="AS74" s="451"/>
      <c r="AT74" s="451" t="str">
        <f ca="1">IF(AND('Mapa final'!$K$73="Baja",'Mapa final'!$O$73="Mayor"),CONCATENATE("R",'Mapa final'!$A$73),"")</f>
        <v/>
      </c>
      <c r="AU74" s="451"/>
      <c r="AV74" s="451" t="str">
        <f ca="1">IF(AND('Mapa final'!$K$76="Baja",'Mapa final'!$O$76="Mayor"),CONCATENATE("R",'Mapa final'!$A$76),"")</f>
        <v/>
      </c>
      <c r="AW74" s="452"/>
      <c r="AX74" s="447" t="str">
        <f ca="1">IF(AND('Mapa final'!$K$61="Baja",'Mapa final'!$O$61="Catastrófico"),CONCATENATE("R",'Mapa final'!$A$61),"")</f>
        <v/>
      </c>
      <c r="AY74" s="445"/>
      <c r="AZ74" s="445" t="str">
        <f ca="1">IF(AND('Mapa final'!$K$64="Baja",'Mapa final'!$O$64="Catastrófico"),CONCATENATE("R",'Mapa final'!$A$64),"")</f>
        <v/>
      </c>
      <c r="BA74" s="445"/>
      <c r="BB74" s="445" t="str">
        <f ca="1">IF(AND('Mapa final'!$K$70="Baja",'Mapa final'!$O$70="Catastrófico"),CONCATENATE("R",'Mapa final'!$A$70),"")</f>
        <v/>
      </c>
      <c r="BC74" s="445"/>
      <c r="BD74" s="445" t="str">
        <f ca="1">IF(AND('Mapa final'!$K$73="Baja",'Mapa final'!$O$73="Catastrófico"),CONCATENATE("R",'Mapa final'!$A$73),"")</f>
        <v/>
      </c>
      <c r="BE74" s="445"/>
      <c r="BF74" s="445" t="str">
        <f ca="1">IF(AND('Mapa final'!$K$76="Baja",'Mapa final'!$O$76="Catastrófico"),CONCATENATE("R",'Mapa final'!$A$76),"")</f>
        <v/>
      </c>
      <c r="BG74" s="446"/>
      <c r="BH74" s="56"/>
      <c r="BI74" s="503" t="s">
        <v>76</v>
      </c>
      <c r="BJ74" s="504"/>
      <c r="BK74" s="504"/>
      <c r="BL74" s="504"/>
      <c r="BM74" s="504"/>
      <c r="BN74" s="505"/>
      <c r="BO74" s="56"/>
      <c r="BP74" s="56"/>
      <c r="BQ74" s="56"/>
      <c r="BR74" s="56"/>
      <c r="BS74" s="56"/>
      <c r="BT74" s="56"/>
      <c r="BU74" s="56"/>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row>
    <row r="75" spans="1:100" ht="15" customHeight="1" x14ac:dyDescent="0.25">
      <c r="A75" s="56"/>
      <c r="B75" s="286"/>
      <c r="C75" s="286"/>
      <c r="D75" s="287"/>
      <c r="E75" s="514"/>
      <c r="F75" s="515"/>
      <c r="G75" s="515"/>
      <c r="H75" s="515"/>
      <c r="I75" s="515"/>
      <c r="J75" s="442"/>
      <c r="K75" s="443"/>
      <c r="L75" s="443"/>
      <c r="M75" s="443"/>
      <c r="N75" s="443"/>
      <c r="O75" s="443"/>
      <c r="P75" s="443"/>
      <c r="Q75" s="443"/>
      <c r="R75" s="443"/>
      <c r="S75" s="444"/>
      <c r="T75" s="450"/>
      <c r="U75" s="448"/>
      <c r="V75" s="448"/>
      <c r="W75" s="448"/>
      <c r="X75" s="448"/>
      <c r="Y75" s="448"/>
      <c r="Z75" s="448"/>
      <c r="AA75" s="448"/>
      <c r="AB75" s="448"/>
      <c r="AC75" s="449"/>
      <c r="AD75" s="450"/>
      <c r="AE75" s="448"/>
      <c r="AF75" s="448"/>
      <c r="AG75" s="448"/>
      <c r="AH75" s="448"/>
      <c r="AI75" s="448"/>
      <c r="AJ75" s="448"/>
      <c r="AK75" s="448"/>
      <c r="AL75" s="448"/>
      <c r="AM75" s="449"/>
      <c r="AN75" s="453"/>
      <c r="AO75" s="451"/>
      <c r="AP75" s="451"/>
      <c r="AQ75" s="451"/>
      <c r="AR75" s="451"/>
      <c r="AS75" s="451"/>
      <c r="AT75" s="451"/>
      <c r="AU75" s="451"/>
      <c r="AV75" s="451"/>
      <c r="AW75" s="452"/>
      <c r="AX75" s="447"/>
      <c r="AY75" s="445"/>
      <c r="AZ75" s="445"/>
      <c r="BA75" s="445"/>
      <c r="BB75" s="445"/>
      <c r="BC75" s="445"/>
      <c r="BD75" s="445"/>
      <c r="BE75" s="445"/>
      <c r="BF75" s="445"/>
      <c r="BG75" s="446"/>
      <c r="BH75" s="56"/>
      <c r="BI75" s="506"/>
      <c r="BJ75" s="507"/>
      <c r="BK75" s="507"/>
      <c r="BL75" s="507"/>
      <c r="BM75" s="507"/>
      <c r="BN75" s="508"/>
      <c r="BO75" s="56"/>
      <c r="BP75" s="56"/>
      <c r="BQ75" s="56"/>
      <c r="BR75" s="56"/>
      <c r="BS75" s="56"/>
      <c r="BT75" s="56"/>
      <c r="BU75" s="56"/>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row>
    <row r="76" spans="1:100" ht="15" customHeight="1" x14ac:dyDescent="0.25">
      <c r="A76" s="56"/>
      <c r="B76" s="286"/>
      <c r="C76" s="286"/>
      <c r="D76" s="287"/>
      <c r="E76" s="514"/>
      <c r="F76" s="515"/>
      <c r="G76" s="515"/>
      <c r="H76" s="515"/>
      <c r="I76" s="515"/>
      <c r="J76" s="442" t="str">
        <f ca="1">IF(AND('Mapa final'!$K$79="Baja",'Mapa final'!$O$79="Leve"),CONCATENATE("R",'Mapa final'!$A$79),"")</f>
        <v/>
      </c>
      <c r="K76" s="443"/>
      <c r="L76" s="443" t="str">
        <f ca="1">IF(AND('Mapa final'!$K$82="Baja",'Mapa final'!$O$82="Leve"),CONCATENATE("R",'Mapa final'!$A$82),"")</f>
        <v/>
      </c>
      <c r="M76" s="443"/>
      <c r="N76" s="443" t="str">
        <f ca="1">IF(AND('Mapa final'!$K$85="Baja",'Mapa final'!$O$85="Leve"),CONCATENATE("R",'Mapa final'!$A$85),"")</f>
        <v/>
      </c>
      <c r="O76" s="443"/>
      <c r="P76" s="443" t="str">
        <f ca="1">IF(AND('Mapa final'!$K$88="Baja",'Mapa final'!$O$88="Leve"),CONCATENATE("R",'Mapa final'!$A$88),"")</f>
        <v/>
      </c>
      <c r="Q76" s="443"/>
      <c r="R76" s="443" t="str">
        <f ca="1">IF(AND('Mapa final'!$K$91="Baja",'Mapa final'!$O$91="Leve"),CONCATENATE("R",'Mapa final'!$A$91),"")</f>
        <v/>
      </c>
      <c r="S76" s="444"/>
      <c r="T76" s="450" t="str">
        <f ca="1">IF(AND('Mapa final'!$K$79="Baja",'Mapa final'!$O$79="Menor"),CONCATENATE("R",'Mapa final'!$A$79),"")</f>
        <v/>
      </c>
      <c r="U76" s="448"/>
      <c r="V76" s="448" t="str">
        <f ca="1">IF(AND('Mapa final'!$K$82="Baja",'Mapa final'!$O$82="Menor"),CONCATENATE("R",'Mapa final'!$A$82),"")</f>
        <v/>
      </c>
      <c r="W76" s="448"/>
      <c r="X76" s="448" t="str">
        <f ca="1">IF(AND('Mapa final'!$K$85="Baja",'Mapa final'!$O$85="Menor"),CONCATENATE("R",'Mapa final'!$A$85),"")</f>
        <v/>
      </c>
      <c r="Y76" s="448"/>
      <c r="Z76" s="448" t="str">
        <f ca="1">IF(AND('Mapa final'!$K$88="Baja",'Mapa final'!$O$88="Menor"),CONCATENATE("R",'Mapa final'!$A$88),"")</f>
        <v/>
      </c>
      <c r="AA76" s="448"/>
      <c r="AB76" s="448" t="str">
        <f ca="1">IF(AND('Mapa final'!$K$91="Baja",'Mapa final'!$O$91="Menor"),CONCATENATE("R",'Mapa final'!$A$91),"")</f>
        <v/>
      </c>
      <c r="AC76" s="449"/>
      <c r="AD76" s="450" t="str">
        <f ca="1">IF(AND('Mapa final'!$K$79="Baja",'Mapa final'!$O$79="Moderado"),CONCATENATE("R",'Mapa final'!$A$79),"")</f>
        <v/>
      </c>
      <c r="AE76" s="448"/>
      <c r="AF76" s="448" t="str">
        <f ca="1">IF(AND('Mapa final'!$K$82="Baja",'Mapa final'!$O$82="Moderado"),CONCATENATE("R",'Mapa final'!$A$82),"")</f>
        <v>R27</v>
      </c>
      <c r="AG76" s="448"/>
      <c r="AH76" s="448" t="str">
        <f ca="1">IF(AND('Mapa final'!$K$85="Baja",'Mapa final'!$O$85="Moderado"),CONCATENATE("R",'Mapa final'!$A$85),"")</f>
        <v/>
      </c>
      <c r="AI76" s="448"/>
      <c r="AJ76" s="448" t="str">
        <f ca="1">IF(AND('Mapa final'!$K$88="Baja",'Mapa final'!$O$88="Moderado"),CONCATENATE("R",'Mapa final'!$A$88),"")</f>
        <v/>
      </c>
      <c r="AK76" s="448"/>
      <c r="AL76" s="448" t="str">
        <f ca="1">IF(AND('Mapa final'!$K$91="Baja",'Mapa final'!$O$91="Moderado"),CONCATENATE("R",'Mapa final'!$A$91),"")</f>
        <v/>
      </c>
      <c r="AM76" s="449"/>
      <c r="AN76" s="453" t="str">
        <f ca="1">IF(AND('Mapa final'!$K$79="Baja",'Mapa final'!$O$79="Mayor"),CONCATENATE("R",'Mapa final'!$A$79),"")</f>
        <v/>
      </c>
      <c r="AO76" s="451"/>
      <c r="AP76" s="451" t="str">
        <f ca="1">IF(AND('Mapa final'!$K$82="Baja",'Mapa final'!$O$82="Mayor"),CONCATENATE("R",'Mapa final'!$A$82),"")</f>
        <v/>
      </c>
      <c r="AQ76" s="451"/>
      <c r="AR76" s="451" t="str">
        <f ca="1">IF(AND('Mapa final'!$K$85="Baja",'Mapa final'!$O$85="Mayor"),CONCATENATE("R",'Mapa final'!$A$85),"")</f>
        <v/>
      </c>
      <c r="AS76" s="451"/>
      <c r="AT76" s="451" t="str">
        <f ca="1">IF(AND('Mapa final'!$K$88="Baja",'Mapa final'!$O$88="Mayor"),CONCATENATE("R",'Mapa final'!$A$88),"")</f>
        <v/>
      </c>
      <c r="AU76" s="451"/>
      <c r="AV76" s="451" t="str">
        <f ca="1">IF(AND('Mapa final'!$K$91="Baja",'Mapa final'!$O$91="Mayor"),CONCATENATE("R",'Mapa final'!$A$91),"")</f>
        <v/>
      </c>
      <c r="AW76" s="452"/>
      <c r="AX76" s="447" t="str">
        <f ca="1">IF(AND('Mapa final'!$K$79="Baja",'Mapa final'!$O$79="Catastrófico"),CONCATENATE("R",'Mapa final'!$A$79),"")</f>
        <v/>
      </c>
      <c r="AY76" s="445"/>
      <c r="AZ76" s="445" t="str">
        <f ca="1">IF(AND('Mapa final'!$K$82="Baja",'Mapa final'!$O$82="Catastrófico"),CONCATENATE("R",'Mapa final'!$A$82),"")</f>
        <v/>
      </c>
      <c r="BA76" s="445"/>
      <c r="BB76" s="445" t="str">
        <f ca="1">IF(AND('Mapa final'!$K$85="Baja",'Mapa final'!$O$85="Catastrófico"),CONCATENATE("R",'Mapa final'!$A$85),"")</f>
        <v/>
      </c>
      <c r="BC76" s="445"/>
      <c r="BD76" s="445" t="str">
        <f ca="1">IF(AND('Mapa final'!$K$88="Baja",'Mapa final'!$O$88="Catastrófico"),CONCATENATE("R",'Mapa final'!$A$88),"")</f>
        <v/>
      </c>
      <c r="BE76" s="445"/>
      <c r="BF76" s="445" t="str">
        <f ca="1">IF(AND('Mapa final'!$K$91="Baja",'Mapa final'!$O$91="Catastrófico"),CONCATENATE("R",'Mapa final'!$A$91),"")</f>
        <v/>
      </c>
      <c r="BG76" s="446"/>
      <c r="BH76" s="56"/>
      <c r="BI76" s="506"/>
      <c r="BJ76" s="507"/>
      <c r="BK76" s="507"/>
      <c r="BL76" s="507"/>
      <c r="BM76" s="507"/>
      <c r="BN76" s="508"/>
      <c r="BO76" s="56"/>
      <c r="BP76" s="56"/>
      <c r="BQ76" s="56"/>
      <c r="BR76" s="56"/>
      <c r="BS76" s="56"/>
      <c r="BT76" s="56"/>
      <c r="BU76" s="56"/>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row>
    <row r="77" spans="1:100" ht="15" customHeight="1" x14ac:dyDescent="0.25">
      <c r="A77" s="56"/>
      <c r="B77" s="286"/>
      <c r="C77" s="286"/>
      <c r="D77" s="287"/>
      <c r="E77" s="514"/>
      <c r="F77" s="515"/>
      <c r="G77" s="515"/>
      <c r="H77" s="515"/>
      <c r="I77" s="515"/>
      <c r="J77" s="442"/>
      <c r="K77" s="443"/>
      <c r="L77" s="443"/>
      <c r="M77" s="443"/>
      <c r="N77" s="443"/>
      <c r="O77" s="443"/>
      <c r="P77" s="443"/>
      <c r="Q77" s="443"/>
      <c r="R77" s="443"/>
      <c r="S77" s="444"/>
      <c r="T77" s="450"/>
      <c r="U77" s="448"/>
      <c r="V77" s="448"/>
      <c r="W77" s="448"/>
      <c r="X77" s="448"/>
      <c r="Y77" s="448"/>
      <c r="Z77" s="448"/>
      <c r="AA77" s="448"/>
      <c r="AB77" s="448"/>
      <c r="AC77" s="449"/>
      <c r="AD77" s="450"/>
      <c r="AE77" s="448"/>
      <c r="AF77" s="448"/>
      <c r="AG77" s="448"/>
      <c r="AH77" s="448"/>
      <c r="AI77" s="448"/>
      <c r="AJ77" s="448"/>
      <c r="AK77" s="448"/>
      <c r="AL77" s="448"/>
      <c r="AM77" s="449"/>
      <c r="AN77" s="453"/>
      <c r="AO77" s="451"/>
      <c r="AP77" s="451"/>
      <c r="AQ77" s="451"/>
      <c r="AR77" s="451"/>
      <c r="AS77" s="451"/>
      <c r="AT77" s="451"/>
      <c r="AU77" s="451"/>
      <c r="AV77" s="451"/>
      <c r="AW77" s="452"/>
      <c r="AX77" s="447"/>
      <c r="AY77" s="445"/>
      <c r="AZ77" s="445"/>
      <c r="BA77" s="445"/>
      <c r="BB77" s="445"/>
      <c r="BC77" s="445"/>
      <c r="BD77" s="445"/>
      <c r="BE77" s="445"/>
      <c r="BF77" s="445"/>
      <c r="BG77" s="446"/>
      <c r="BH77" s="56"/>
      <c r="BI77" s="506"/>
      <c r="BJ77" s="507"/>
      <c r="BK77" s="507"/>
      <c r="BL77" s="507"/>
      <c r="BM77" s="507"/>
      <c r="BN77" s="508"/>
      <c r="BO77" s="56"/>
      <c r="BP77" s="56"/>
      <c r="BQ77" s="56"/>
      <c r="BR77" s="56"/>
      <c r="BS77" s="56"/>
      <c r="BT77" s="56"/>
      <c r="BU77" s="56"/>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row>
    <row r="78" spans="1:100" ht="15" customHeight="1" x14ac:dyDescent="0.25">
      <c r="A78" s="56"/>
      <c r="B78" s="286"/>
      <c r="C78" s="286"/>
      <c r="D78" s="287"/>
      <c r="E78" s="514"/>
      <c r="F78" s="515"/>
      <c r="G78" s="515"/>
      <c r="H78" s="515"/>
      <c r="I78" s="515"/>
      <c r="J78" s="442" t="str">
        <f ca="1">IF(AND('Mapa final'!$K$94="Baja",'Mapa final'!$O$94="Leve"),CONCATENATE("R",'Mapa final'!$A$94),"")</f>
        <v/>
      </c>
      <c r="K78" s="443"/>
      <c r="L78" s="443" t="e">
        <f>IF(AND('Mapa final'!#REF!="Baja",'Mapa final'!#REF!="Leve"),CONCATENATE("R",'Mapa final'!#REF!),"")</f>
        <v>#REF!</v>
      </c>
      <c r="M78" s="443"/>
      <c r="N78" s="443" t="str">
        <f>IF(AND('Mapa final'!$K$97="Baja",'Mapa final'!$O$97="Leve"),CONCATENATE("R",'Mapa final'!$A$97),"")</f>
        <v/>
      </c>
      <c r="O78" s="443"/>
      <c r="P78" s="443" t="str">
        <f ca="1">IF(AND('Mapa final'!$K$100="Baja",'Mapa final'!$O$100="Leve"),CONCATENATE("R",'Mapa final'!$A$100),"")</f>
        <v/>
      </c>
      <c r="Q78" s="443"/>
      <c r="R78" s="443" t="str">
        <f ca="1">IF(AND('Mapa final'!$K$103="Baja",'Mapa final'!$O$103="Leve"),CONCATENATE("R",'Mapa final'!$A$103),"")</f>
        <v/>
      </c>
      <c r="S78" s="444"/>
      <c r="T78" s="450" t="str">
        <f ca="1">IF(AND('Mapa final'!$K$94="Baja",'Mapa final'!$O$94="Menor"),CONCATENATE("R",'Mapa final'!$A$94),"")</f>
        <v/>
      </c>
      <c r="U78" s="448"/>
      <c r="V78" s="448" t="e">
        <f>IF(AND('Mapa final'!#REF!="Baja",'Mapa final'!#REF!="Menor"),CONCATENATE("R",'Mapa final'!#REF!),"")</f>
        <v>#REF!</v>
      </c>
      <c r="W78" s="448"/>
      <c r="X78" s="448" t="str">
        <f>IF(AND('Mapa final'!$K$97="Baja",'Mapa final'!$O$97="Menor"),CONCATENATE("R",'Mapa final'!$A$97),"")</f>
        <v/>
      </c>
      <c r="Y78" s="448"/>
      <c r="Z78" s="448" t="str">
        <f ca="1">IF(AND('Mapa final'!$K$100="Baja",'Mapa final'!$O$100="Menor"),CONCATENATE("R",'Mapa final'!$A$100),"")</f>
        <v/>
      </c>
      <c r="AA78" s="448"/>
      <c r="AB78" s="448" t="str">
        <f ca="1">IF(AND('Mapa final'!$K$103="Baja",'Mapa final'!$O$103="Menor"),CONCATENATE("R",'Mapa final'!$A$103),"")</f>
        <v/>
      </c>
      <c r="AC78" s="449"/>
      <c r="AD78" s="450" t="str">
        <f ca="1">IF(AND('Mapa final'!$K$94="Baja",'Mapa final'!$O$94="Moderado"),CONCATENATE("R",'Mapa final'!$A$94),"")</f>
        <v>R31</v>
      </c>
      <c r="AE78" s="448"/>
      <c r="AF78" s="448" t="e">
        <f>IF(AND('Mapa final'!#REF!="Baja",'Mapa final'!#REF!="Moderado"),CONCATENATE("R",'Mapa final'!#REF!),"")</f>
        <v>#REF!</v>
      </c>
      <c r="AG78" s="448"/>
      <c r="AH78" s="448" t="str">
        <f>IF(AND('Mapa final'!$K$97="Baja",'Mapa final'!$O$97="Moderado"),CONCATENATE("R",'Mapa final'!$A$97),"")</f>
        <v/>
      </c>
      <c r="AI78" s="448"/>
      <c r="AJ78" s="448" t="str">
        <f ca="1">IF(AND('Mapa final'!$K$100="Baja",'Mapa final'!$O$100="Moderado"),CONCATENATE("R",'Mapa final'!$A$100),"")</f>
        <v/>
      </c>
      <c r="AK78" s="448"/>
      <c r="AL78" s="448" t="str">
        <f ca="1">IF(AND('Mapa final'!$K$103="Baja",'Mapa final'!$O$103="Moderado"),CONCATENATE("R",'Mapa final'!$A$103),"")</f>
        <v/>
      </c>
      <c r="AM78" s="449"/>
      <c r="AN78" s="453" t="str">
        <f ca="1">IF(AND('Mapa final'!$K$94="Baja",'Mapa final'!$O$94="Mayor"),CONCATENATE("R",'Mapa final'!$A$94),"")</f>
        <v/>
      </c>
      <c r="AO78" s="451"/>
      <c r="AP78" s="451" t="e">
        <f>IF(AND('Mapa final'!#REF!="Baja",'Mapa final'!#REF!="Mayor"),CONCATENATE("R",'Mapa final'!#REF!),"")</f>
        <v>#REF!</v>
      </c>
      <c r="AQ78" s="451"/>
      <c r="AR78" s="451" t="str">
        <f>IF(AND('Mapa final'!$K$97="Baja",'Mapa final'!$O$97="Mayor"),CONCATENATE("R",'Mapa final'!$A$97),"")</f>
        <v/>
      </c>
      <c r="AS78" s="451"/>
      <c r="AT78" s="451" t="str">
        <f ca="1">IF(AND('Mapa final'!$K$100="Baja",'Mapa final'!$O$100="Mayor"),CONCATENATE("R",'Mapa final'!$A$100),"")</f>
        <v/>
      </c>
      <c r="AU78" s="451"/>
      <c r="AV78" s="451" t="str">
        <f ca="1">IF(AND('Mapa final'!$K$103="Baja",'Mapa final'!$O$103="Mayor"),CONCATENATE("R",'Mapa final'!$A$103),"")</f>
        <v/>
      </c>
      <c r="AW78" s="452"/>
      <c r="AX78" s="447" t="str">
        <f ca="1">IF(AND('Mapa final'!$K$94="Baja",'Mapa final'!$O$94="Catastrófico"),CONCATENATE("R",'Mapa final'!$A$94),"")</f>
        <v/>
      </c>
      <c r="AY78" s="445"/>
      <c r="AZ78" s="445" t="e">
        <f>IF(AND('Mapa final'!#REF!="Baja",'Mapa final'!#REF!="Catastrófico"),CONCATENATE("R",'Mapa final'!#REF!),"")</f>
        <v>#REF!</v>
      </c>
      <c r="BA78" s="445"/>
      <c r="BB78" s="445" t="str">
        <f>IF(AND('Mapa final'!$K$97="Baja",'Mapa final'!$O$97="Catastrófico"),CONCATENATE("R",'Mapa final'!$A$97),"")</f>
        <v/>
      </c>
      <c r="BC78" s="445"/>
      <c r="BD78" s="445" t="str">
        <f ca="1">IF(AND('Mapa final'!$K$100="Baja",'Mapa final'!$O$100="Catastrófico"),CONCATENATE("R",'Mapa final'!$A$100),"")</f>
        <v/>
      </c>
      <c r="BE78" s="445"/>
      <c r="BF78" s="445" t="str">
        <f ca="1">IF(AND('Mapa final'!$K$103="Baja",'Mapa final'!$O$103="Catastrófico"),CONCATENATE("R",'Mapa final'!$A$103),"")</f>
        <v/>
      </c>
      <c r="BG78" s="446"/>
      <c r="BH78" s="56"/>
      <c r="BI78" s="506"/>
      <c r="BJ78" s="507"/>
      <c r="BK78" s="507"/>
      <c r="BL78" s="507"/>
      <c r="BM78" s="507"/>
      <c r="BN78" s="508"/>
      <c r="BO78" s="56"/>
      <c r="BP78" s="56"/>
      <c r="BQ78" s="56"/>
      <c r="BR78" s="56"/>
      <c r="BS78" s="56"/>
      <c r="BT78" s="56"/>
      <c r="BU78" s="56"/>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row>
    <row r="79" spans="1:100" ht="15" customHeight="1" x14ac:dyDescent="0.25">
      <c r="A79" s="56"/>
      <c r="B79" s="286"/>
      <c r="C79" s="286"/>
      <c r="D79" s="287"/>
      <c r="E79" s="514"/>
      <c r="F79" s="515"/>
      <c r="G79" s="515"/>
      <c r="H79" s="515"/>
      <c r="I79" s="515"/>
      <c r="J79" s="442"/>
      <c r="K79" s="443"/>
      <c r="L79" s="443"/>
      <c r="M79" s="443"/>
      <c r="N79" s="443"/>
      <c r="O79" s="443"/>
      <c r="P79" s="443"/>
      <c r="Q79" s="443"/>
      <c r="R79" s="443"/>
      <c r="S79" s="444"/>
      <c r="T79" s="450"/>
      <c r="U79" s="448"/>
      <c r="V79" s="448"/>
      <c r="W79" s="448"/>
      <c r="X79" s="448"/>
      <c r="Y79" s="448"/>
      <c r="Z79" s="448"/>
      <c r="AA79" s="448"/>
      <c r="AB79" s="448"/>
      <c r="AC79" s="449"/>
      <c r="AD79" s="450"/>
      <c r="AE79" s="448"/>
      <c r="AF79" s="448"/>
      <c r="AG79" s="448"/>
      <c r="AH79" s="448"/>
      <c r="AI79" s="448"/>
      <c r="AJ79" s="448"/>
      <c r="AK79" s="448"/>
      <c r="AL79" s="448"/>
      <c r="AM79" s="449"/>
      <c r="AN79" s="453"/>
      <c r="AO79" s="451"/>
      <c r="AP79" s="451"/>
      <c r="AQ79" s="451"/>
      <c r="AR79" s="451"/>
      <c r="AS79" s="451"/>
      <c r="AT79" s="451"/>
      <c r="AU79" s="451"/>
      <c r="AV79" s="451"/>
      <c r="AW79" s="452"/>
      <c r="AX79" s="447"/>
      <c r="AY79" s="445"/>
      <c r="AZ79" s="445"/>
      <c r="BA79" s="445"/>
      <c r="BB79" s="445"/>
      <c r="BC79" s="445"/>
      <c r="BD79" s="445"/>
      <c r="BE79" s="445"/>
      <c r="BF79" s="445"/>
      <c r="BG79" s="446"/>
      <c r="BH79" s="56"/>
      <c r="BI79" s="506"/>
      <c r="BJ79" s="507"/>
      <c r="BK79" s="507"/>
      <c r="BL79" s="507"/>
      <c r="BM79" s="507"/>
      <c r="BN79" s="508"/>
      <c r="BO79" s="56"/>
      <c r="BP79" s="56"/>
      <c r="BQ79" s="56"/>
      <c r="BR79" s="56"/>
      <c r="BS79" s="56"/>
      <c r="BT79" s="56"/>
      <c r="BU79" s="56"/>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row>
    <row r="80" spans="1:100" ht="15" customHeight="1" x14ac:dyDescent="0.25">
      <c r="A80" s="56"/>
      <c r="B80" s="286"/>
      <c r="C80" s="286"/>
      <c r="D80" s="287"/>
      <c r="E80" s="514"/>
      <c r="F80" s="515"/>
      <c r="G80" s="515"/>
      <c r="H80" s="515"/>
      <c r="I80" s="515"/>
      <c r="J80" s="442" t="str">
        <f ca="1">IF(AND('Mapa final'!$K$106="Baja",'Mapa final'!$O$106="Leve"),CONCATENATE("R",'Mapa final'!$A$106),"")</f>
        <v/>
      </c>
      <c r="K80" s="443"/>
      <c r="L80" s="443" t="str">
        <f ca="1">IF(AND('Mapa final'!$K$109="Baja",'Mapa final'!$O$109="Leve"),CONCATENATE("R",'Mapa final'!$A$109),"")</f>
        <v/>
      </c>
      <c r="M80" s="443"/>
      <c r="N80" s="443" t="str">
        <f ca="1">IF(AND('Mapa final'!$K$112="Baja",'Mapa final'!$O$112="Leve"),CONCATENATE("R",'Mapa final'!$A$112),"")</f>
        <v/>
      </c>
      <c r="O80" s="443"/>
      <c r="P80" s="443" t="str">
        <f ca="1">IF(AND('Mapa final'!$K$115="Baja",'Mapa final'!$O$115="Leve"),CONCATENATE("R",'Mapa final'!$A$115),"")</f>
        <v/>
      </c>
      <c r="Q80" s="443"/>
      <c r="R80" s="443" t="str">
        <f ca="1">IF(AND('Mapa final'!$K$118="Baja",'Mapa final'!$O$118="Leve"),CONCATENATE("R",'Mapa final'!$A$118),"")</f>
        <v/>
      </c>
      <c r="S80" s="444"/>
      <c r="T80" s="450" t="str">
        <f ca="1">IF(AND('Mapa final'!$K$106="Baja",'Mapa final'!$O$106="Menor"),CONCATENATE("R",'Mapa final'!$A$106),"")</f>
        <v/>
      </c>
      <c r="U80" s="448"/>
      <c r="V80" s="448" t="str">
        <f ca="1">IF(AND('Mapa final'!$K$109="Baja",'Mapa final'!$O$109="Menor"),CONCATENATE("R",'Mapa final'!$A$109),"")</f>
        <v/>
      </c>
      <c r="W80" s="448"/>
      <c r="X80" s="448" t="str">
        <f ca="1">IF(AND('Mapa final'!$K$112="Baja",'Mapa final'!$O$112="Menor"),CONCATENATE("R",'Mapa final'!$A$112),"")</f>
        <v>R37</v>
      </c>
      <c r="Y80" s="448"/>
      <c r="Z80" s="448" t="str">
        <f ca="1">IF(AND('Mapa final'!$K$115="Baja",'Mapa final'!$O$115="Menor"),CONCATENATE("R",'Mapa final'!$A$115),"")</f>
        <v/>
      </c>
      <c r="AA80" s="448"/>
      <c r="AB80" s="448" t="str">
        <f ca="1">IF(AND('Mapa final'!$K$118="Baja",'Mapa final'!$O$118="Menor"),CONCATENATE("R",'Mapa final'!$A$118),"")</f>
        <v/>
      </c>
      <c r="AC80" s="449"/>
      <c r="AD80" s="450" t="str">
        <f ca="1">IF(AND('Mapa final'!$K$106="Baja",'Mapa final'!$O$106="Moderado"),CONCATENATE("R",'Mapa final'!$A$106),"")</f>
        <v/>
      </c>
      <c r="AE80" s="448"/>
      <c r="AF80" s="448" t="str">
        <f ca="1">IF(AND('Mapa final'!$K$109="Baja",'Mapa final'!$O$109="Moderado"),CONCATENATE("R",'Mapa final'!$A$109),"")</f>
        <v/>
      </c>
      <c r="AG80" s="448"/>
      <c r="AH80" s="448" t="str">
        <f ca="1">IF(AND('Mapa final'!$K$112="Baja",'Mapa final'!$O$112="Moderado"),CONCATENATE("R",'Mapa final'!$A$112),"")</f>
        <v/>
      </c>
      <c r="AI80" s="448"/>
      <c r="AJ80" s="448" t="str">
        <f ca="1">IF(AND('Mapa final'!$K$115="Baja",'Mapa final'!$O$115="Moderado"),CONCATENATE("R",'Mapa final'!$A$115),"")</f>
        <v/>
      </c>
      <c r="AK80" s="448"/>
      <c r="AL80" s="448" t="str">
        <f ca="1">IF(AND('Mapa final'!$K$118="Baja",'Mapa final'!$O$118="Moderado"),CONCATENATE("R",'Mapa final'!$A$118),"")</f>
        <v/>
      </c>
      <c r="AM80" s="449"/>
      <c r="AN80" s="453" t="str">
        <f ca="1">IF(AND('Mapa final'!$K$106="Baja",'Mapa final'!$O$106="Mayor"),CONCATENATE("R",'Mapa final'!$A$106),"")</f>
        <v/>
      </c>
      <c r="AO80" s="451"/>
      <c r="AP80" s="451" t="str">
        <f ca="1">IF(AND('Mapa final'!$K$109="Baja",'Mapa final'!$O$109="Mayor"),CONCATENATE("R",'Mapa final'!$A$109),"")</f>
        <v/>
      </c>
      <c r="AQ80" s="451"/>
      <c r="AR80" s="451" t="str">
        <f ca="1">IF(AND('Mapa final'!$K$112="Baja",'Mapa final'!$O$112="Mayor"),CONCATENATE("R",'Mapa final'!$A$112),"")</f>
        <v/>
      </c>
      <c r="AS80" s="451"/>
      <c r="AT80" s="451" t="str">
        <f ca="1">IF(AND('Mapa final'!$K$115="Baja",'Mapa final'!$O$115="Mayor"),CONCATENATE("R",'Mapa final'!$A$115),"")</f>
        <v/>
      </c>
      <c r="AU80" s="451"/>
      <c r="AV80" s="451" t="str">
        <f ca="1">IF(AND('Mapa final'!$K$118="Baja",'Mapa final'!$O$118="Mayor"),CONCATENATE("R",'Mapa final'!$A$118),"")</f>
        <v/>
      </c>
      <c r="AW80" s="452"/>
      <c r="AX80" s="447" t="str">
        <f ca="1">IF(AND('Mapa final'!$K$106="Baja",'Mapa final'!$O$106="Catastrófico"),CONCATENATE("R",'Mapa final'!$A$106),"")</f>
        <v/>
      </c>
      <c r="AY80" s="445"/>
      <c r="AZ80" s="445" t="str">
        <f ca="1">IF(AND('Mapa final'!$K$109="Baja",'Mapa final'!$O$109="Catastrófico"),CONCATENATE("R",'Mapa final'!$A$109),"")</f>
        <v/>
      </c>
      <c r="BA80" s="445"/>
      <c r="BB80" s="445" t="str">
        <f ca="1">IF(AND('Mapa final'!$K$112="Baja",'Mapa final'!$O$112="Catastrófico"),CONCATENATE("R",'Mapa final'!$A$112),"")</f>
        <v/>
      </c>
      <c r="BC80" s="445"/>
      <c r="BD80" s="445" t="str">
        <f ca="1">IF(AND('Mapa final'!$K$115="Baja",'Mapa final'!$O$115="Catastrófico"),CONCATENATE("R",'Mapa final'!$A$115),"")</f>
        <v/>
      </c>
      <c r="BE80" s="445"/>
      <c r="BF80" s="445" t="str">
        <f ca="1">IF(AND('Mapa final'!$K$118="Baja",'Mapa final'!$O$118="Catastrófico"),CONCATENATE("R",'Mapa final'!$A$118),"")</f>
        <v/>
      </c>
      <c r="BG80" s="446"/>
      <c r="BH80" s="56"/>
      <c r="BI80" s="506"/>
      <c r="BJ80" s="507"/>
      <c r="BK80" s="507"/>
      <c r="BL80" s="507"/>
      <c r="BM80" s="507"/>
      <c r="BN80" s="508"/>
      <c r="BO80" s="56"/>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row>
    <row r="81" spans="1:100" ht="15" customHeight="1" x14ac:dyDescent="0.25">
      <c r="A81" s="56"/>
      <c r="B81" s="286"/>
      <c r="C81" s="286"/>
      <c r="D81" s="287"/>
      <c r="E81" s="514"/>
      <c r="F81" s="515"/>
      <c r="G81" s="515"/>
      <c r="H81" s="515"/>
      <c r="I81" s="515"/>
      <c r="J81" s="442"/>
      <c r="K81" s="443"/>
      <c r="L81" s="443"/>
      <c r="M81" s="443"/>
      <c r="N81" s="443"/>
      <c r="O81" s="443"/>
      <c r="P81" s="443"/>
      <c r="Q81" s="443"/>
      <c r="R81" s="443"/>
      <c r="S81" s="444"/>
      <c r="T81" s="450"/>
      <c r="U81" s="448"/>
      <c r="V81" s="448"/>
      <c r="W81" s="448"/>
      <c r="X81" s="448"/>
      <c r="Y81" s="448"/>
      <c r="Z81" s="448"/>
      <c r="AA81" s="448"/>
      <c r="AB81" s="448"/>
      <c r="AC81" s="449"/>
      <c r="AD81" s="450"/>
      <c r="AE81" s="448"/>
      <c r="AF81" s="448"/>
      <c r="AG81" s="448"/>
      <c r="AH81" s="448"/>
      <c r="AI81" s="448"/>
      <c r="AJ81" s="448"/>
      <c r="AK81" s="448"/>
      <c r="AL81" s="448"/>
      <c r="AM81" s="449"/>
      <c r="AN81" s="453"/>
      <c r="AO81" s="451"/>
      <c r="AP81" s="451"/>
      <c r="AQ81" s="451"/>
      <c r="AR81" s="451"/>
      <c r="AS81" s="451"/>
      <c r="AT81" s="451"/>
      <c r="AU81" s="451"/>
      <c r="AV81" s="451"/>
      <c r="AW81" s="452"/>
      <c r="AX81" s="447"/>
      <c r="AY81" s="445"/>
      <c r="AZ81" s="445"/>
      <c r="BA81" s="445"/>
      <c r="BB81" s="445"/>
      <c r="BC81" s="445"/>
      <c r="BD81" s="445"/>
      <c r="BE81" s="445"/>
      <c r="BF81" s="445"/>
      <c r="BG81" s="446"/>
      <c r="BH81" s="56"/>
      <c r="BI81" s="506"/>
      <c r="BJ81" s="507"/>
      <c r="BK81" s="507"/>
      <c r="BL81" s="507"/>
      <c r="BM81" s="507"/>
      <c r="BN81" s="508"/>
      <c r="BO81" s="56"/>
      <c r="BP81" s="56"/>
      <c r="BQ81" s="56"/>
      <c r="BR81" s="56"/>
      <c r="BS81" s="56"/>
      <c r="BT81" s="56"/>
      <c r="BU81" s="56"/>
      <c r="BV81" s="56"/>
      <c r="BW81" s="56"/>
      <c r="BX81" s="56"/>
      <c r="BY81" s="56"/>
      <c r="BZ81" s="56"/>
      <c r="CA81" s="56"/>
      <c r="CB81" s="56"/>
      <c r="CC81" s="56"/>
      <c r="CD81" s="56"/>
      <c r="CE81" s="56"/>
      <c r="CF81" s="56"/>
      <c r="CG81" s="56"/>
      <c r="CH81" s="56"/>
      <c r="CI81" s="56"/>
      <c r="CJ81" s="56"/>
      <c r="CK81" s="56"/>
      <c r="CL81" s="56"/>
      <c r="CM81" s="56"/>
      <c r="CN81" s="56"/>
      <c r="CO81" s="56"/>
      <c r="CP81" s="56"/>
      <c r="CQ81" s="56"/>
      <c r="CR81" s="56"/>
      <c r="CS81" s="56"/>
      <c r="CT81" s="56"/>
      <c r="CU81" s="56"/>
      <c r="CV81" s="56"/>
    </row>
    <row r="82" spans="1:100" ht="15" customHeight="1" x14ac:dyDescent="0.25">
      <c r="A82" s="56"/>
      <c r="B82" s="286"/>
      <c r="C82" s="286"/>
      <c r="D82" s="287"/>
      <c r="E82" s="514"/>
      <c r="F82" s="515"/>
      <c r="G82" s="515"/>
      <c r="H82" s="515"/>
      <c r="I82" s="515"/>
      <c r="J82" s="442" t="str">
        <f ca="1">IF(AND('Mapa final'!$K$121="Baja",'Mapa final'!$O$121="Leve"),CONCATENATE("R",'Mapa final'!$A$121),"")</f>
        <v/>
      </c>
      <c r="K82" s="443"/>
      <c r="L82" s="443" t="str">
        <f ca="1">IF(AND('Mapa final'!$K$124="Baja",'Mapa final'!$O$124="Leve"),CONCATENATE("R",'Mapa final'!$A$124),"")</f>
        <v/>
      </c>
      <c r="M82" s="443"/>
      <c r="N82" s="443" t="str">
        <f ca="1">IF(AND('Mapa final'!$K$127="Baja",'Mapa final'!$O$127="Leve"),CONCATENATE("R",'Mapa final'!$A$127),"")</f>
        <v/>
      </c>
      <c r="O82" s="443"/>
      <c r="P82" s="443" t="str">
        <f ca="1">IF(AND('Mapa final'!$K$130="Baja",'Mapa final'!$O$130="Leve"),CONCATENATE("R",'Mapa final'!$A$130),"")</f>
        <v/>
      </c>
      <c r="Q82" s="443"/>
      <c r="R82" s="443" t="str">
        <f ca="1">IF(AND('Mapa final'!$K$133="Baja",'Mapa final'!$O$133="Leve"),CONCATENATE("R",'Mapa final'!$A$133),"")</f>
        <v/>
      </c>
      <c r="S82" s="444"/>
      <c r="T82" s="450" t="str">
        <f ca="1">IF(AND('Mapa final'!$K$121="Baja",'Mapa final'!$O$121="Menor"),CONCATENATE("R",'Mapa final'!$A$121),"")</f>
        <v/>
      </c>
      <c r="U82" s="448"/>
      <c r="V82" s="448" t="str">
        <f ca="1">IF(AND('Mapa final'!$K$124="Baja",'Mapa final'!$O$124="Menor"),CONCATENATE("R",'Mapa final'!$A$124),"")</f>
        <v/>
      </c>
      <c r="W82" s="448"/>
      <c r="X82" s="448" t="str">
        <f ca="1">IF(AND('Mapa final'!$K$127="Baja",'Mapa final'!$O$127="Menor"),CONCATENATE("R",'Mapa final'!$A$127),"")</f>
        <v/>
      </c>
      <c r="Y82" s="448"/>
      <c r="Z82" s="448" t="str">
        <f ca="1">IF(AND('Mapa final'!$K$130="Baja",'Mapa final'!$O$130="Menor"),CONCATENATE("R",'Mapa final'!$A$130),"")</f>
        <v/>
      </c>
      <c r="AA82" s="448"/>
      <c r="AB82" s="448" t="str">
        <f ca="1">IF(AND('Mapa final'!$K$133="Baja",'Mapa final'!$O$133="Menor"),CONCATENATE("R",'Mapa final'!$A$133),"")</f>
        <v/>
      </c>
      <c r="AC82" s="449"/>
      <c r="AD82" s="450" t="str">
        <f ca="1">IF(AND('Mapa final'!$K$121="Baja",'Mapa final'!$O$121="Moderado"),CONCATENATE("R",'Mapa final'!$A$121),"")</f>
        <v/>
      </c>
      <c r="AE82" s="448"/>
      <c r="AF82" s="448" t="str">
        <f ca="1">IF(AND('Mapa final'!$K$124="Baja",'Mapa final'!$O$124="Moderado"),CONCATENATE("R",'Mapa final'!$A$124),"")</f>
        <v>R41</v>
      </c>
      <c r="AG82" s="448"/>
      <c r="AH82" s="448" t="str">
        <f ca="1">IF(AND('Mapa final'!$K$127="Baja",'Mapa final'!$O$127="Moderado"),CONCATENATE("R",'Mapa final'!$A$127),"")</f>
        <v/>
      </c>
      <c r="AI82" s="448"/>
      <c r="AJ82" s="448" t="str">
        <f ca="1">IF(AND('Mapa final'!$K$130="Baja",'Mapa final'!$O$130="Moderado"),CONCATENATE("R",'Mapa final'!$A$130),"")</f>
        <v/>
      </c>
      <c r="AK82" s="448"/>
      <c r="AL82" s="448" t="str">
        <f ca="1">IF(AND('Mapa final'!$K$133="Baja",'Mapa final'!$O$133="Moderado"),CONCATENATE("R",'Mapa final'!$A$133),"")</f>
        <v/>
      </c>
      <c r="AM82" s="449"/>
      <c r="AN82" s="453" t="str">
        <f ca="1">IF(AND('Mapa final'!$K$121="Baja",'Mapa final'!$O$121="Mayor"),CONCATENATE("R",'Mapa final'!$A$121),"")</f>
        <v/>
      </c>
      <c r="AO82" s="451"/>
      <c r="AP82" s="451" t="str">
        <f ca="1">IF(AND('Mapa final'!$K$124="Baja",'Mapa final'!$O$124="Mayor"),CONCATENATE("R",'Mapa final'!$A$124),"")</f>
        <v/>
      </c>
      <c r="AQ82" s="451"/>
      <c r="AR82" s="451" t="str">
        <f ca="1">IF(AND('Mapa final'!$K$127="Baja",'Mapa final'!$O$127="Mayor"),CONCATENATE("R",'Mapa final'!$A$127),"")</f>
        <v/>
      </c>
      <c r="AS82" s="451"/>
      <c r="AT82" s="451" t="str">
        <f ca="1">IF(AND('Mapa final'!$K$130="Baja",'Mapa final'!$O$130="Mayor"),CONCATENATE("R",'Mapa final'!$A$130),"")</f>
        <v/>
      </c>
      <c r="AU82" s="451"/>
      <c r="AV82" s="451" t="str">
        <f ca="1">IF(AND('Mapa final'!$K$133="Baja",'Mapa final'!$O$133="Mayor"),CONCATENATE("R",'Mapa final'!$A$133),"")</f>
        <v/>
      </c>
      <c r="AW82" s="452"/>
      <c r="AX82" s="447" t="str">
        <f ca="1">IF(AND('Mapa final'!$K$121="Baja",'Mapa final'!$O$121="Catastrófico"),CONCATENATE("R",'Mapa final'!$A$121),"")</f>
        <v/>
      </c>
      <c r="AY82" s="445"/>
      <c r="AZ82" s="445" t="str">
        <f ca="1">IF(AND('Mapa final'!$K$124="Baja",'Mapa final'!$O$124="Catastrófico"),CONCATENATE("R",'Mapa final'!$A$124),"")</f>
        <v/>
      </c>
      <c r="BA82" s="445"/>
      <c r="BB82" s="445" t="str">
        <f ca="1">IF(AND('Mapa final'!$K$127="Baja",'Mapa final'!$O$127="Catastrófico"),CONCATENATE("R",'Mapa final'!$A$127),"")</f>
        <v/>
      </c>
      <c r="BC82" s="445"/>
      <c r="BD82" s="445" t="str">
        <f ca="1">IF(AND('Mapa final'!$K$130="Baja",'Mapa final'!$O$130="Catastrófico"),CONCATENATE("R",'Mapa final'!$A$130),"")</f>
        <v/>
      </c>
      <c r="BE82" s="445"/>
      <c r="BF82" s="445" t="str">
        <f ca="1">IF(AND('Mapa final'!$K$133="Baja",'Mapa final'!$O$133="Catastrófico"),CONCATENATE("R",'Mapa final'!$A$133),"")</f>
        <v/>
      </c>
      <c r="BG82" s="446"/>
      <c r="BH82" s="56"/>
      <c r="BI82" s="506"/>
      <c r="BJ82" s="507"/>
      <c r="BK82" s="507"/>
      <c r="BL82" s="507"/>
      <c r="BM82" s="507"/>
      <c r="BN82" s="508"/>
      <c r="BO82" s="56"/>
      <c r="BP82" s="56"/>
      <c r="BQ82" s="56"/>
      <c r="BR82" s="56"/>
      <c r="BS82" s="56"/>
      <c r="BT82" s="56"/>
      <c r="BU82" s="56"/>
      <c r="BV82" s="56"/>
      <c r="BW82" s="56"/>
      <c r="BX82" s="56"/>
      <c r="BY82" s="56"/>
      <c r="BZ82" s="56"/>
      <c r="CA82" s="56"/>
      <c r="CB82" s="56"/>
      <c r="CC82" s="56"/>
      <c r="CD82" s="56"/>
      <c r="CE82" s="56"/>
      <c r="CF82" s="56"/>
      <c r="CG82" s="56"/>
      <c r="CH82" s="56"/>
      <c r="CI82" s="56"/>
      <c r="CJ82" s="56"/>
      <c r="CK82" s="56"/>
      <c r="CL82" s="56"/>
      <c r="CM82" s="56"/>
      <c r="CN82" s="56"/>
      <c r="CO82" s="56"/>
      <c r="CP82" s="56"/>
      <c r="CQ82" s="56"/>
      <c r="CR82" s="56"/>
      <c r="CS82" s="56"/>
      <c r="CT82" s="56"/>
      <c r="CU82" s="56"/>
      <c r="CV82" s="56"/>
    </row>
    <row r="83" spans="1:100" ht="15" customHeight="1" x14ac:dyDescent="0.25">
      <c r="A83" s="56"/>
      <c r="B83" s="286"/>
      <c r="C83" s="286"/>
      <c r="D83" s="287"/>
      <c r="E83" s="514"/>
      <c r="F83" s="515"/>
      <c r="G83" s="515"/>
      <c r="H83" s="515"/>
      <c r="I83" s="515"/>
      <c r="J83" s="442"/>
      <c r="K83" s="443"/>
      <c r="L83" s="443"/>
      <c r="M83" s="443"/>
      <c r="N83" s="443"/>
      <c r="O83" s="443"/>
      <c r="P83" s="443"/>
      <c r="Q83" s="443"/>
      <c r="R83" s="443"/>
      <c r="S83" s="444"/>
      <c r="T83" s="450"/>
      <c r="U83" s="448"/>
      <c r="V83" s="448"/>
      <c r="W83" s="448"/>
      <c r="X83" s="448"/>
      <c r="Y83" s="448"/>
      <c r="Z83" s="448"/>
      <c r="AA83" s="448"/>
      <c r="AB83" s="448"/>
      <c r="AC83" s="449"/>
      <c r="AD83" s="450"/>
      <c r="AE83" s="448"/>
      <c r="AF83" s="448"/>
      <c r="AG83" s="448"/>
      <c r="AH83" s="448"/>
      <c r="AI83" s="448"/>
      <c r="AJ83" s="448"/>
      <c r="AK83" s="448"/>
      <c r="AL83" s="448"/>
      <c r="AM83" s="449"/>
      <c r="AN83" s="453"/>
      <c r="AO83" s="451"/>
      <c r="AP83" s="451"/>
      <c r="AQ83" s="451"/>
      <c r="AR83" s="451"/>
      <c r="AS83" s="451"/>
      <c r="AT83" s="451"/>
      <c r="AU83" s="451"/>
      <c r="AV83" s="451"/>
      <c r="AW83" s="452"/>
      <c r="AX83" s="447"/>
      <c r="AY83" s="445"/>
      <c r="AZ83" s="445"/>
      <c r="BA83" s="445"/>
      <c r="BB83" s="445"/>
      <c r="BC83" s="445"/>
      <c r="BD83" s="445"/>
      <c r="BE83" s="445"/>
      <c r="BF83" s="445"/>
      <c r="BG83" s="446"/>
      <c r="BH83" s="56"/>
      <c r="BI83" s="506"/>
      <c r="BJ83" s="507"/>
      <c r="BK83" s="507"/>
      <c r="BL83" s="507"/>
      <c r="BM83" s="507"/>
      <c r="BN83" s="508"/>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row>
    <row r="84" spans="1:100" ht="15" customHeight="1" x14ac:dyDescent="0.25">
      <c r="A84" s="56"/>
      <c r="B84" s="286"/>
      <c r="C84" s="286"/>
      <c r="D84" s="287"/>
      <c r="E84" s="514"/>
      <c r="F84" s="515"/>
      <c r="G84" s="515"/>
      <c r="H84" s="515"/>
      <c r="I84" s="515"/>
      <c r="J84" s="442" t="str">
        <f ca="1">IF(AND('Mapa final'!$K$136="Baja",'Mapa final'!$O$136="Leve"),CONCATENATE("R",'Mapa final'!$A$136),"")</f>
        <v/>
      </c>
      <c r="K84" s="443"/>
      <c r="L84" s="443" t="str">
        <f ca="1">IF(AND('Mapa final'!$K$139="Baja",'Mapa final'!$O$139="Leve"),CONCATENATE("R",'Mapa final'!$A$139),"")</f>
        <v/>
      </c>
      <c r="M84" s="443"/>
      <c r="N84" s="443" t="str">
        <f ca="1">IF(AND('Mapa final'!$K$142="Baja",'Mapa final'!$O$142="Leve"),CONCATENATE("R",'Mapa final'!$A$142),"")</f>
        <v/>
      </c>
      <c r="O84" s="443"/>
      <c r="P84" s="443" t="str">
        <f ca="1">IF(AND('Mapa final'!$K$145="Baja",'Mapa final'!$O$145="Leve"),CONCATENATE("R",'Mapa final'!$A$145),"")</f>
        <v/>
      </c>
      <c r="Q84" s="443"/>
      <c r="R84" s="443" t="str">
        <f ca="1">IF(AND('Mapa final'!$K$148="Baja",'Mapa final'!$O$148="Leve"),CONCATENATE("R",'Mapa final'!$A$148),"")</f>
        <v/>
      </c>
      <c r="S84" s="444"/>
      <c r="T84" s="450" t="str">
        <f ca="1">IF(AND('Mapa final'!$K$136="Baja",'Mapa final'!$O$136="Menor"),CONCATENATE("R",'Mapa final'!$A$136),"")</f>
        <v/>
      </c>
      <c r="U84" s="448"/>
      <c r="V84" s="448" t="str">
        <f ca="1">IF(AND('Mapa final'!$K$139="Baja",'Mapa final'!$O$139="Menor"),CONCATENATE("R",'Mapa final'!$A$139),"")</f>
        <v/>
      </c>
      <c r="W84" s="448"/>
      <c r="X84" s="448" t="str">
        <f ca="1">IF(AND('Mapa final'!$K$142="Baja",'Mapa final'!$O$142="Menor"),CONCATENATE("R",'Mapa final'!$A$142),"")</f>
        <v/>
      </c>
      <c r="Y84" s="448"/>
      <c r="Z84" s="448" t="str">
        <f ca="1">IF(AND('Mapa final'!$K$145="Baja",'Mapa final'!$O$145="Menor"),CONCATENATE("R",'Mapa final'!$A$145),"")</f>
        <v/>
      </c>
      <c r="AA84" s="448"/>
      <c r="AB84" s="448" t="str">
        <f ca="1">IF(AND('Mapa final'!$K$148="Baja",'Mapa final'!$O$148="Menor"),CONCATENATE("R",'Mapa final'!$A$148),"")</f>
        <v/>
      </c>
      <c r="AC84" s="449"/>
      <c r="AD84" s="450" t="str">
        <f ca="1">IF(AND('Mapa final'!$K$136="Baja",'Mapa final'!$O$136="Moderado"),CONCATENATE("R",'Mapa final'!$A$136),"")</f>
        <v/>
      </c>
      <c r="AE84" s="448"/>
      <c r="AF84" s="448" t="str">
        <f ca="1">IF(AND('Mapa final'!$K$139="Baja",'Mapa final'!$O$139="Moderado"),CONCATENATE("R",'Mapa final'!$A$139),"")</f>
        <v>R46</v>
      </c>
      <c r="AG84" s="448"/>
      <c r="AH84" s="448" t="str">
        <f ca="1">IF(AND('Mapa final'!$K$142="Baja",'Mapa final'!$O$142="Moderado"),CONCATENATE("R",'Mapa final'!$A$142),"")</f>
        <v>R</v>
      </c>
      <c r="AI84" s="448"/>
      <c r="AJ84" s="448" t="str">
        <f ca="1">IF(AND('Mapa final'!$K$145="Baja",'Mapa final'!$O$145="Moderado"),CONCATENATE("R",'Mapa final'!$A$145),"")</f>
        <v/>
      </c>
      <c r="AK84" s="448"/>
      <c r="AL84" s="448" t="str">
        <f ca="1">IF(AND('Mapa final'!$K$148="Baja",'Mapa final'!$O$148="Moderado"),CONCATENATE("R",'Mapa final'!$A$148),"")</f>
        <v/>
      </c>
      <c r="AM84" s="449"/>
      <c r="AN84" s="453" t="str">
        <f ca="1">IF(AND('Mapa final'!$K$136="Baja",'Mapa final'!$O$136="Mayor"),CONCATENATE("R",'Mapa final'!$A$136),"")</f>
        <v>R45</v>
      </c>
      <c r="AO84" s="451"/>
      <c r="AP84" s="451" t="str">
        <f ca="1">IF(AND('Mapa final'!$K$139="Baja",'Mapa final'!$O$139="Mayor"),CONCATENATE("R",'Mapa final'!$A$139),"")</f>
        <v/>
      </c>
      <c r="AQ84" s="451"/>
      <c r="AR84" s="451" t="str">
        <f ca="1">IF(AND('Mapa final'!$K$142="Baja",'Mapa final'!$O$142="Mayor"),CONCATENATE("R",'Mapa final'!$A$142),"")</f>
        <v/>
      </c>
      <c r="AS84" s="451"/>
      <c r="AT84" s="451" t="str">
        <f ca="1">IF(AND('Mapa final'!$K$145="Baja",'Mapa final'!$O$145="Mayor"),CONCATENATE("R",'Mapa final'!$A$145),"")</f>
        <v/>
      </c>
      <c r="AU84" s="451"/>
      <c r="AV84" s="451" t="str">
        <f ca="1">IF(AND('Mapa final'!$K$148="Baja",'Mapa final'!$O$148="Mayor"),CONCATENATE("R",'Mapa final'!$A$148),"")</f>
        <v/>
      </c>
      <c r="AW84" s="452"/>
      <c r="AX84" s="447" t="str">
        <f ca="1">IF(AND('Mapa final'!$K$136="Baja",'Mapa final'!$O$136="Catastrófico"),CONCATENATE("R",'Mapa final'!$A$136),"")</f>
        <v/>
      </c>
      <c r="AY84" s="445"/>
      <c r="AZ84" s="445" t="str">
        <f ca="1">IF(AND('Mapa final'!$K$139="Baja",'Mapa final'!$O$139="Catastrófico"),CONCATENATE("R",'Mapa final'!$A$139),"")</f>
        <v/>
      </c>
      <c r="BA84" s="445"/>
      <c r="BB84" s="445" t="str">
        <f ca="1">IF(AND('Mapa final'!$K$142="Baja",'Mapa final'!$O$142="Catastrófico"),CONCATENATE("R",'Mapa final'!$A$142),"")</f>
        <v/>
      </c>
      <c r="BC84" s="445"/>
      <c r="BD84" s="445" t="str">
        <f ca="1">IF(AND('Mapa final'!$K$145="Baja",'Mapa final'!$O$145="Catastrófico"),CONCATENATE("R",'Mapa final'!$A$145),"")</f>
        <v/>
      </c>
      <c r="BE84" s="445"/>
      <c r="BF84" s="445" t="str">
        <f ca="1">IF(AND('Mapa final'!$K$148="Baja",'Mapa final'!$O$148="Catastrófico"),CONCATENATE("R",'Mapa final'!$A$148),"")</f>
        <v/>
      </c>
      <c r="BG84" s="446"/>
      <c r="BH84" s="56"/>
      <c r="BI84" s="506"/>
      <c r="BJ84" s="507"/>
      <c r="BK84" s="507"/>
      <c r="BL84" s="507"/>
      <c r="BM84" s="507"/>
      <c r="BN84" s="508"/>
      <c r="BO84" s="56"/>
      <c r="BP84" s="56"/>
      <c r="BQ84" s="56"/>
      <c r="BR84" s="56"/>
      <c r="BS84" s="56"/>
      <c r="BT84" s="56"/>
      <c r="BU84" s="56"/>
      <c r="BV84" s="56"/>
      <c r="BW84" s="56"/>
      <c r="BX84" s="56"/>
      <c r="BY84" s="56"/>
      <c r="BZ84" s="56"/>
      <c r="CA84" s="56"/>
      <c r="CB84" s="56"/>
      <c r="CC84" s="56"/>
      <c r="CD84" s="56"/>
      <c r="CE84" s="56"/>
      <c r="CF84" s="56"/>
      <c r="CG84" s="56"/>
      <c r="CH84" s="56"/>
      <c r="CI84" s="56"/>
      <c r="CJ84" s="56"/>
      <c r="CK84" s="56"/>
      <c r="CL84" s="56"/>
      <c r="CM84" s="56"/>
      <c r="CN84" s="56"/>
      <c r="CO84" s="56"/>
      <c r="CP84" s="56"/>
      <c r="CQ84" s="56"/>
      <c r="CR84" s="56"/>
      <c r="CS84" s="56"/>
      <c r="CT84" s="56"/>
      <c r="CU84" s="56"/>
      <c r="CV84" s="56"/>
    </row>
    <row r="85" spans="1:100" ht="15.75" customHeight="1" thickBot="1" x14ac:dyDescent="0.3">
      <c r="A85" s="56"/>
      <c r="B85" s="286"/>
      <c r="C85" s="286"/>
      <c r="D85" s="287"/>
      <c r="E85" s="516"/>
      <c r="F85" s="517"/>
      <c r="G85" s="517"/>
      <c r="H85" s="517"/>
      <c r="I85" s="517"/>
      <c r="J85" s="471"/>
      <c r="K85" s="472"/>
      <c r="L85" s="472"/>
      <c r="M85" s="472"/>
      <c r="N85" s="472"/>
      <c r="O85" s="472"/>
      <c r="P85" s="472"/>
      <c r="Q85" s="472"/>
      <c r="R85" s="472"/>
      <c r="S85" s="474"/>
      <c r="T85" s="460"/>
      <c r="U85" s="461"/>
      <c r="V85" s="461"/>
      <c r="W85" s="461"/>
      <c r="X85" s="461"/>
      <c r="Y85" s="461"/>
      <c r="Z85" s="461"/>
      <c r="AA85" s="461"/>
      <c r="AB85" s="461"/>
      <c r="AC85" s="462"/>
      <c r="AD85" s="460"/>
      <c r="AE85" s="461"/>
      <c r="AF85" s="461"/>
      <c r="AG85" s="461"/>
      <c r="AH85" s="461"/>
      <c r="AI85" s="461"/>
      <c r="AJ85" s="461"/>
      <c r="AK85" s="461"/>
      <c r="AL85" s="461"/>
      <c r="AM85" s="462"/>
      <c r="AN85" s="454"/>
      <c r="AO85" s="455"/>
      <c r="AP85" s="455"/>
      <c r="AQ85" s="455"/>
      <c r="AR85" s="455"/>
      <c r="AS85" s="455"/>
      <c r="AT85" s="455"/>
      <c r="AU85" s="455"/>
      <c r="AV85" s="455"/>
      <c r="AW85" s="456"/>
      <c r="AX85" s="467"/>
      <c r="AY85" s="466"/>
      <c r="AZ85" s="466"/>
      <c r="BA85" s="466"/>
      <c r="BB85" s="466"/>
      <c r="BC85" s="466"/>
      <c r="BD85" s="466"/>
      <c r="BE85" s="466"/>
      <c r="BF85" s="466"/>
      <c r="BG85" s="468"/>
      <c r="BH85" s="56"/>
      <c r="BI85" s="506"/>
      <c r="BJ85" s="507"/>
      <c r="BK85" s="507"/>
      <c r="BL85" s="507"/>
      <c r="BM85" s="507"/>
      <c r="BN85" s="508"/>
      <c r="BO85" s="56"/>
      <c r="BP85" s="56"/>
      <c r="BQ85" s="56"/>
      <c r="BR85" s="56"/>
      <c r="BS85" s="56"/>
      <c r="BT85" s="56"/>
      <c r="BU85" s="56"/>
      <c r="BV85" s="56"/>
      <c r="BW85" s="56"/>
      <c r="BX85" s="56"/>
      <c r="BY85" s="56"/>
      <c r="BZ85" s="56"/>
      <c r="CA85" s="56"/>
      <c r="CB85" s="56"/>
      <c r="CC85" s="56"/>
      <c r="CD85" s="56"/>
      <c r="CE85" s="56"/>
      <c r="CF85" s="56"/>
      <c r="CG85" s="56"/>
      <c r="CH85" s="56"/>
      <c r="CI85" s="56"/>
      <c r="CJ85" s="56"/>
      <c r="CK85" s="56"/>
      <c r="CL85" s="56"/>
      <c r="CM85" s="56"/>
      <c r="CN85" s="56"/>
      <c r="CO85" s="56"/>
      <c r="CP85" s="56"/>
      <c r="CQ85" s="56"/>
      <c r="CR85" s="56"/>
      <c r="CS85" s="56"/>
      <c r="CT85" s="56"/>
      <c r="CU85" s="56"/>
      <c r="CV85" s="56"/>
    </row>
    <row r="86" spans="1:100" ht="15" customHeight="1" x14ac:dyDescent="0.25">
      <c r="A86" s="56"/>
      <c r="B86" s="286"/>
      <c r="C86" s="286"/>
      <c r="D86" s="287"/>
      <c r="E86" s="512" t="s">
        <v>104</v>
      </c>
      <c r="F86" s="513"/>
      <c r="G86" s="513"/>
      <c r="H86" s="513"/>
      <c r="I86" s="518"/>
      <c r="J86" s="526" t="str">
        <f ca="1">IF(AND('Mapa final'!$K$7="Muy Baja",'Mapa final'!$O$7="Leve"),CONCATENATE("R",'Mapa final'!$A$7),"")</f>
        <v/>
      </c>
      <c r="K86" s="473"/>
      <c r="L86" s="473" t="str">
        <f ca="1">IF(AND('Mapa final'!$K$10="Muy Baja",'Mapa final'!$O$10="Leve"),CONCATENATE("R",'Mapa final'!$A$10),"")</f>
        <v/>
      </c>
      <c r="M86" s="473"/>
      <c r="N86" s="473" t="str">
        <f ca="1">IF(AND('Mapa final'!$K$13="Muy Baja",'Mapa final'!$O$13="Leve"),CONCATENATE("R",'Mapa final'!$A$13),"")</f>
        <v/>
      </c>
      <c r="O86" s="473"/>
      <c r="P86" s="473" t="e">
        <f>IF(AND('Mapa final'!#REF!="Muy Baja",'Mapa final'!#REF!="Leve"),CONCATENATE("R",'Mapa final'!#REF!),"")</f>
        <v>#REF!</v>
      </c>
      <c r="Q86" s="473"/>
      <c r="R86" s="473" t="e">
        <f>IF(AND('Mapa final'!#REF!="Muy Baja",'Mapa final'!#REF!="Leve"),CONCATENATE("R",'Mapa final'!#REF!),"")</f>
        <v>#REF!</v>
      </c>
      <c r="S86" s="475"/>
      <c r="T86" s="526" t="str">
        <f ca="1">IF(AND('Mapa final'!$K$7="Muy Baja",'Mapa final'!$O$7="Menor"),CONCATENATE("R",'Mapa final'!$A$7),"")</f>
        <v/>
      </c>
      <c r="U86" s="473"/>
      <c r="V86" s="473" t="str">
        <f ca="1">IF(AND('Mapa final'!$K$10="Muy Baja",'Mapa final'!$O$10="Menor"),CONCATENATE("R",'Mapa final'!$A$10),"")</f>
        <v/>
      </c>
      <c r="W86" s="473"/>
      <c r="X86" s="473" t="str">
        <f ca="1">IF(AND('Mapa final'!$K$13="Muy Baja",'Mapa final'!$O$13="Menor"),CONCATENATE("R",'Mapa final'!$A$13),"")</f>
        <v/>
      </c>
      <c r="Y86" s="473"/>
      <c r="Z86" s="473" t="e">
        <f>IF(AND('Mapa final'!#REF!="Muy Baja",'Mapa final'!#REF!="Menor"),CONCATENATE("R",'Mapa final'!#REF!),"")</f>
        <v>#REF!</v>
      </c>
      <c r="AA86" s="473"/>
      <c r="AB86" s="473" t="e">
        <f>IF(AND('Mapa final'!#REF!="Muy Baja",'Mapa final'!#REF!="Menor"),CONCATENATE("R",'Mapa final'!#REF!),"")</f>
        <v>#REF!</v>
      </c>
      <c r="AC86" s="475"/>
      <c r="AD86" s="457" t="str">
        <f ca="1">IF(AND('Mapa final'!$K$7="Muy Baja",'Mapa final'!$O$7="Moderado"),CONCATENATE("R",'Mapa final'!$A$7),"")</f>
        <v/>
      </c>
      <c r="AE86" s="458"/>
      <c r="AF86" s="458" t="str">
        <f ca="1">IF(AND('Mapa final'!$K$10="Muy Baja",'Mapa final'!$O$10="Moderado"),CONCATENATE("R",'Mapa final'!$A$10),"")</f>
        <v/>
      </c>
      <c r="AG86" s="458"/>
      <c r="AH86" s="458" t="str">
        <f ca="1">IF(AND('Mapa final'!$K$13="Muy Baja",'Mapa final'!$O$13="Moderado"),CONCATENATE("R",'Mapa final'!$A$13),"")</f>
        <v/>
      </c>
      <c r="AI86" s="458"/>
      <c r="AJ86" s="458" t="e">
        <f>IF(AND('Mapa final'!#REF!="Muy Baja",'Mapa final'!#REF!="Moderado"),CONCATENATE("R",'Mapa final'!#REF!),"")</f>
        <v>#REF!</v>
      </c>
      <c r="AK86" s="458"/>
      <c r="AL86" s="458" t="e">
        <f>IF(AND('Mapa final'!#REF!="Muy Baja",'Mapa final'!#REF!="Moderado"),CONCATENATE("R",'Mapa final'!#REF!),"")</f>
        <v>#REF!</v>
      </c>
      <c r="AM86" s="459"/>
      <c r="AN86" s="463" t="str">
        <f ca="1">IF(AND('Mapa final'!$K$7="Muy Baja",'Mapa final'!$O$7="Mayor"),CONCATENATE("R",'Mapa final'!$A$7),"")</f>
        <v/>
      </c>
      <c r="AO86" s="464"/>
      <c r="AP86" s="464" t="str">
        <f ca="1">IF(AND('Mapa final'!$K$10="Muy Baja",'Mapa final'!$O$10="Mayor"),CONCATENATE("R",'Mapa final'!$A$10),"")</f>
        <v/>
      </c>
      <c r="AQ86" s="464"/>
      <c r="AR86" s="464" t="str">
        <f ca="1">IF(AND('Mapa final'!$K$13="Muy Baja",'Mapa final'!$O$13="Mayor"),CONCATENATE("R",'Mapa final'!$A$13),"")</f>
        <v/>
      </c>
      <c r="AS86" s="464"/>
      <c r="AT86" s="464" t="e">
        <f>IF(AND('Mapa final'!#REF!="Muy Baja",'Mapa final'!#REF!="Mayor"),CONCATENATE("R",'Mapa final'!#REF!),"")</f>
        <v>#REF!</v>
      </c>
      <c r="AU86" s="464"/>
      <c r="AV86" s="464" t="e">
        <f>IF(AND('Mapa final'!#REF!="Muy Baja",'Mapa final'!#REF!="Mayor"),CONCATENATE("R",'Mapa final'!#REF!),"")</f>
        <v>#REF!</v>
      </c>
      <c r="AW86" s="465"/>
      <c r="AX86" s="470" t="str">
        <f ca="1">IF(AND('Mapa final'!$K$7="Muy Baja",'Mapa final'!$O$7="Catastrófico"),CONCATENATE("R",'Mapa final'!$A$7),"")</f>
        <v/>
      </c>
      <c r="AY86" s="469"/>
      <c r="AZ86" s="469" t="str">
        <f ca="1">IF(AND('Mapa final'!$K$10="Muy Baja",'Mapa final'!$O$10="Catastrófico"),CONCATENATE("R",'Mapa final'!$A$10),"")</f>
        <v/>
      </c>
      <c r="BA86" s="469"/>
      <c r="BB86" s="469" t="str">
        <f ca="1">IF(AND('Mapa final'!$K$13="Muy Baja",'Mapa final'!$O$13="Catastrófico"),CONCATENATE("R",'Mapa final'!$A$13),"")</f>
        <v/>
      </c>
      <c r="BC86" s="469"/>
      <c r="BD86" s="469" t="e">
        <f>IF(AND('Mapa final'!#REF!="Muy Baja",'Mapa final'!#REF!="Catastrófico"),CONCATENATE("R",'Mapa final'!#REF!),"")</f>
        <v>#REF!</v>
      </c>
      <c r="BE86" s="469"/>
      <c r="BF86" s="469" t="e">
        <f>IF(AND('Mapa final'!#REF!="Muy Baja",'Mapa final'!#REF!="Catastrófico"),CONCATENATE("R",'Mapa final'!#REF!),"")</f>
        <v>#REF!</v>
      </c>
      <c r="BG86" s="525"/>
      <c r="BH86" s="56"/>
      <c r="BI86" s="506"/>
      <c r="BJ86" s="507"/>
      <c r="BK86" s="507"/>
      <c r="BL86" s="507"/>
      <c r="BM86" s="507"/>
      <c r="BN86" s="508"/>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c r="CN86" s="56"/>
      <c r="CO86" s="56"/>
      <c r="CP86" s="56"/>
      <c r="CQ86" s="56"/>
      <c r="CR86" s="56"/>
      <c r="CS86" s="56"/>
      <c r="CT86" s="56"/>
      <c r="CU86" s="56"/>
      <c r="CV86" s="56"/>
    </row>
    <row r="87" spans="1:100" ht="15" customHeight="1" x14ac:dyDescent="0.25">
      <c r="A87" s="56"/>
      <c r="B87" s="286"/>
      <c r="C87" s="286"/>
      <c r="D87" s="287"/>
      <c r="E87" s="514"/>
      <c r="F87" s="515"/>
      <c r="G87" s="515"/>
      <c r="H87" s="515"/>
      <c r="I87" s="519"/>
      <c r="J87" s="442"/>
      <c r="K87" s="443"/>
      <c r="L87" s="443"/>
      <c r="M87" s="443"/>
      <c r="N87" s="443"/>
      <c r="O87" s="443"/>
      <c r="P87" s="443"/>
      <c r="Q87" s="443"/>
      <c r="R87" s="443"/>
      <c r="S87" s="444"/>
      <c r="T87" s="442"/>
      <c r="U87" s="443"/>
      <c r="V87" s="443"/>
      <c r="W87" s="443"/>
      <c r="X87" s="443"/>
      <c r="Y87" s="443"/>
      <c r="Z87" s="443"/>
      <c r="AA87" s="443"/>
      <c r="AB87" s="443"/>
      <c r="AC87" s="444"/>
      <c r="AD87" s="450"/>
      <c r="AE87" s="448"/>
      <c r="AF87" s="448"/>
      <c r="AG87" s="448"/>
      <c r="AH87" s="448"/>
      <c r="AI87" s="448"/>
      <c r="AJ87" s="448"/>
      <c r="AK87" s="448"/>
      <c r="AL87" s="448"/>
      <c r="AM87" s="449"/>
      <c r="AN87" s="453"/>
      <c r="AO87" s="451"/>
      <c r="AP87" s="451"/>
      <c r="AQ87" s="451"/>
      <c r="AR87" s="451"/>
      <c r="AS87" s="451"/>
      <c r="AT87" s="451"/>
      <c r="AU87" s="451"/>
      <c r="AV87" s="451"/>
      <c r="AW87" s="452"/>
      <c r="AX87" s="447"/>
      <c r="AY87" s="445"/>
      <c r="AZ87" s="445"/>
      <c r="BA87" s="445"/>
      <c r="BB87" s="445"/>
      <c r="BC87" s="445"/>
      <c r="BD87" s="445"/>
      <c r="BE87" s="445"/>
      <c r="BF87" s="445"/>
      <c r="BG87" s="446"/>
      <c r="BH87" s="56"/>
      <c r="BI87" s="506"/>
      <c r="BJ87" s="507"/>
      <c r="BK87" s="507"/>
      <c r="BL87" s="507"/>
      <c r="BM87" s="507"/>
      <c r="BN87" s="508"/>
      <c r="BO87" s="56"/>
      <c r="BP87" s="56"/>
      <c r="BQ87" s="56"/>
      <c r="BR87" s="56"/>
      <c r="BS87" s="56"/>
      <c r="BT87" s="56"/>
      <c r="BU87" s="56"/>
      <c r="BV87" s="56"/>
      <c r="BW87" s="56"/>
      <c r="BX87" s="56"/>
      <c r="BY87" s="56"/>
      <c r="BZ87" s="56"/>
      <c r="CA87" s="56"/>
      <c r="CB87" s="56"/>
      <c r="CC87" s="56"/>
      <c r="CD87" s="56"/>
      <c r="CE87" s="56"/>
      <c r="CF87" s="56"/>
      <c r="CG87" s="56"/>
      <c r="CH87" s="56"/>
      <c r="CI87" s="56"/>
      <c r="CJ87" s="56"/>
      <c r="CK87" s="56"/>
      <c r="CL87" s="56"/>
      <c r="CM87" s="56"/>
      <c r="CN87" s="56"/>
      <c r="CO87" s="56"/>
      <c r="CP87" s="56"/>
      <c r="CQ87" s="56"/>
      <c r="CR87" s="56"/>
      <c r="CS87" s="56"/>
      <c r="CT87" s="56"/>
      <c r="CU87" s="56"/>
      <c r="CV87" s="56"/>
    </row>
    <row r="88" spans="1:100" ht="15" customHeight="1" x14ac:dyDescent="0.25">
      <c r="A88" s="56"/>
      <c r="B88" s="286"/>
      <c r="C88" s="286"/>
      <c r="D88" s="287"/>
      <c r="E88" s="514"/>
      <c r="F88" s="515"/>
      <c r="G88" s="515"/>
      <c r="H88" s="515"/>
      <c r="I88" s="519"/>
      <c r="J88" s="442" t="str">
        <f ca="1">IF(AND('Mapa final'!$K$16="Muy Baja",'Mapa final'!$O$16="Leve"),CONCATENATE("R",'Mapa final'!$A$16),"")</f>
        <v/>
      </c>
      <c r="K88" s="443"/>
      <c r="L88" s="443" t="str">
        <f ca="1">IF(AND('Mapa final'!$K$19="Muy Baja",'Mapa final'!$O$19="Leve"),CONCATENATE("R",'Mapa final'!$A$19),"")</f>
        <v/>
      </c>
      <c r="M88" s="443"/>
      <c r="N88" s="443" t="str">
        <f ca="1">IF(AND('Mapa final'!$K$22="Muy Baja",'Mapa final'!$O$22="Leve"),CONCATENATE("R",'Mapa final'!$A$22),"")</f>
        <v/>
      </c>
      <c r="O88" s="443"/>
      <c r="P88" s="443" t="str">
        <f ca="1">IF(AND('Mapa final'!$K$25="Muy Baja",'Mapa final'!$O$25="Leve"),CONCATENATE("R",'Mapa final'!$A$25),"")</f>
        <v/>
      </c>
      <c r="Q88" s="443"/>
      <c r="R88" s="443" t="str">
        <f ca="1">IF(AND('Mapa final'!$K$28="Muy Baja",'Mapa final'!$O$28="Leve"),CONCATENATE("R",'Mapa final'!$A$28),"")</f>
        <v/>
      </c>
      <c r="S88" s="444"/>
      <c r="T88" s="442" t="str">
        <f ca="1">IF(AND('Mapa final'!$K$16="Muy Baja",'Mapa final'!$O$16="Menor"),CONCATENATE("R",'Mapa final'!$A$16),"")</f>
        <v/>
      </c>
      <c r="U88" s="443"/>
      <c r="V88" s="443" t="str">
        <f ca="1">IF(AND('Mapa final'!$K$19="Muy Baja",'Mapa final'!$O$19="Menor"),CONCATENATE("R",'Mapa final'!$A$19),"")</f>
        <v/>
      </c>
      <c r="W88" s="443"/>
      <c r="X88" s="443" t="str">
        <f ca="1">IF(AND('Mapa final'!$K$22="Muy Baja",'Mapa final'!$O$22="Menor"),CONCATENATE("R",'Mapa final'!$A$22),"")</f>
        <v/>
      </c>
      <c r="Y88" s="443"/>
      <c r="Z88" s="443" t="str">
        <f ca="1">IF(AND('Mapa final'!$K$25="Muy Baja",'Mapa final'!$O$25="Menor"),CONCATENATE("R",'Mapa final'!$A$25),"")</f>
        <v/>
      </c>
      <c r="AA88" s="443"/>
      <c r="AB88" s="443" t="str">
        <f ca="1">IF(AND('Mapa final'!$K$28="Muy Baja",'Mapa final'!$O$28="Menor"),CONCATENATE("R",'Mapa final'!$A$28),"")</f>
        <v/>
      </c>
      <c r="AC88" s="444"/>
      <c r="AD88" s="450" t="str">
        <f ca="1">IF(AND('Mapa final'!$K$16="Muy Baja",'Mapa final'!$O$16="Moderado"),CONCATENATE("R",'Mapa final'!$A$16),"")</f>
        <v>R5</v>
      </c>
      <c r="AE88" s="448"/>
      <c r="AF88" s="448" t="str">
        <f ca="1">IF(AND('Mapa final'!$K$19="Muy Baja",'Mapa final'!$O$19="Moderado"),CONCATENATE("R",'Mapa final'!$A$19),"")</f>
        <v>R6</v>
      </c>
      <c r="AG88" s="448"/>
      <c r="AH88" s="448" t="str">
        <f ca="1">IF(AND('Mapa final'!$K$22="Muy Baja",'Mapa final'!$O$22="Moderado"),CONCATENATE("R",'Mapa final'!$A$22),"")</f>
        <v/>
      </c>
      <c r="AI88" s="448"/>
      <c r="AJ88" s="448" t="str">
        <f ca="1">IF(AND('Mapa final'!$K$25="Muy Baja",'Mapa final'!$O$25="Moderado"),CONCATENATE("R",'Mapa final'!$A$25),"")</f>
        <v/>
      </c>
      <c r="AK88" s="448"/>
      <c r="AL88" s="448" t="str">
        <f ca="1">IF(AND('Mapa final'!$K$28="Muy Baja",'Mapa final'!$O$28="Moderado"),CONCATENATE("R",'Mapa final'!$A$28),"")</f>
        <v/>
      </c>
      <c r="AM88" s="449"/>
      <c r="AN88" s="453" t="str">
        <f ca="1">IF(AND('Mapa final'!$K$16="Muy Baja",'Mapa final'!$O$16="Mayor"),CONCATENATE("R",'Mapa final'!$A$16),"")</f>
        <v/>
      </c>
      <c r="AO88" s="451"/>
      <c r="AP88" s="451" t="str">
        <f ca="1">IF(AND('Mapa final'!$K$19="Muy Baja",'Mapa final'!$O$19="Mayor"),CONCATENATE("R",'Mapa final'!$A$19),"")</f>
        <v/>
      </c>
      <c r="AQ88" s="451"/>
      <c r="AR88" s="451" t="str">
        <f ca="1">IF(AND('Mapa final'!$K$22="Muy Baja",'Mapa final'!$O$22="Mayor"),CONCATENATE("R",'Mapa final'!$A$22),"")</f>
        <v/>
      </c>
      <c r="AS88" s="451"/>
      <c r="AT88" s="451" t="str">
        <f ca="1">IF(AND('Mapa final'!$K$25="Muy Baja",'Mapa final'!$O$25="Mayor"),CONCATENATE("R",'Mapa final'!$A$25),"")</f>
        <v/>
      </c>
      <c r="AU88" s="451"/>
      <c r="AV88" s="451" t="str">
        <f ca="1">IF(AND('Mapa final'!$K$28="Muy Baja",'Mapa final'!$O$28="Mayor"),CONCATENATE("R",'Mapa final'!$A$28),"")</f>
        <v/>
      </c>
      <c r="AW88" s="452"/>
      <c r="AX88" s="447" t="str">
        <f ca="1">IF(AND('Mapa final'!$K$16="Muy Baja",'Mapa final'!$O$16="Catastrófico"),CONCATENATE("R",'Mapa final'!$A$16),"")</f>
        <v/>
      </c>
      <c r="AY88" s="445"/>
      <c r="AZ88" s="445" t="str">
        <f ca="1">IF(AND('Mapa final'!$K$19="Muy Baja",'Mapa final'!$O$19="Catastrófico"),CONCATENATE("R",'Mapa final'!$A$19),"")</f>
        <v/>
      </c>
      <c r="BA88" s="445"/>
      <c r="BB88" s="445" t="str">
        <f ca="1">IF(AND('Mapa final'!$K$22="Muy Baja",'Mapa final'!$O$22="Catastrófico"),CONCATENATE("R",'Mapa final'!$A$22),"")</f>
        <v/>
      </c>
      <c r="BC88" s="445"/>
      <c r="BD88" s="445" t="str">
        <f ca="1">IF(AND('Mapa final'!$K$25="Muy Baja",'Mapa final'!$O$25="Catastrófico"),CONCATENATE("R",'Mapa final'!$A$25),"")</f>
        <v/>
      </c>
      <c r="BE88" s="445"/>
      <c r="BF88" s="445" t="str">
        <f ca="1">IF(AND('Mapa final'!$K$28="Muy Baja",'Mapa final'!$O$28="Catastrófico"),CONCATENATE("R",'Mapa final'!$A$28),"")</f>
        <v/>
      </c>
      <c r="BG88" s="446"/>
      <c r="BH88" s="56"/>
      <c r="BI88" s="506"/>
      <c r="BJ88" s="507"/>
      <c r="BK88" s="507"/>
      <c r="BL88" s="507"/>
      <c r="BM88" s="507"/>
      <c r="BN88" s="508"/>
      <c r="BO88" s="56"/>
      <c r="BP88" s="56"/>
      <c r="BQ88" s="56"/>
      <c r="BR88" s="56"/>
      <c r="BS88" s="56"/>
      <c r="BT88" s="56"/>
      <c r="BU88" s="56"/>
      <c r="BV88" s="56"/>
      <c r="BW88" s="56"/>
      <c r="BX88" s="56"/>
      <c r="BY88" s="56"/>
      <c r="BZ88" s="56"/>
      <c r="CA88" s="56"/>
      <c r="CB88" s="56"/>
      <c r="CC88" s="56"/>
      <c r="CD88" s="56"/>
      <c r="CE88" s="56"/>
      <c r="CF88" s="56"/>
      <c r="CG88" s="56"/>
      <c r="CH88" s="56"/>
      <c r="CI88" s="56"/>
      <c r="CJ88" s="56"/>
      <c r="CK88" s="56"/>
      <c r="CL88" s="56"/>
      <c r="CM88" s="56"/>
      <c r="CN88" s="56"/>
      <c r="CO88" s="56"/>
      <c r="CP88" s="56"/>
      <c r="CQ88" s="56"/>
      <c r="CR88" s="56"/>
      <c r="CS88" s="56"/>
      <c r="CT88" s="56"/>
      <c r="CU88" s="56"/>
      <c r="CV88" s="56"/>
    </row>
    <row r="89" spans="1:100" ht="15" customHeight="1" x14ac:dyDescent="0.25">
      <c r="A89" s="56"/>
      <c r="B89" s="286"/>
      <c r="C89" s="286"/>
      <c r="D89" s="287"/>
      <c r="E89" s="514"/>
      <c r="F89" s="515"/>
      <c r="G89" s="515"/>
      <c r="H89" s="515"/>
      <c r="I89" s="519"/>
      <c r="J89" s="442"/>
      <c r="K89" s="443"/>
      <c r="L89" s="443"/>
      <c r="M89" s="443"/>
      <c r="N89" s="443"/>
      <c r="O89" s="443"/>
      <c r="P89" s="443"/>
      <c r="Q89" s="443"/>
      <c r="R89" s="443"/>
      <c r="S89" s="444"/>
      <c r="T89" s="442"/>
      <c r="U89" s="443"/>
      <c r="V89" s="443"/>
      <c r="W89" s="443"/>
      <c r="X89" s="443"/>
      <c r="Y89" s="443"/>
      <c r="Z89" s="443"/>
      <c r="AA89" s="443"/>
      <c r="AB89" s="443"/>
      <c r="AC89" s="444"/>
      <c r="AD89" s="450"/>
      <c r="AE89" s="448"/>
      <c r="AF89" s="448"/>
      <c r="AG89" s="448"/>
      <c r="AH89" s="448"/>
      <c r="AI89" s="448"/>
      <c r="AJ89" s="448"/>
      <c r="AK89" s="448"/>
      <c r="AL89" s="448"/>
      <c r="AM89" s="449"/>
      <c r="AN89" s="453"/>
      <c r="AO89" s="451"/>
      <c r="AP89" s="451"/>
      <c r="AQ89" s="451"/>
      <c r="AR89" s="451"/>
      <c r="AS89" s="451"/>
      <c r="AT89" s="451"/>
      <c r="AU89" s="451"/>
      <c r="AV89" s="451"/>
      <c r="AW89" s="452"/>
      <c r="AX89" s="447"/>
      <c r="AY89" s="445"/>
      <c r="AZ89" s="445"/>
      <c r="BA89" s="445"/>
      <c r="BB89" s="445"/>
      <c r="BC89" s="445"/>
      <c r="BD89" s="445"/>
      <c r="BE89" s="445"/>
      <c r="BF89" s="445"/>
      <c r="BG89" s="446"/>
      <c r="BH89" s="56"/>
      <c r="BI89" s="506"/>
      <c r="BJ89" s="507"/>
      <c r="BK89" s="507"/>
      <c r="BL89" s="507"/>
      <c r="BM89" s="507"/>
      <c r="BN89" s="508"/>
      <c r="BO89" s="56"/>
      <c r="BP89" s="56"/>
      <c r="BQ89" s="56"/>
      <c r="BR89" s="56"/>
      <c r="BS89" s="56"/>
      <c r="BT89" s="56"/>
      <c r="BU89" s="56"/>
      <c r="BV89" s="56"/>
      <c r="BW89" s="56"/>
      <c r="BX89" s="56"/>
      <c r="BY89" s="56"/>
      <c r="BZ89" s="56"/>
      <c r="CA89" s="56"/>
      <c r="CB89" s="56"/>
      <c r="CC89" s="56"/>
      <c r="CD89" s="56"/>
      <c r="CE89" s="56"/>
      <c r="CF89" s="56"/>
      <c r="CG89" s="56"/>
      <c r="CH89" s="56"/>
      <c r="CI89" s="56"/>
      <c r="CJ89" s="56"/>
      <c r="CK89" s="56"/>
      <c r="CL89" s="56"/>
      <c r="CM89" s="56"/>
      <c r="CN89" s="56"/>
      <c r="CO89" s="56"/>
      <c r="CP89" s="56"/>
      <c r="CQ89" s="56"/>
      <c r="CR89" s="56"/>
      <c r="CS89" s="56"/>
      <c r="CT89" s="56"/>
      <c r="CU89" s="56"/>
      <c r="CV89" s="56"/>
    </row>
    <row r="90" spans="1:100" ht="15" customHeight="1" x14ac:dyDescent="0.25">
      <c r="A90" s="56"/>
      <c r="B90" s="286"/>
      <c r="C90" s="286"/>
      <c r="D90" s="287"/>
      <c r="E90" s="514"/>
      <c r="F90" s="515"/>
      <c r="G90" s="515"/>
      <c r="H90" s="515"/>
      <c r="I90" s="519"/>
      <c r="J90" s="442" t="str">
        <f ca="1">IF(AND('Mapa final'!$K$31="Muy Baja",'Mapa final'!$O$31="Leve"),CONCATENATE("R",'Mapa final'!$A$31),"")</f>
        <v/>
      </c>
      <c r="K90" s="443"/>
      <c r="L90" s="443" t="str">
        <f ca="1">IF(AND('Mapa final'!$K$34="Muy Baja",'Mapa final'!$O$34="Leve"),CONCATENATE("R",'Mapa final'!$A$34),"")</f>
        <v/>
      </c>
      <c r="M90" s="443"/>
      <c r="N90" s="443" t="str">
        <f ca="1">IF(AND('Mapa final'!$K$37="Muy Baja",'Mapa final'!$O$37="Leve"),CONCATENATE("R",'Mapa final'!$A$37),"")</f>
        <v/>
      </c>
      <c r="O90" s="443"/>
      <c r="P90" s="443" t="str">
        <f ca="1">IF(AND('Mapa final'!$K$40="Muy Baja",'Mapa final'!$O$40="Leve"),CONCATENATE("R",'Mapa final'!$A$40),"")</f>
        <v/>
      </c>
      <c r="Q90" s="443"/>
      <c r="R90" s="443" t="str">
        <f ca="1">IF(AND('Mapa final'!$K$43="Muy Baja",'Mapa final'!$O$43="Leve"),CONCATENATE("R",'Mapa final'!$A$43),"")</f>
        <v/>
      </c>
      <c r="S90" s="444"/>
      <c r="T90" s="442" t="str">
        <f ca="1">IF(AND('Mapa final'!$K$31="Muy Baja",'Mapa final'!$O$31="Menor"),CONCATENATE("R",'Mapa final'!$A$31),"")</f>
        <v/>
      </c>
      <c r="U90" s="443"/>
      <c r="V90" s="443" t="str">
        <f ca="1">IF(AND('Mapa final'!$K$34="Muy Baja",'Mapa final'!$O$34="Menor"),CONCATENATE("R",'Mapa final'!$A$34),"")</f>
        <v/>
      </c>
      <c r="W90" s="443"/>
      <c r="X90" s="443" t="str">
        <f ca="1">IF(AND('Mapa final'!$K$37="Muy Baja",'Mapa final'!$O$37="Menor"),CONCATENATE("R",'Mapa final'!$A$37),"")</f>
        <v/>
      </c>
      <c r="Y90" s="443"/>
      <c r="Z90" s="443" t="str">
        <f ca="1">IF(AND('Mapa final'!$K$40="Muy Baja",'Mapa final'!$O$40="Menor"),CONCATENATE("R",'Mapa final'!$A$40),"")</f>
        <v/>
      </c>
      <c r="AA90" s="443"/>
      <c r="AB90" s="443" t="str">
        <f ca="1">IF(AND('Mapa final'!$K$43="Muy Baja",'Mapa final'!$O$43="Menor"),CONCATENATE("R",'Mapa final'!$A$43),"")</f>
        <v/>
      </c>
      <c r="AC90" s="444"/>
      <c r="AD90" s="450" t="str">
        <f ca="1">IF(AND('Mapa final'!$K$31="Muy Baja",'Mapa final'!$O$31="Moderado"),CONCATENATE("R",'Mapa final'!$A$31),"")</f>
        <v/>
      </c>
      <c r="AE90" s="448"/>
      <c r="AF90" s="448" t="str">
        <f ca="1">IF(AND('Mapa final'!$K$34="Muy Baja",'Mapa final'!$O$34="Moderado"),CONCATENATE("R",'Mapa final'!$A$34),"")</f>
        <v/>
      </c>
      <c r="AG90" s="448"/>
      <c r="AH90" s="448" t="str">
        <f ca="1">IF(AND('Mapa final'!$K$37="Muy Baja",'Mapa final'!$O$37="Moderado"),CONCATENATE("R",'Mapa final'!$A$37),"")</f>
        <v>R12</v>
      </c>
      <c r="AI90" s="448"/>
      <c r="AJ90" s="448" t="str">
        <f ca="1">IF(AND('Mapa final'!$K$40="Muy Baja",'Mapa final'!$O$40="Moderado"),CONCATENATE("R",'Mapa final'!$A$40),"")</f>
        <v/>
      </c>
      <c r="AK90" s="448"/>
      <c r="AL90" s="448" t="str">
        <f ca="1">IF(AND('Mapa final'!$K$43="Muy Baja",'Mapa final'!$O$43="Moderado"),CONCATENATE("R",'Mapa final'!$A$43),"")</f>
        <v/>
      </c>
      <c r="AM90" s="449"/>
      <c r="AN90" s="453" t="str">
        <f ca="1">IF(AND('Mapa final'!$K$31="Muy Baja",'Mapa final'!$O$31="Mayor"),CONCATENATE("R",'Mapa final'!$A$31),"")</f>
        <v/>
      </c>
      <c r="AO90" s="451"/>
      <c r="AP90" s="451" t="str">
        <f ca="1">IF(AND('Mapa final'!$K$34="Muy Baja",'Mapa final'!$O$34="Mayor"),CONCATENATE("R",'Mapa final'!$A$34),"")</f>
        <v/>
      </c>
      <c r="AQ90" s="451"/>
      <c r="AR90" s="451" t="str">
        <f ca="1">IF(AND('Mapa final'!$K$37="Muy Baja",'Mapa final'!$O$37="Mayor"),CONCATENATE("R",'Mapa final'!$A$37),"")</f>
        <v/>
      </c>
      <c r="AS90" s="451"/>
      <c r="AT90" s="451" t="str">
        <f ca="1">IF(AND('Mapa final'!$K$40="Muy Baja",'Mapa final'!$O$40="Mayor"),CONCATENATE("R",'Mapa final'!$A$40),"")</f>
        <v/>
      </c>
      <c r="AU90" s="451"/>
      <c r="AV90" s="451" t="str">
        <f ca="1">IF(AND('Mapa final'!$K$43="Muy Baja",'Mapa final'!$O$43="Mayor"),CONCATENATE("R",'Mapa final'!$A$43),"")</f>
        <v/>
      </c>
      <c r="AW90" s="452"/>
      <c r="AX90" s="447" t="str">
        <f ca="1">IF(AND('Mapa final'!$K$31="Muy Baja",'Mapa final'!$O$31="Catastrófico"),CONCATENATE("R",'Mapa final'!$A$31),"")</f>
        <v/>
      </c>
      <c r="AY90" s="445"/>
      <c r="AZ90" s="445" t="str">
        <f ca="1">IF(AND('Mapa final'!$K$34="Muy Baja",'Mapa final'!$O$34="Catastrófico"),CONCATENATE("R",'Mapa final'!$A$34),"")</f>
        <v/>
      </c>
      <c r="BA90" s="445"/>
      <c r="BB90" s="445" t="str">
        <f ca="1">IF(AND('Mapa final'!$K$37="Muy Baja",'Mapa final'!$O$37="Catastrófico"),CONCATENATE("R",'Mapa final'!$A$37),"")</f>
        <v/>
      </c>
      <c r="BC90" s="445"/>
      <c r="BD90" s="445" t="str">
        <f ca="1">IF(AND('Mapa final'!$K$40="Muy Baja",'Mapa final'!$O$40="Catastrófico"),CONCATENATE("R",'Mapa final'!$A$40),"")</f>
        <v/>
      </c>
      <c r="BE90" s="445"/>
      <c r="BF90" s="445" t="str">
        <f ca="1">IF(AND('Mapa final'!$K$43="Muy Baja",'Mapa final'!$O$43="Catastrófico"),CONCATENATE("R",'Mapa final'!$A$43),"")</f>
        <v/>
      </c>
      <c r="BG90" s="446"/>
      <c r="BH90" s="56"/>
      <c r="BI90" s="506"/>
      <c r="BJ90" s="507"/>
      <c r="BK90" s="507"/>
      <c r="BL90" s="507"/>
      <c r="BM90" s="507"/>
      <c r="BN90" s="508"/>
      <c r="BO90" s="56"/>
      <c r="BP90" s="56"/>
      <c r="BQ90" s="56"/>
      <c r="BR90" s="56"/>
      <c r="BS90" s="56"/>
      <c r="BT90" s="56"/>
      <c r="BU90" s="56"/>
      <c r="BV90" s="56"/>
      <c r="BW90" s="56"/>
      <c r="BX90" s="56"/>
      <c r="BY90" s="56"/>
      <c r="BZ90" s="56"/>
      <c r="CA90" s="56"/>
      <c r="CB90" s="56"/>
      <c r="CC90" s="56"/>
      <c r="CD90" s="56"/>
      <c r="CE90" s="56"/>
      <c r="CF90" s="56"/>
      <c r="CG90" s="56"/>
      <c r="CH90" s="56"/>
      <c r="CI90" s="56"/>
      <c r="CJ90" s="56"/>
      <c r="CK90" s="56"/>
      <c r="CL90" s="56"/>
      <c r="CM90" s="56"/>
      <c r="CN90" s="56"/>
      <c r="CO90" s="56"/>
      <c r="CP90" s="56"/>
      <c r="CQ90" s="56"/>
      <c r="CR90" s="56"/>
      <c r="CS90" s="56"/>
      <c r="CT90" s="56"/>
      <c r="CU90" s="56"/>
      <c r="CV90" s="56"/>
    </row>
    <row r="91" spans="1:100" ht="15" customHeight="1" x14ac:dyDescent="0.25">
      <c r="A91" s="56"/>
      <c r="B91" s="286"/>
      <c r="C91" s="286"/>
      <c r="D91" s="287"/>
      <c r="E91" s="514"/>
      <c r="F91" s="515"/>
      <c r="G91" s="515"/>
      <c r="H91" s="515"/>
      <c r="I91" s="519"/>
      <c r="J91" s="442"/>
      <c r="K91" s="443"/>
      <c r="L91" s="443"/>
      <c r="M91" s="443"/>
      <c r="N91" s="443"/>
      <c r="O91" s="443"/>
      <c r="P91" s="443"/>
      <c r="Q91" s="443"/>
      <c r="R91" s="443"/>
      <c r="S91" s="444"/>
      <c r="T91" s="442"/>
      <c r="U91" s="443"/>
      <c r="V91" s="443"/>
      <c r="W91" s="443"/>
      <c r="X91" s="443"/>
      <c r="Y91" s="443"/>
      <c r="Z91" s="443"/>
      <c r="AA91" s="443"/>
      <c r="AB91" s="443"/>
      <c r="AC91" s="444"/>
      <c r="AD91" s="450"/>
      <c r="AE91" s="448"/>
      <c r="AF91" s="448"/>
      <c r="AG91" s="448"/>
      <c r="AH91" s="448"/>
      <c r="AI91" s="448"/>
      <c r="AJ91" s="448"/>
      <c r="AK91" s="448"/>
      <c r="AL91" s="448"/>
      <c r="AM91" s="449"/>
      <c r="AN91" s="453"/>
      <c r="AO91" s="451"/>
      <c r="AP91" s="451"/>
      <c r="AQ91" s="451"/>
      <c r="AR91" s="451"/>
      <c r="AS91" s="451"/>
      <c r="AT91" s="451"/>
      <c r="AU91" s="451"/>
      <c r="AV91" s="451"/>
      <c r="AW91" s="452"/>
      <c r="AX91" s="447"/>
      <c r="AY91" s="445"/>
      <c r="AZ91" s="445"/>
      <c r="BA91" s="445"/>
      <c r="BB91" s="445"/>
      <c r="BC91" s="445"/>
      <c r="BD91" s="445"/>
      <c r="BE91" s="445"/>
      <c r="BF91" s="445"/>
      <c r="BG91" s="446"/>
      <c r="BH91" s="56"/>
      <c r="BI91" s="506"/>
      <c r="BJ91" s="507"/>
      <c r="BK91" s="507"/>
      <c r="BL91" s="507"/>
      <c r="BM91" s="507"/>
      <c r="BN91" s="508"/>
      <c r="BO91" s="56"/>
      <c r="BP91" s="56"/>
      <c r="BQ91" s="56"/>
      <c r="BR91" s="56"/>
      <c r="BS91" s="56"/>
      <c r="BT91" s="56"/>
      <c r="BU91" s="56"/>
      <c r="BV91" s="56"/>
      <c r="BW91" s="56"/>
      <c r="BX91" s="56"/>
      <c r="BY91" s="56"/>
      <c r="BZ91" s="56"/>
      <c r="CA91" s="56"/>
      <c r="CB91" s="56"/>
      <c r="CC91" s="56"/>
      <c r="CD91" s="56"/>
      <c r="CE91" s="56"/>
      <c r="CF91" s="56"/>
      <c r="CG91" s="56"/>
      <c r="CH91" s="56"/>
      <c r="CI91" s="56"/>
      <c r="CJ91" s="56"/>
      <c r="CK91" s="56"/>
      <c r="CL91" s="56"/>
      <c r="CM91" s="56"/>
      <c r="CN91" s="56"/>
      <c r="CO91" s="56"/>
      <c r="CP91" s="56"/>
      <c r="CQ91" s="56"/>
      <c r="CR91" s="56"/>
      <c r="CS91" s="56"/>
      <c r="CT91" s="56"/>
      <c r="CU91" s="56"/>
      <c r="CV91" s="56"/>
    </row>
    <row r="92" spans="1:100" ht="15" customHeight="1" x14ac:dyDescent="0.25">
      <c r="A92" s="56"/>
      <c r="B92" s="286"/>
      <c r="C92" s="286"/>
      <c r="D92" s="287"/>
      <c r="E92" s="514"/>
      <c r="F92" s="515"/>
      <c r="G92" s="515"/>
      <c r="H92" s="515"/>
      <c r="I92" s="519"/>
      <c r="J92" s="442" t="str">
        <f ca="1">IF(AND('Mapa final'!$K$46="Muy Baja",'Mapa final'!$O$46="Leve"),CONCATENATE("R",'Mapa final'!$A$46),"")</f>
        <v/>
      </c>
      <c r="K92" s="443"/>
      <c r="L92" s="443" t="str">
        <f ca="1">IF(AND('Mapa final'!$K$49="Muy Baja",'Mapa final'!$O$49="Leve"),CONCATENATE("R",'Mapa final'!$A$49),"")</f>
        <v/>
      </c>
      <c r="M92" s="443"/>
      <c r="N92" s="443" t="str">
        <f ca="1">IF(AND('Mapa final'!$K$52="Muy Baja",'Mapa final'!$O$52="Leve"),CONCATENATE("R",'Mapa final'!$A$52),"")</f>
        <v/>
      </c>
      <c r="O92" s="443"/>
      <c r="P92" s="443" t="str">
        <f ca="1">IF(AND('Mapa final'!$K$55="Muy Baja",'Mapa final'!$O$55="Leve"),CONCATENATE("R",'Mapa final'!$A$55),"")</f>
        <v/>
      </c>
      <c r="Q92" s="443"/>
      <c r="R92" s="443" t="str">
        <f ca="1">IF(AND('Mapa final'!$K$58="Muy Baja",'Mapa final'!$O$58="Leve"),CONCATENATE("R",'Mapa final'!$A$58),"")</f>
        <v/>
      </c>
      <c r="S92" s="444"/>
      <c r="T92" s="442" t="str">
        <f ca="1">IF(AND('Mapa final'!$K$46="Muy Baja",'Mapa final'!$O$46="Menor"),CONCATENATE("R",'Mapa final'!$A$46),"")</f>
        <v/>
      </c>
      <c r="U92" s="443"/>
      <c r="V92" s="443" t="str">
        <f ca="1">IF(AND('Mapa final'!$K$49="Muy Baja",'Mapa final'!$O$49="Menor"),CONCATENATE("R",'Mapa final'!$A$49),"")</f>
        <v/>
      </c>
      <c r="W92" s="443"/>
      <c r="X92" s="443" t="str">
        <f ca="1">IF(AND('Mapa final'!$K$52="Muy Baja",'Mapa final'!$O$52="Menor"),CONCATENATE("R",'Mapa final'!$A$52),"")</f>
        <v/>
      </c>
      <c r="Y92" s="443"/>
      <c r="Z92" s="443" t="str">
        <f ca="1">IF(AND('Mapa final'!$K$55="Muy Baja",'Mapa final'!$O$55="Menor"),CONCATENATE("R",'Mapa final'!$A$55),"")</f>
        <v/>
      </c>
      <c r="AA92" s="443"/>
      <c r="AB92" s="443" t="str">
        <f ca="1">IF(AND('Mapa final'!$K$58="Muy Baja",'Mapa final'!$O$58="Menor"),CONCATENATE("R",'Mapa final'!$A$58),"")</f>
        <v/>
      </c>
      <c r="AC92" s="444"/>
      <c r="AD92" s="450" t="str">
        <f ca="1">IF(AND('Mapa final'!$K$46="Muy Baja",'Mapa final'!$O$46="Moderado"),CONCATENATE("R",'Mapa final'!$A$46),"")</f>
        <v/>
      </c>
      <c r="AE92" s="448"/>
      <c r="AF92" s="448" t="str">
        <f ca="1">IF(AND('Mapa final'!$K$49="Muy Baja",'Mapa final'!$O$49="Moderado"),CONCATENATE("R",'Mapa final'!$A$49),"")</f>
        <v/>
      </c>
      <c r="AG92" s="448"/>
      <c r="AH92" s="448" t="str">
        <f ca="1">IF(AND('Mapa final'!$K$52="Muy Baja",'Mapa final'!$O$52="Moderado"),CONCATENATE("R",'Mapa final'!$A$52),"")</f>
        <v/>
      </c>
      <c r="AI92" s="448"/>
      <c r="AJ92" s="448" t="str">
        <f ca="1">IF(AND('Mapa final'!$K$55="Muy Baja",'Mapa final'!$O$55="Moderado"),CONCATENATE("R",'Mapa final'!$A$55),"")</f>
        <v/>
      </c>
      <c r="AK92" s="448"/>
      <c r="AL92" s="448" t="str">
        <f ca="1">IF(AND('Mapa final'!$K$58="Muy Baja",'Mapa final'!$O$58="Moderado"),CONCATENATE("R",'Mapa final'!$A$58),"")</f>
        <v/>
      </c>
      <c r="AM92" s="449"/>
      <c r="AN92" s="453" t="str">
        <f ca="1">IF(AND('Mapa final'!$K$46="Muy Baja",'Mapa final'!$O$46="Mayor"),CONCATENATE("R",'Mapa final'!$A$46),"")</f>
        <v/>
      </c>
      <c r="AO92" s="451"/>
      <c r="AP92" s="451" t="str">
        <f ca="1">IF(AND('Mapa final'!$K$49="Muy Baja",'Mapa final'!$O$49="Mayor"),CONCATENATE("R",'Mapa final'!$A$49),"")</f>
        <v/>
      </c>
      <c r="AQ92" s="451"/>
      <c r="AR92" s="451" t="str">
        <f ca="1">IF(AND('Mapa final'!$K$52="Muy Baja",'Mapa final'!$O$52="Mayor"),CONCATENATE("R",'Mapa final'!$A$52),"")</f>
        <v/>
      </c>
      <c r="AS92" s="451"/>
      <c r="AT92" s="451" t="str">
        <f ca="1">IF(AND('Mapa final'!$K$55="Muy Baja",'Mapa final'!$O$55="Mayor"),CONCATENATE("R",'Mapa final'!$A$55),"")</f>
        <v/>
      </c>
      <c r="AU92" s="451"/>
      <c r="AV92" s="451" t="str">
        <f ca="1">IF(AND('Mapa final'!$K$58="Muy Baja",'Mapa final'!$O$58="Mayor"),CONCATENATE("R",'Mapa final'!$A$58),"")</f>
        <v/>
      </c>
      <c r="AW92" s="452"/>
      <c r="AX92" s="447" t="str">
        <f ca="1">IF(AND('Mapa final'!$K$46="Muy Baja",'Mapa final'!$O$46="Catastrófico"),CONCATENATE("R",'Mapa final'!$A$46),"")</f>
        <v/>
      </c>
      <c r="AY92" s="445"/>
      <c r="AZ92" s="445" t="str">
        <f ca="1">IF(AND('Mapa final'!$K$49="Muy Baja",'Mapa final'!$O$49="Catastrófico"),CONCATENATE("R",'Mapa final'!$A$49),"")</f>
        <v/>
      </c>
      <c r="BA92" s="445"/>
      <c r="BB92" s="445" t="str">
        <f ca="1">IF(AND('Mapa final'!$K$52="Muy Baja",'Mapa final'!$O$52="Catastrófico"),CONCATENATE("R",'Mapa final'!$A$52),"")</f>
        <v/>
      </c>
      <c r="BC92" s="445"/>
      <c r="BD92" s="445" t="str">
        <f ca="1">IF(AND('Mapa final'!$K$55="Muy Baja",'Mapa final'!$O$55="Catastrófico"),CONCATENATE("R",'Mapa final'!$A$55),"")</f>
        <v/>
      </c>
      <c r="BE92" s="445"/>
      <c r="BF92" s="445" t="str">
        <f ca="1">IF(AND('Mapa final'!$K$58="Muy Baja",'Mapa final'!$O$58="Catastrófico"),CONCATENATE("R",'Mapa final'!$A$58),"")</f>
        <v/>
      </c>
      <c r="BG92" s="446"/>
      <c r="BH92" s="56"/>
      <c r="BI92" s="506"/>
      <c r="BJ92" s="507"/>
      <c r="BK92" s="507"/>
      <c r="BL92" s="507"/>
      <c r="BM92" s="507"/>
      <c r="BN92" s="508"/>
      <c r="BO92" s="56"/>
      <c r="BP92" s="56"/>
      <c r="BQ92" s="56"/>
      <c r="BR92" s="56"/>
      <c r="BS92" s="56"/>
      <c r="BT92" s="56"/>
      <c r="BU92" s="56"/>
      <c r="BV92" s="56"/>
      <c r="BW92" s="56"/>
      <c r="BX92" s="56"/>
      <c r="BY92" s="56"/>
      <c r="BZ92" s="56"/>
      <c r="CA92" s="56"/>
      <c r="CB92" s="56"/>
      <c r="CC92" s="56"/>
      <c r="CD92" s="56"/>
      <c r="CE92" s="56"/>
      <c r="CF92" s="56"/>
      <c r="CG92" s="56"/>
      <c r="CH92" s="56"/>
      <c r="CI92" s="56"/>
      <c r="CJ92" s="56"/>
      <c r="CK92" s="56"/>
      <c r="CL92" s="56"/>
      <c r="CM92" s="56"/>
      <c r="CN92" s="56"/>
      <c r="CO92" s="56"/>
      <c r="CP92" s="56"/>
      <c r="CQ92" s="56"/>
      <c r="CR92" s="56"/>
      <c r="CS92" s="56"/>
      <c r="CT92" s="56"/>
      <c r="CU92" s="56"/>
      <c r="CV92" s="56"/>
    </row>
    <row r="93" spans="1:100" ht="15" customHeight="1" x14ac:dyDescent="0.25">
      <c r="A93" s="56"/>
      <c r="B93" s="286"/>
      <c r="C93" s="286"/>
      <c r="D93" s="287"/>
      <c r="E93" s="514"/>
      <c r="F93" s="515"/>
      <c r="G93" s="515"/>
      <c r="H93" s="515"/>
      <c r="I93" s="519"/>
      <c r="J93" s="442"/>
      <c r="K93" s="443"/>
      <c r="L93" s="443"/>
      <c r="M93" s="443"/>
      <c r="N93" s="443"/>
      <c r="O93" s="443"/>
      <c r="P93" s="443"/>
      <c r="Q93" s="443"/>
      <c r="R93" s="443"/>
      <c r="S93" s="444"/>
      <c r="T93" s="442"/>
      <c r="U93" s="443"/>
      <c r="V93" s="443"/>
      <c r="W93" s="443"/>
      <c r="X93" s="443"/>
      <c r="Y93" s="443"/>
      <c r="Z93" s="443"/>
      <c r="AA93" s="443"/>
      <c r="AB93" s="443"/>
      <c r="AC93" s="444"/>
      <c r="AD93" s="450"/>
      <c r="AE93" s="448"/>
      <c r="AF93" s="448"/>
      <c r="AG93" s="448"/>
      <c r="AH93" s="448"/>
      <c r="AI93" s="448"/>
      <c r="AJ93" s="448"/>
      <c r="AK93" s="448"/>
      <c r="AL93" s="448"/>
      <c r="AM93" s="449"/>
      <c r="AN93" s="453"/>
      <c r="AO93" s="451"/>
      <c r="AP93" s="451"/>
      <c r="AQ93" s="451"/>
      <c r="AR93" s="451"/>
      <c r="AS93" s="451"/>
      <c r="AT93" s="451"/>
      <c r="AU93" s="451"/>
      <c r="AV93" s="451"/>
      <c r="AW93" s="452"/>
      <c r="AX93" s="447"/>
      <c r="AY93" s="445"/>
      <c r="AZ93" s="445"/>
      <c r="BA93" s="445"/>
      <c r="BB93" s="445"/>
      <c r="BC93" s="445"/>
      <c r="BD93" s="445"/>
      <c r="BE93" s="445"/>
      <c r="BF93" s="445"/>
      <c r="BG93" s="446"/>
      <c r="BH93" s="56"/>
      <c r="BI93" s="506"/>
      <c r="BJ93" s="507"/>
      <c r="BK93" s="507"/>
      <c r="BL93" s="507"/>
      <c r="BM93" s="507"/>
      <c r="BN93" s="508"/>
      <c r="BO93" s="56"/>
      <c r="BP93" s="56"/>
      <c r="BQ93" s="56"/>
      <c r="BR93" s="56"/>
      <c r="BS93" s="56"/>
      <c r="BT93" s="56"/>
      <c r="BU93" s="56"/>
      <c r="BV93" s="56"/>
      <c r="BW93" s="56"/>
      <c r="BX93" s="56"/>
      <c r="BY93" s="56"/>
      <c r="BZ93" s="56"/>
      <c r="CA93" s="56"/>
      <c r="CB93" s="56"/>
      <c r="CC93" s="56"/>
      <c r="CD93" s="56"/>
      <c r="CE93" s="56"/>
      <c r="CF93" s="56"/>
      <c r="CG93" s="56"/>
      <c r="CH93" s="56"/>
      <c r="CI93" s="56"/>
      <c r="CJ93" s="56"/>
      <c r="CK93" s="56"/>
      <c r="CL93" s="56"/>
      <c r="CM93" s="56"/>
      <c r="CN93" s="56"/>
      <c r="CO93" s="56"/>
      <c r="CP93" s="56"/>
      <c r="CQ93" s="56"/>
      <c r="CR93" s="56"/>
      <c r="CS93" s="56"/>
      <c r="CT93" s="56"/>
      <c r="CU93" s="56"/>
      <c r="CV93" s="56"/>
    </row>
    <row r="94" spans="1:100" ht="15" customHeight="1" x14ac:dyDescent="0.25">
      <c r="A94" s="56"/>
      <c r="B94" s="286"/>
      <c r="C94" s="286"/>
      <c r="D94" s="287"/>
      <c r="E94" s="514"/>
      <c r="F94" s="515"/>
      <c r="G94" s="515"/>
      <c r="H94" s="515"/>
      <c r="I94" s="519"/>
      <c r="J94" s="442" t="str">
        <f ca="1">IF(AND('Mapa final'!$K$61="Muy Baja",'Mapa final'!$O$61="Leve"),CONCATENATE("R",'Mapa final'!$A$61),"")</f>
        <v/>
      </c>
      <c r="K94" s="443"/>
      <c r="L94" s="443" t="str">
        <f ca="1">IF(AND('Mapa final'!$K$64="Muy Baja",'Mapa final'!$O$64="Leve"),CONCATENATE("R",'Mapa final'!$A$64),"")</f>
        <v/>
      </c>
      <c r="M94" s="443"/>
      <c r="N94" s="443" t="str">
        <f ca="1">IF(AND('Mapa final'!$K$70="Muy Baja",'Mapa final'!$O$70="Leve"),CONCATENATE("R",'Mapa final'!$A$70),"")</f>
        <v/>
      </c>
      <c r="O94" s="443"/>
      <c r="P94" s="443" t="str">
        <f ca="1">IF(AND('Mapa final'!$K$73="Muy Baja",'Mapa final'!$O$73="Leve"),CONCATENATE("R",'Mapa final'!$A$73),"")</f>
        <v/>
      </c>
      <c r="Q94" s="443"/>
      <c r="R94" s="443" t="str">
        <f ca="1">IF(AND('Mapa final'!$K$76="Muy Baja",'Mapa final'!$O$76="Leve"),CONCATENATE("R",'Mapa final'!$A$76),"")</f>
        <v/>
      </c>
      <c r="S94" s="444"/>
      <c r="T94" s="442" t="str">
        <f ca="1">IF(AND('Mapa final'!$K$61="Muy Baja",'Mapa final'!$O$61="Menor"),CONCATENATE("R",'Mapa final'!$A$61),"")</f>
        <v/>
      </c>
      <c r="U94" s="443"/>
      <c r="V94" s="443" t="str">
        <f ca="1">IF(AND('Mapa final'!$K$64="Muy Baja",'Mapa final'!$O$64="Menor"),CONCATENATE("R",'Mapa final'!$A$64),"")</f>
        <v/>
      </c>
      <c r="W94" s="443"/>
      <c r="X94" s="443" t="str">
        <f ca="1">IF(AND('Mapa final'!$K$70="Muy Baja",'Mapa final'!$O$70="Menor"),CONCATENATE("R",'Mapa final'!$A$70),"")</f>
        <v/>
      </c>
      <c r="Y94" s="443"/>
      <c r="Z94" s="443" t="str">
        <f ca="1">IF(AND('Mapa final'!$K$73="Muy Baja",'Mapa final'!$O$73="Menor"),CONCATENATE("R",'Mapa final'!$A$73),"")</f>
        <v/>
      </c>
      <c r="AA94" s="443"/>
      <c r="AB94" s="443" t="str">
        <f ca="1">IF(AND('Mapa final'!$K$76="Muy Baja",'Mapa final'!$O$76="Menor"),CONCATENATE("R",'Mapa final'!$A$76),"")</f>
        <v/>
      </c>
      <c r="AC94" s="444"/>
      <c r="AD94" s="450" t="str">
        <f ca="1">IF(AND('Mapa final'!$K$61="Muy Baja",'Mapa final'!$O$61="Moderado"),CONCATENATE("R",'Mapa final'!$A$61),"")</f>
        <v/>
      </c>
      <c r="AE94" s="448"/>
      <c r="AF94" s="448" t="str">
        <f ca="1">IF(AND('Mapa final'!$K$64="Muy Baja",'Mapa final'!$O$64="Moderado"),CONCATENATE("R",'Mapa final'!$A$64),"")</f>
        <v/>
      </c>
      <c r="AG94" s="448"/>
      <c r="AH94" s="448" t="str">
        <f ca="1">IF(AND('Mapa final'!$K$70="Muy Baja",'Mapa final'!$O$70="Moderado"),CONCATENATE("R",'Mapa final'!$A$70),"")</f>
        <v/>
      </c>
      <c r="AI94" s="448"/>
      <c r="AJ94" s="448" t="str">
        <f ca="1">IF(AND('Mapa final'!$K$73="Muy Baja",'Mapa final'!$O$73="Moderado"),CONCATENATE("R",'Mapa final'!$A$73),"")</f>
        <v/>
      </c>
      <c r="AK94" s="448"/>
      <c r="AL94" s="448" t="str">
        <f ca="1">IF(AND('Mapa final'!$K$76="Muy Baja",'Mapa final'!$O$76="Moderado"),CONCATENATE("R",'Mapa final'!$A$76),"")</f>
        <v/>
      </c>
      <c r="AM94" s="449"/>
      <c r="AN94" s="453" t="str">
        <f ca="1">IF(AND('Mapa final'!$K$61="Muy Baja",'Mapa final'!$O$61="Mayor"),CONCATENATE("R",'Mapa final'!$A$61),"")</f>
        <v/>
      </c>
      <c r="AO94" s="451"/>
      <c r="AP94" s="451" t="str">
        <f ca="1">IF(AND('Mapa final'!$K$64="Muy Baja",'Mapa final'!$O$64="Mayor"),CONCATENATE("R",'Mapa final'!$A$64),"")</f>
        <v/>
      </c>
      <c r="AQ94" s="451"/>
      <c r="AR94" s="451" t="str">
        <f ca="1">IF(AND('Mapa final'!$K$70="Muy Baja",'Mapa final'!$O$70="Mayor"),CONCATENATE("R",'Mapa final'!$A$70),"")</f>
        <v/>
      </c>
      <c r="AS94" s="451"/>
      <c r="AT94" s="451" t="str">
        <f ca="1">IF(AND('Mapa final'!$K$73="Muy Baja",'Mapa final'!$O$73="Mayor"),CONCATENATE("R",'Mapa final'!$A$73),"")</f>
        <v/>
      </c>
      <c r="AU94" s="451"/>
      <c r="AV94" s="451" t="str">
        <f ca="1">IF(AND('Mapa final'!$K$76="Muy Baja",'Mapa final'!$O$76="Mayor"),CONCATENATE("R",'Mapa final'!$A$76),"")</f>
        <v/>
      </c>
      <c r="AW94" s="452"/>
      <c r="AX94" s="447" t="str">
        <f ca="1">IF(AND('Mapa final'!$K$61="Muy Baja",'Mapa final'!$O$61="Catastrófico"),CONCATENATE("R",'Mapa final'!$A$61),"")</f>
        <v/>
      </c>
      <c r="AY94" s="445"/>
      <c r="AZ94" s="445" t="str">
        <f ca="1">IF(AND('Mapa final'!$K$64="Muy Baja",'Mapa final'!$O$64="Catastrófico"),CONCATENATE("R",'Mapa final'!$A$64),"")</f>
        <v/>
      </c>
      <c r="BA94" s="445"/>
      <c r="BB94" s="445" t="str">
        <f ca="1">IF(AND('Mapa final'!$K$70="Muy Baja",'Mapa final'!$O$70="Catastrófico"),CONCATENATE("R",'Mapa final'!$A$70),"")</f>
        <v/>
      </c>
      <c r="BC94" s="445"/>
      <c r="BD94" s="445" t="str">
        <f ca="1">IF(AND('Mapa final'!$K$73="Muy Baja",'Mapa final'!$O$73="Catastrófico"),CONCATENATE("R",'Mapa final'!$A$73),"")</f>
        <v/>
      </c>
      <c r="BE94" s="445"/>
      <c r="BF94" s="445" t="str">
        <f ca="1">IF(AND('Mapa final'!$K$76="Muy Baja",'Mapa final'!$O$76="Catastrófico"),CONCATENATE("R",'Mapa final'!$A$76),"")</f>
        <v/>
      </c>
      <c r="BG94" s="446"/>
      <c r="BH94" s="56"/>
      <c r="BI94" s="506"/>
      <c r="BJ94" s="507"/>
      <c r="BK94" s="507"/>
      <c r="BL94" s="507"/>
      <c r="BM94" s="507"/>
      <c r="BN94" s="508"/>
      <c r="BO94" s="56"/>
      <c r="BP94" s="56"/>
      <c r="BQ94" s="56"/>
      <c r="BR94" s="56"/>
      <c r="BS94" s="56"/>
      <c r="BT94" s="56"/>
      <c r="BU94" s="56"/>
      <c r="BV94" s="56"/>
      <c r="BW94" s="56"/>
      <c r="BX94" s="56"/>
      <c r="BY94" s="56"/>
      <c r="BZ94" s="56"/>
      <c r="CA94" s="56"/>
      <c r="CB94" s="56"/>
      <c r="CC94" s="56"/>
      <c r="CD94" s="56"/>
      <c r="CE94" s="56"/>
      <c r="CF94" s="56"/>
      <c r="CG94" s="56"/>
      <c r="CH94" s="56"/>
      <c r="CI94" s="56"/>
      <c r="CJ94" s="56"/>
      <c r="CK94" s="56"/>
      <c r="CL94" s="56"/>
      <c r="CM94" s="56"/>
      <c r="CN94" s="56"/>
      <c r="CO94" s="56"/>
      <c r="CP94" s="56"/>
      <c r="CQ94" s="56"/>
      <c r="CR94" s="56"/>
      <c r="CS94" s="56"/>
      <c r="CT94" s="56"/>
      <c r="CU94" s="56"/>
      <c r="CV94" s="56"/>
    </row>
    <row r="95" spans="1:100" ht="15" customHeight="1" x14ac:dyDescent="0.25">
      <c r="A95" s="56"/>
      <c r="B95" s="286"/>
      <c r="C95" s="286"/>
      <c r="D95" s="287"/>
      <c r="E95" s="514"/>
      <c r="F95" s="515"/>
      <c r="G95" s="515"/>
      <c r="H95" s="515"/>
      <c r="I95" s="519"/>
      <c r="J95" s="442"/>
      <c r="K95" s="443"/>
      <c r="L95" s="443"/>
      <c r="M95" s="443"/>
      <c r="N95" s="443"/>
      <c r="O95" s="443"/>
      <c r="P95" s="443"/>
      <c r="Q95" s="443"/>
      <c r="R95" s="443"/>
      <c r="S95" s="444"/>
      <c r="T95" s="442"/>
      <c r="U95" s="443"/>
      <c r="V95" s="443"/>
      <c r="W95" s="443"/>
      <c r="X95" s="443"/>
      <c r="Y95" s="443"/>
      <c r="Z95" s="443"/>
      <c r="AA95" s="443"/>
      <c r="AB95" s="443"/>
      <c r="AC95" s="444"/>
      <c r="AD95" s="450"/>
      <c r="AE95" s="448"/>
      <c r="AF95" s="448"/>
      <c r="AG95" s="448"/>
      <c r="AH95" s="448"/>
      <c r="AI95" s="448"/>
      <c r="AJ95" s="448"/>
      <c r="AK95" s="448"/>
      <c r="AL95" s="448"/>
      <c r="AM95" s="449"/>
      <c r="AN95" s="453"/>
      <c r="AO95" s="451"/>
      <c r="AP95" s="451"/>
      <c r="AQ95" s="451"/>
      <c r="AR95" s="451"/>
      <c r="AS95" s="451"/>
      <c r="AT95" s="451"/>
      <c r="AU95" s="451"/>
      <c r="AV95" s="451"/>
      <c r="AW95" s="452"/>
      <c r="AX95" s="447"/>
      <c r="AY95" s="445"/>
      <c r="AZ95" s="445"/>
      <c r="BA95" s="445"/>
      <c r="BB95" s="445"/>
      <c r="BC95" s="445"/>
      <c r="BD95" s="445"/>
      <c r="BE95" s="445"/>
      <c r="BF95" s="445"/>
      <c r="BG95" s="446"/>
      <c r="BH95" s="56"/>
      <c r="BI95" s="506"/>
      <c r="BJ95" s="507"/>
      <c r="BK95" s="507"/>
      <c r="BL95" s="507"/>
      <c r="BM95" s="507"/>
      <c r="BN95" s="508"/>
      <c r="BO95" s="56"/>
      <c r="BP95" s="56"/>
      <c r="BQ95" s="56"/>
      <c r="BR95" s="56"/>
      <c r="BS95" s="56"/>
      <c r="BT95" s="56"/>
      <c r="BU95" s="56"/>
      <c r="BV95" s="56"/>
      <c r="BW95" s="56"/>
      <c r="BX95" s="56"/>
      <c r="BY95" s="56"/>
      <c r="BZ95" s="56"/>
      <c r="CA95" s="56"/>
      <c r="CB95" s="56"/>
      <c r="CC95" s="56"/>
      <c r="CD95" s="56"/>
      <c r="CE95" s="56"/>
      <c r="CF95" s="56"/>
      <c r="CG95" s="56"/>
      <c r="CH95" s="56"/>
      <c r="CI95" s="56"/>
      <c r="CJ95" s="56"/>
      <c r="CK95" s="56"/>
      <c r="CL95" s="56"/>
      <c r="CM95" s="56"/>
      <c r="CN95" s="56"/>
      <c r="CO95" s="56"/>
      <c r="CP95" s="56"/>
      <c r="CQ95" s="56"/>
      <c r="CR95" s="56"/>
      <c r="CS95" s="56"/>
      <c r="CT95" s="56"/>
      <c r="CU95" s="56"/>
      <c r="CV95" s="56"/>
    </row>
    <row r="96" spans="1:100" ht="15" customHeight="1" x14ac:dyDescent="0.25">
      <c r="A96" s="56"/>
      <c r="B96" s="286"/>
      <c r="C96" s="286"/>
      <c r="D96" s="287"/>
      <c r="E96" s="514"/>
      <c r="F96" s="515"/>
      <c r="G96" s="515"/>
      <c r="H96" s="515"/>
      <c r="I96" s="519"/>
      <c r="J96" s="442" t="str">
        <f ca="1">IF(AND('Mapa final'!$K$79="Muy Baja",'Mapa final'!$O$79="Leve"),CONCATENATE("R",'Mapa final'!$A$79),"")</f>
        <v/>
      </c>
      <c r="K96" s="443"/>
      <c r="L96" s="443" t="str">
        <f ca="1">IF(AND('Mapa final'!$K$82="Muy Baja",'Mapa final'!$O$82="Leve"),CONCATENATE("R",'Mapa final'!$A$82),"")</f>
        <v/>
      </c>
      <c r="M96" s="443"/>
      <c r="N96" s="443" t="str">
        <f ca="1">IF(AND('Mapa final'!$K$85="Muy Baja",'Mapa final'!$O$85="Leve"),CONCATENATE("R",'Mapa final'!$A$85),"")</f>
        <v/>
      </c>
      <c r="O96" s="443"/>
      <c r="P96" s="443" t="str">
        <f ca="1">IF(AND('Mapa final'!$K$88="Muy Baja",'Mapa final'!$O$88="Leve"),CONCATENATE("R",'Mapa final'!$A$88),"")</f>
        <v/>
      </c>
      <c r="Q96" s="443"/>
      <c r="R96" s="443" t="str">
        <f ca="1">IF(AND('Mapa final'!$K$91="Muy Baja",'Mapa final'!$O$91="Leve"),CONCATENATE("R",'Mapa final'!$A$91),"")</f>
        <v/>
      </c>
      <c r="S96" s="444"/>
      <c r="T96" s="442" t="str">
        <f ca="1">IF(AND('Mapa final'!$K$79="Muy Baja",'Mapa final'!$O$79="Menor"),CONCATENATE("R",'Mapa final'!$A$79),"")</f>
        <v/>
      </c>
      <c r="U96" s="443"/>
      <c r="V96" s="443" t="str">
        <f ca="1">IF(AND('Mapa final'!$K$82="Muy Baja",'Mapa final'!$O$82="Menor"),CONCATENATE("R",'Mapa final'!$A$82),"")</f>
        <v/>
      </c>
      <c r="W96" s="443"/>
      <c r="X96" s="443" t="str">
        <f ca="1">IF(AND('Mapa final'!$K$85="Muy Baja",'Mapa final'!$O$85="Menor"),CONCATENATE("R",'Mapa final'!$A$85),"")</f>
        <v/>
      </c>
      <c r="Y96" s="443"/>
      <c r="Z96" s="443" t="str">
        <f ca="1">IF(AND('Mapa final'!$K$88="Muy Baja",'Mapa final'!$O$88="Menor"),CONCATENATE("R",'Mapa final'!$A$88),"")</f>
        <v/>
      </c>
      <c r="AA96" s="443"/>
      <c r="AB96" s="443" t="str">
        <f ca="1">IF(AND('Mapa final'!$K$91="Muy Baja",'Mapa final'!$O$91="Menor"),CONCATENATE("R",'Mapa final'!$A$91),"")</f>
        <v/>
      </c>
      <c r="AC96" s="444"/>
      <c r="AD96" s="450" t="str">
        <f ca="1">IF(AND('Mapa final'!$K$79="Muy Baja",'Mapa final'!$O$79="Moderado"),CONCATENATE("R",'Mapa final'!$A$79),"")</f>
        <v>R26</v>
      </c>
      <c r="AE96" s="448"/>
      <c r="AF96" s="448" t="str">
        <f ca="1">IF(AND('Mapa final'!$K$82="Muy Baja",'Mapa final'!$O$82="Moderado"),CONCATENATE("R",'Mapa final'!$A$82),"")</f>
        <v/>
      </c>
      <c r="AG96" s="448"/>
      <c r="AH96" s="448" t="str">
        <f ca="1">IF(AND('Mapa final'!$K$85="Muy Baja",'Mapa final'!$O$85="Moderado"),CONCATENATE("R",'Mapa final'!$A$85),"")</f>
        <v/>
      </c>
      <c r="AI96" s="448"/>
      <c r="AJ96" s="448" t="str">
        <f ca="1">IF(AND('Mapa final'!$K$88="Muy Baja",'Mapa final'!$O$88="Moderado"),CONCATENATE("R",'Mapa final'!$A$88),"")</f>
        <v/>
      </c>
      <c r="AK96" s="448"/>
      <c r="AL96" s="448" t="str">
        <f ca="1">IF(AND('Mapa final'!$K$91="Muy Baja",'Mapa final'!$O$91="Moderado"),CONCATENATE("R",'Mapa final'!$A$91),"")</f>
        <v/>
      </c>
      <c r="AM96" s="449"/>
      <c r="AN96" s="453" t="str">
        <f ca="1">IF(AND('Mapa final'!$K$79="Muy Baja",'Mapa final'!$O$79="Mayor"),CONCATENATE("R",'Mapa final'!$A$79),"")</f>
        <v/>
      </c>
      <c r="AO96" s="451"/>
      <c r="AP96" s="451" t="str">
        <f ca="1">IF(AND('Mapa final'!$K$82="Muy Baja",'Mapa final'!$O$82="Mayor"),CONCATENATE("R",'Mapa final'!$A$82),"")</f>
        <v/>
      </c>
      <c r="AQ96" s="451"/>
      <c r="AR96" s="451" t="str">
        <f ca="1">IF(AND('Mapa final'!$K$85="Muy Baja",'Mapa final'!$O$85="Mayor"),CONCATENATE("R",'Mapa final'!$A$85),"")</f>
        <v/>
      </c>
      <c r="AS96" s="451"/>
      <c r="AT96" s="451" t="str">
        <f ca="1">IF(AND('Mapa final'!$K$88="Muy Baja",'Mapa final'!$O$88="Mayor"),CONCATENATE("R",'Mapa final'!$A$88),"")</f>
        <v/>
      </c>
      <c r="AU96" s="451"/>
      <c r="AV96" s="451" t="str">
        <f ca="1">IF(AND('Mapa final'!$K$91="Muy Baja",'Mapa final'!$O$91="Mayor"),CONCATENATE("R",'Mapa final'!$A$91),"")</f>
        <v/>
      </c>
      <c r="AW96" s="452"/>
      <c r="AX96" s="447" t="str">
        <f ca="1">IF(AND('Mapa final'!$K$79="Muy Baja",'Mapa final'!$O$79="Catastrófico"),CONCATENATE("R",'Mapa final'!$A$79),"")</f>
        <v/>
      </c>
      <c r="AY96" s="445"/>
      <c r="AZ96" s="445" t="str">
        <f ca="1">IF(AND('Mapa final'!$K$82="Muy Baja",'Mapa final'!$O$82="Catastrófico"),CONCATENATE("R",'Mapa final'!$A$82),"")</f>
        <v/>
      </c>
      <c r="BA96" s="445"/>
      <c r="BB96" s="445" t="str">
        <f ca="1">IF(AND('Mapa final'!$K$85="Muy Baja",'Mapa final'!$O$85="Catastrófico"),CONCATENATE("R",'Mapa final'!$A$85),"")</f>
        <v/>
      </c>
      <c r="BC96" s="445"/>
      <c r="BD96" s="445" t="str">
        <f ca="1">IF(AND('Mapa final'!$K$88="Muy Baja",'Mapa final'!$O$88="Catastrófico"),CONCATENATE("R",'Mapa final'!$A$88),"")</f>
        <v/>
      </c>
      <c r="BE96" s="445"/>
      <c r="BF96" s="445" t="str">
        <f ca="1">IF(AND('Mapa final'!$K$91="Muy Baja",'Mapa final'!$O$91="Catastrófico"),CONCATENATE("R",'Mapa final'!$A$91),"")</f>
        <v/>
      </c>
      <c r="BG96" s="446"/>
      <c r="BH96" s="56"/>
      <c r="BI96" s="506"/>
      <c r="BJ96" s="507"/>
      <c r="BK96" s="507"/>
      <c r="BL96" s="507"/>
      <c r="BM96" s="507"/>
      <c r="BN96" s="508"/>
      <c r="BO96" s="56"/>
      <c r="BP96" s="56"/>
      <c r="BQ96" s="56"/>
      <c r="BR96" s="56"/>
      <c r="BS96" s="56"/>
      <c r="BT96" s="56"/>
      <c r="BU96" s="56"/>
      <c r="BV96" s="56"/>
      <c r="BW96" s="56"/>
      <c r="BX96" s="56"/>
      <c r="BY96" s="56"/>
      <c r="BZ96" s="56"/>
      <c r="CA96" s="56"/>
      <c r="CB96" s="56"/>
      <c r="CC96" s="56"/>
      <c r="CD96" s="56"/>
      <c r="CE96" s="56"/>
      <c r="CF96" s="56"/>
      <c r="CG96" s="56"/>
      <c r="CH96" s="56"/>
      <c r="CI96" s="56"/>
      <c r="CJ96" s="56"/>
      <c r="CK96" s="56"/>
      <c r="CL96" s="56"/>
      <c r="CM96" s="56"/>
      <c r="CN96" s="56"/>
      <c r="CO96" s="56"/>
      <c r="CP96" s="56"/>
      <c r="CQ96" s="56"/>
      <c r="CR96" s="56"/>
      <c r="CS96" s="56"/>
      <c r="CT96" s="56"/>
      <c r="CU96" s="56"/>
      <c r="CV96" s="56"/>
    </row>
    <row r="97" spans="1:100" ht="15" customHeight="1" thickBot="1" x14ac:dyDescent="0.3">
      <c r="A97" s="56"/>
      <c r="B97" s="286"/>
      <c r="C97" s="286"/>
      <c r="D97" s="287"/>
      <c r="E97" s="514"/>
      <c r="F97" s="515"/>
      <c r="G97" s="515"/>
      <c r="H97" s="515"/>
      <c r="I97" s="519"/>
      <c r="J97" s="442"/>
      <c r="K97" s="443"/>
      <c r="L97" s="443"/>
      <c r="M97" s="443"/>
      <c r="N97" s="443"/>
      <c r="O97" s="443"/>
      <c r="P97" s="443"/>
      <c r="Q97" s="443"/>
      <c r="R97" s="443"/>
      <c r="S97" s="444"/>
      <c r="T97" s="442"/>
      <c r="U97" s="443"/>
      <c r="V97" s="443"/>
      <c r="W97" s="443"/>
      <c r="X97" s="443"/>
      <c r="Y97" s="443"/>
      <c r="Z97" s="443"/>
      <c r="AA97" s="443"/>
      <c r="AB97" s="443"/>
      <c r="AC97" s="444"/>
      <c r="AD97" s="450"/>
      <c r="AE97" s="448"/>
      <c r="AF97" s="448"/>
      <c r="AG97" s="448"/>
      <c r="AH97" s="448"/>
      <c r="AI97" s="448"/>
      <c r="AJ97" s="448"/>
      <c r="AK97" s="448"/>
      <c r="AL97" s="448"/>
      <c r="AM97" s="449"/>
      <c r="AN97" s="453"/>
      <c r="AO97" s="451"/>
      <c r="AP97" s="451"/>
      <c r="AQ97" s="451"/>
      <c r="AR97" s="451"/>
      <c r="AS97" s="451"/>
      <c r="AT97" s="451"/>
      <c r="AU97" s="451"/>
      <c r="AV97" s="451"/>
      <c r="AW97" s="452"/>
      <c r="AX97" s="447"/>
      <c r="AY97" s="445"/>
      <c r="AZ97" s="445"/>
      <c r="BA97" s="445"/>
      <c r="BB97" s="445"/>
      <c r="BC97" s="445"/>
      <c r="BD97" s="445"/>
      <c r="BE97" s="445"/>
      <c r="BF97" s="445"/>
      <c r="BG97" s="446"/>
      <c r="BH97" s="56"/>
      <c r="BI97" s="509"/>
      <c r="BJ97" s="510"/>
      <c r="BK97" s="510"/>
      <c r="BL97" s="510"/>
      <c r="BM97" s="510"/>
      <c r="BN97" s="511"/>
      <c r="BO97" s="56"/>
      <c r="BP97" s="56"/>
      <c r="BQ97" s="56"/>
      <c r="BR97" s="56"/>
      <c r="BS97" s="56"/>
      <c r="BT97" s="56"/>
      <c r="BU97" s="56"/>
      <c r="BV97" s="56"/>
      <c r="BW97" s="56"/>
      <c r="BX97" s="56"/>
      <c r="BY97" s="56"/>
      <c r="BZ97" s="56"/>
      <c r="CA97" s="56"/>
      <c r="CB97" s="56"/>
      <c r="CC97" s="56"/>
      <c r="CD97" s="56"/>
      <c r="CE97" s="56"/>
      <c r="CF97" s="56"/>
      <c r="CG97" s="56"/>
      <c r="CH97" s="56"/>
      <c r="CI97" s="56"/>
      <c r="CJ97" s="56"/>
      <c r="CK97" s="56"/>
      <c r="CL97" s="56"/>
      <c r="CM97" s="56"/>
      <c r="CN97" s="56"/>
      <c r="CO97" s="56"/>
      <c r="CP97" s="56"/>
      <c r="CQ97" s="56"/>
      <c r="CR97" s="56"/>
      <c r="CS97" s="56"/>
      <c r="CT97" s="56"/>
      <c r="CU97" s="56"/>
      <c r="CV97" s="56"/>
    </row>
    <row r="98" spans="1:100" ht="15" customHeight="1" x14ac:dyDescent="0.25">
      <c r="A98" s="56"/>
      <c r="B98" s="286"/>
      <c r="C98" s="286"/>
      <c r="D98" s="287"/>
      <c r="E98" s="514"/>
      <c r="F98" s="515"/>
      <c r="G98" s="515"/>
      <c r="H98" s="515"/>
      <c r="I98" s="519"/>
      <c r="J98" s="442" t="str">
        <f ca="1">IF(AND('Mapa final'!$K$94="Muy Baja",'Mapa final'!$O$94="Leve"),CONCATENATE("R",'Mapa final'!$A$94),"")</f>
        <v/>
      </c>
      <c r="K98" s="443"/>
      <c r="L98" s="443" t="e">
        <f>IF(AND('Mapa final'!#REF!="Muy Baja",'Mapa final'!#REF!="Leve"),CONCATENATE("R",'Mapa final'!#REF!),"")</f>
        <v>#REF!</v>
      </c>
      <c r="M98" s="443"/>
      <c r="N98" s="443" t="str">
        <f>IF(AND('Mapa final'!$K$97="Muy Baja",'Mapa final'!$O$97="Leve"),CONCATENATE("R",'Mapa final'!$A$97),"")</f>
        <v/>
      </c>
      <c r="O98" s="443"/>
      <c r="P98" s="443" t="str">
        <f ca="1">IF(AND('Mapa final'!$K$100="Muy Baja",'Mapa final'!$O$100="Leve"),CONCATENATE("R",'Mapa final'!$A$100),"")</f>
        <v/>
      </c>
      <c r="Q98" s="443"/>
      <c r="R98" s="443" t="str">
        <f ca="1">IF(AND('Mapa final'!$K$103="Muy Baja",'Mapa final'!$O$103="Leve"),CONCATENATE("R",'Mapa final'!$A$103),"")</f>
        <v/>
      </c>
      <c r="S98" s="444"/>
      <c r="T98" s="442" t="str">
        <f ca="1">IF(AND('Mapa final'!$K$94="Muy Baja",'Mapa final'!$O$94="Menor"),CONCATENATE("R",'Mapa final'!$A$94),"")</f>
        <v/>
      </c>
      <c r="U98" s="443"/>
      <c r="V98" s="443" t="e">
        <f>IF(AND('Mapa final'!#REF!="Muy Baja",'Mapa final'!#REF!="Menor"),CONCATENATE("R",'Mapa final'!#REF!),"")</f>
        <v>#REF!</v>
      </c>
      <c r="W98" s="443"/>
      <c r="X98" s="443" t="str">
        <f>IF(AND('Mapa final'!$K$97="Muy Baja",'Mapa final'!$O$97="Menor"),CONCATENATE("R",'Mapa final'!$A$97),"")</f>
        <v/>
      </c>
      <c r="Y98" s="443"/>
      <c r="Z98" s="443" t="str">
        <f ca="1">IF(AND('Mapa final'!$K$100="Muy Baja",'Mapa final'!$O$100="Menor"),CONCATENATE("R",'Mapa final'!$A$100),"")</f>
        <v/>
      </c>
      <c r="AA98" s="443"/>
      <c r="AB98" s="443" t="str">
        <f ca="1">IF(AND('Mapa final'!$K$103="Muy Baja",'Mapa final'!$O$103="Menor"),CONCATENATE("R",'Mapa final'!$A$103),"")</f>
        <v/>
      </c>
      <c r="AC98" s="444"/>
      <c r="AD98" s="450" t="str">
        <f ca="1">IF(AND('Mapa final'!$K$94="Muy Baja",'Mapa final'!$O$94="Moderado"),CONCATENATE("R",'Mapa final'!$A$94),"")</f>
        <v/>
      </c>
      <c r="AE98" s="448"/>
      <c r="AF98" s="448" t="e">
        <f>IF(AND('Mapa final'!#REF!="Muy Baja",'Mapa final'!#REF!="Moderado"),CONCATENATE("R",'Mapa final'!#REF!),"")</f>
        <v>#REF!</v>
      </c>
      <c r="AG98" s="448"/>
      <c r="AH98" s="448" t="str">
        <f>IF(AND('Mapa final'!$K$97="Muy Baja",'Mapa final'!$O$97="Moderado"),CONCATENATE("R",'Mapa final'!$A$97),"")</f>
        <v/>
      </c>
      <c r="AI98" s="448"/>
      <c r="AJ98" s="448" t="str">
        <f ca="1">IF(AND('Mapa final'!$K$100="Muy Baja",'Mapa final'!$O$100="Moderado"),CONCATENATE("R",'Mapa final'!$A$100),"")</f>
        <v/>
      </c>
      <c r="AK98" s="448"/>
      <c r="AL98" s="448" t="str">
        <f ca="1">IF(AND('Mapa final'!$K$103="Muy Baja",'Mapa final'!$O$103="Moderado"),CONCATENATE("R",'Mapa final'!$A$103),"")</f>
        <v/>
      </c>
      <c r="AM98" s="449"/>
      <c r="AN98" s="453" t="str">
        <f ca="1">IF(AND('Mapa final'!$K$94="Muy Baja",'Mapa final'!$O$94="Mayor"),CONCATENATE("R",'Mapa final'!$A$94),"")</f>
        <v/>
      </c>
      <c r="AO98" s="451"/>
      <c r="AP98" s="451" t="e">
        <f>IF(AND('Mapa final'!#REF!="Muy Baja",'Mapa final'!#REF!="Mayor"),CONCATENATE("R",'Mapa final'!#REF!),"")</f>
        <v>#REF!</v>
      </c>
      <c r="AQ98" s="451"/>
      <c r="AR98" s="451" t="str">
        <f>IF(AND('Mapa final'!$K$97="Muy Baja",'Mapa final'!$O$97="Mayor"),CONCATENATE("R",'Mapa final'!$A$97),"")</f>
        <v/>
      </c>
      <c r="AS98" s="451"/>
      <c r="AT98" s="451" t="str">
        <f ca="1">IF(AND('Mapa final'!$K$100="Muy Baja",'Mapa final'!$O$100="Mayor"),CONCATENATE("R",'Mapa final'!$A$100),"")</f>
        <v/>
      </c>
      <c r="AU98" s="451"/>
      <c r="AV98" s="451" t="str">
        <f ca="1">IF(AND('Mapa final'!$K$103="Muy Baja",'Mapa final'!$O$103="Mayor"),CONCATENATE("R",'Mapa final'!$A$103),"")</f>
        <v/>
      </c>
      <c r="AW98" s="452"/>
      <c r="AX98" s="447" t="str">
        <f ca="1">IF(AND('Mapa final'!$K$94="Muy Baja",'Mapa final'!$O$94="Catastrófico"),CONCATENATE("R",'Mapa final'!$A$94),"")</f>
        <v/>
      </c>
      <c r="AY98" s="445"/>
      <c r="AZ98" s="445" t="e">
        <f>IF(AND('Mapa final'!#REF!="Muy Baja",'Mapa final'!#REF!="Catastrófico"),CONCATENATE("R",'Mapa final'!#REF!),"")</f>
        <v>#REF!</v>
      </c>
      <c r="BA98" s="445"/>
      <c r="BB98" s="445" t="str">
        <f>IF(AND('Mapa final'!$K$97="Muy Baja",'Mapa final'!$O$97="Catastrófico"),CONCATENATE("R",'Mapa final'!$A$97),"")</f>
        <v/>
      </c>
      <c r="BC98" s="445"/>
      <c r="BD98" s="445" t="str">
        <f ca="1">IF(AND('Mapa final'!$K$100="Muy Baja",'Mapa final'!$O$100="Catastrófico"),CONCATENATE("R",'Mapa final'!$A$100),"")</f>
        <v/>
      </c>
      <c r="BE98" s="445"/>
      <c r="BF98" s="445" t="str">
        <f ca="1">IF(AND('Mapa final'!$K$103="Muy Baja",'Mapa final'!$O$103="Catastrófico"),CONCATENATE("R",'Mapa final'!$A$103),"")</f>
        <v/>
      </c>
      <c r="BG98" s="446"/>
      <c r="BH98" s="56"/>
      <c r="BI98" s="56"/>
      <c r="BJ98" s="56"/>
      <c r="BK98" s="56"/>
      <c r="BL98" s="56"/>
      <c r="BM98" s="56"/>
      <c r="BN98" s="56"/>
      <c r="BO98" s="56"/>
      <c r="BP98" s="56"/>
      <c r="BQ98" s="56"/>
      <c r="BR98" s="56"/>
      <c r="BS98" s="56"/>
      <c r="BT98" s="56"/>
      <c r="BU98" s="56"/>
      <c r="BV98" s="56"/>
      <c r="BW98" s="56"/>
      <c r="BX98" s="56"/>
      <c r="BY98" s="56"/>
      <c r="BZ98" s="56"/>
      <c r="CA98" s="56"/>
      <c r="CB98" s="56"/>
      <c r="CC98" s="56"/>
      <c r="CD98" s="56"/>
      <c r="CE98" s="56"/>
      <c r="CF98" s="56"/>
      <c r="CG98" s="56"/>
      <c r="CH98" s="56"/>
      <c r="CI98" s="56"/>
      <c r="CJ98" s="56"/>
      <c r="CK98" s="56"/>
      <c r="CL98" s="56"/>
      <c r="CM98" s="56"/>
      <c r="CN98" s="56"/>
      <c r="CO98" s="56"/>
      <c r="CP98" s="56"/>
      <c r="CQ98" s="56"/>
      <c r="CR98" s="56"/>
      <c r="CS98" s="56"/>
      <c r="CT98" s="56"/>
      <c r="CU98" s="56"/>
      <c r="CV98" s="56"/>
    </row>
    <row r="99" spans="1:100" ht="15" customHeight="1" x14ac:dyDescent="0.25">
      <c r="A99" s="56"/>
      <c r="B99" s="286"/>
      <c r="C99" s="286"/>
      <c r="D99" s="287"/>
      <c r="E99" s="514"/>
      <c r="F99" s="515"/>
      <c r="G99" s="515"/>
      <c r="H99" s="515"/>
      <c r="I99" s="519"/>
      <c r="J99" s="442"/>
      <c r="K99" s="443"/>
      <c r="L99" s="443"/>
      <c r="M99" s="443"/>
      <c r="N99" s="443"/>
      <c r="O99" s="443"/>
      <c r="P99" s="443"/>
      <c r="Q99" s="443"/>
      <c r="R99" s="443"/>
      <c r="S99" s="444"/>
      <c r="T99" s="442"/>
      <c r="U99" s="443"/>
      <c r="V99" s="443"/>
      <c r="W99" s="443"/>
      <c r="X99" s="443"/>
      <c r="Y99" s="443"/>
      <c r="Z99" s="443"/>
      <c r="AA99" s="443"/>
      <c r="AB99" s="443"/>
      <c r="AC99" s="444"/>
      <c r="AD99" s="450"/>
      <c r="AE99" s="448"/>
      <c r="AF99" s="448"/>
      <c r="AG99" s="448"/>
      <c r="AH99" s="448"/>
      <c r="AI99" s="448"/>
      <c r="AJ99" s="448"/>
      <c r="AK99" s="448"/>
      <c r="AL99" s="448"/>
      <c r="AM99" s="449"/>
      <c r="AN99" s="453"/>
      <c r="AO99" s="451"/>
      <c r="AP99" s="451"/>
      <c r="AQ99" s="451"/>
      <c r="AR99" s="451"/>
      <c r="AS99" s="451"/>
      <c r="AT99" s="451"/>
      <c r="AU99" s="451"/>
      <c r="AV99" s="451"/>
      <c r="AW99" s="452"/>
      <c r="AX99" s="447"/>
      <c r="AY99" s="445"/>
      <c r="AZ99" s="445"/>
      <c r="BA99" s="445"/>
      <c r="BB99" s="445"/>
      <c r="BC99" s="445"/>
      <c r="BD99" s="445"/>
      <c r="BE99" s="445"/>
      <c r="BF99" s="445"/>
      <c r="BG99" s="446"/>
      <c r="BH99" s="56"/>
      <c r="BI99" s="56"/>
      <c r="BJ99" s="56"/>
      <c r="BK99" s="56"/>
      <c r="BL99" s="56"/>
      <c r="BM99" s="56"/>
      <c r="BN99" s="56"/>
      <c r="BO99" s="56"/>
      <c r="BP99" s="56"/>
      <c r="BQ99" s="56"/>
      <c r="BR99" s="56"/>
      <c r="BS99" s="56"/>
      <c r="BT99" s="56"/>
      <c r="BU99" s="56"/>
      <c r="BV99" s="56"/>
      <c r="BW99" s="56"/>
      <c r="BX99" s="56"/>
      <c r="BY99" s="56"/>
      <c r="BZ99" s="56"/>
      <c r="CA99" s="56"/>
      <c r="CB99" s="56"/>
      <c r="CC99" s="56"/>
      <c r="CD99" s="56"/>
      <c r="CE99" s="56"/>
      <c r="CF99" s="56"/>
      <c r="CG99" s="56"/>
      <c r="CH99" s="56"/>
      <c r="CI99" s="56"/>
      <c r="CJ99" s="56"/>
      <c r="CK99" s="56"/>
      <c r="CL99" s="56"/>
      <c r="CM99" s="56"/>
      <c r="CN99" s="56"/>
      <c r="CO99" s="56"/>
      <c r="CP99" s="56"/>
      <c r="CQ99" s="56"/>
      <c r="CR99" s="56"/>
      <c r="CS99" s="56"/>
      <c r="CT99" s="56"/>
      <c r="CU99" s="56"/>
      <c r="CV99" s="56"/>
    </row>
    <row r="100" spans="1:100" ht="15" customHeight="1" x14ac:dyDescent="0.25">
      <c r="A100" s="56"/>
      <c r="B100" s="286"/>
      <c r="C100" s="286"/>
      <c r="D100" s="287"/>
      <c r="E100" s="514"/>
      <c r="F100" s="515"/>
      <c r="G100" s="515"/>
      <c r="H100" s="515"/>
      <c r="I100" s="519"/>
      <c r="J100" s="442" t="str">
        <f ca="1">IF(AND('Mapa final'!$K$106="Muy Baja",'Mapa final'!$O$106="Leve"),CONCATENATE("R",'Mapa final'!$A$106),"")</f>
        <v/>
      </c>
      <c r="K100" s="443"/>
      <c r="L100" s="443" t="str">
        <f ca="1">IF(AND('Mapa final'!$K$109="Muy Baja",'Mapa final'!$O$109="Leve"),CONCATENATE("R",'Mapa final'!$A$109),"")</f>
        <v/>
      </c>
      <c r="M100" s="443"/>
      <c r="N100" s="443" t="str">
        <f ca="1">IF(AND('Mapa final'!$K$112="Muy Baja",'Mapa final'!$O$112="Leve"),CONCATENATE("R",'Mapa final'!$A$112),"")</f>
        <v/>
      </c>
      <c r="O100" s="443"/>
      <c r="P100" s="443" t="str">
        <f ca="1">IF(AND('Mapa final'!$K$115="Muy Baja",'Mapa final'!$O$115="Leve"),CONCATENATE("R",'Mapa final'!$A$115),"")</f>
        <v/>
      </c>
      <c r="Q100" s="443"/>
      <c r="R100" s="443" t="str">
        <f ca="1">IF(AND('Mapa final'!$K$118="Muy Baja",'Mapa final'!$O$118="Leve"),CONCATENATE("R",'Mapa final'!$A$118),"")</f>
        <v/>
      </c>
      <c r="S100" s="444"/>
      <c r="T100" s="442" t="str">
        <f ca="1">IF(AND('Mapa final'!$K$106="Muy Baja",'Mapa final'!$O$106="Menor"),CONCATENATE("R",'Mapa final'!$A$106),"")</f>
        <v/>
      </c>
      <c r="U100" s="443"/>
      <c r="V100" s="443" t="str">
        <f ca="1">IF(AND('Mapa final'!$K$109="Muy Baja",'Mapa final'!$O$109="Menor"),CONCATENATE("R",'Mapa final'!$A$109),"")</f>
        <v/>
      </c>
      <c r="W100" s="443"/>
      <c r="X100" s="443" t="str">
        <f ca="1">IF(AND('Mapa final'!$K$112="Muy Baja",'Mapa final'!$O$112="Menor"),CONCATENATE("R",'Mapa final'!$A$112),"")</f>
        <v/>
      </c>
      <c r="Y100" s="443"/>
      <c r="Z100" s="443" t="str">
        <f ca="1">IF(AND('Mapa final'!$K$115="Muy Baja",'Mapa final'!$O$115="Menor"),CONCATENATE("R",'Mapa final'!$A$115),"")</f>
        <v/>
      </c>
      <c r="AA100" s="443"/>
      <c r="AB100" s="443" t="str">
        <f ca="1">IF(AND('Mapa final'!$K$118="Muy Baja",'Mapa final'!$O$118="Menor"),CONCATENATE("R",'Mapa final'!$A$118),"")</f>
        <v/>
      </c>
      <c r="AC100" s="444"/>
      <c r="AD100" s="450" t="str">
        <f ca="1">IF(AND('Mapa final'!$K$106="Muy Baja",'Mapa final'!$O$106="Moderado"),CONCATENATE("R",'Mapa final'!$A$106),"")</f>
        <v/>
      </c>
      <c r="AE100" s="448"/>
      <c r="AF100" s="448" t="str">
        <f ca="1">IF(AND('Mapa final'!$K$109="Muy Baja",'Mapa final'!$O$109="Moderado"),CONCATENATE("R",'Mapa final'!$A$109),"")</f>
        <v/>
      </c>
      <c r="AG100" s="448"/>
      <c r="AH100" s="448" t="str">
        <f ca="1">IF(AND('Mapa final'!$K$112="Muy Baja",'Mapa final'!$O$112="Moderado"),CONCATENATE("R",'Mapa final'!$A$112),"")</f>
        <v/>
      </c>
      <c r="AI100" s="448"/>
      <c r="AJ100" s="448" t="str">
        <f ca="1">IF(AND('Mapa final'!$K$115="Muy Baja",'Mapa final'!$O$115="Moderado"),CONCATENATE("R",'Mapa final'!$A$115),"")</f>
        <v/>
      </c>
      <c r="AK100" s="448"/>
      <c r="AL100" s="448" t="str">
        <f ca="1">IF(AND('Mapa final'!$K$118="Muy Baja",'Mapa final'!$O$118="Moderado"),CONCATENATE("R",'Mapa final'!$A$118),"")</f>
        <v/>
      </c>
      <c r="AM100" s="449"/>
      <c r="AN100" s="453" t="str">
        <f ca="1">IF(AND('Mapa final'!$K$106="Muy Baja",'Mapa final'!$O$106="Mayor"),CONCATENATE("R",'Mapa final'!$A$106),"")</f>
        <v/>
      </c>
      <c r="AO100" s="451"/>
      <c r="AP100" s="451" t="str">
        <f ca="1">IF(AND('Mapa final'!$K$109="Muy Baja",'Mapa final'!$O$109="Mayor"),CONCATENATE("R",'Mapa final'!$A$109),"")</f>
        <v/>
      </c>
      <c r="AQ100" s="451"/>
      <c r="AR100" s="451" t="str">
        <f ca="1">IF(AND('Mapa final'!$K$112="Muy Baja",'Mapa final'!$O$112="Mayor"),CONCATENATE("R",'Mapa final'!$A$112),"")</f>
        <v/>
      </c>
      <c r="AS100" s="451"/>
      <c r="AT100" s="451" t="str">
        <f ca="1">IF(AND('Mapa final'!$K$115="Muy Baja",'Mapa final'!$O$115="Mayor"),CONCATENATE("R",'Mapa final'!$A$115),"")</f>
        <v/>
      </c>
      <c r="AU100" s="451"/>
      <c r="AV100" s="451" t="str">
        <f ca="1">IF(AND('Mapa final'!$K$118="Muy Baja",'Mapa final'!$O$118="Mayor"),CONCATENATE("R",'Mapa final'!$A$118),"")</f>
        <v/>
      </c>
      <c r="AW100" s="452"/>
      <c r="AX100" s="447" t="str">
        <f ca="1">IF(AND('Mapa final'!$K$106="Muy Baja",'Mapa final'!$O$106="Catastrófico"),CONCATENATE("R",'Mapa final'!$A$106),"")</f>
        <v/>
      </c>
      <c r="AY100" s="445"/>
      <c r="AZ100" s="445" t="str">
        <f ca="1">IF(AND('Mapa final'!$K$109="Muy Baja",'Mapa final'!$O$109="Catastrófico"),CONCATENATE("R",'Mapa final'!$A$109),"")</f>
        <v/>
      </c>
      <c r="BA100" s="445"/>
      <c r="BB100" s="445" t="str">
        <f ca="1">IF(AND('Mapa final'!$K$112="Muy Baja",'Mapa final'!$O$112="Catastrófico"),CONCATENATE("R",'Mapa final'!$A$112),"")</f>
        <v/>
      </c>
      <c r="BC100" s="445"/>
      <c r="BD100" s="445" t="str">
        <f ca="1">IF(AND('Mapa final'!$K$115="Muy Baja",'Mapa final'!$O$115="Catastrófico"),CONCATENATE("R",'Mapa final'!$A$115),"")</f>
        <v/>
      </c>
      <c r="BE100" s="445"/>
      <c r="BF100" s="445" t="str">
        <f ca="1">IF(AND('Mapa final'!$K$118="Muy Baja",'Mapa final'!$O$118="Catastrófico"),CONCATENATE("R",'Mapa final'!$A$118),"")</f>
        <v/>
      </c>
      <c r="BG100" s="446"/>
      <c r="BH100" s="56"/>
      <c r="BI100" s="56"/>
      <c r="BJ100" s="56"/>
      <c r="BK100" s="56"/>
      <c r="BL100" s="56"/>
      <c r="BM100" s="56"/>
      <c r="BN100" s="56"/>
      <c r="BO100" s="56"/>
      <c r="BP100" s="56"/>
      <c r="BQ100" s="56"/>
      <c r="BR100" s="56"/>
      <c r="BS100" s="56"/>
      <c r="BT100" s="56"/>
      <c r="BU100" s="56"/>
      <c r="BV100" s="56"/>
      <c r="BW100" s="56"/>
      <c r="BX100" s="56"/>
      <c r="BY100" s="56"/>
      <c r="BZ100" s="56"/>
      <c r="CA100" s="56"/>
      <c r="CB100" s="56"/>
      <c r="CC100" s="56"/>
      <c r="CD100" s="56"/>
      <c r="CE100" s="56"/>
      <c r="CF100" s="56"/>
      <c r="CG100" s="56"/>
      <c r="CH100" s="56"/>
      <c r="CI100" s="56"/>
      <c r="CJ100" s="56"/>
      <c r="CK100" s="56"/>
      <c r="CL100" s="56"/>
      <c r="CM100" s="56"/>
      <c r="CN100" s="56"/>
      <c r="CO100" s="56"/>
      <c r="CP100" s="56"/>
      <c r="CQ100" s="56"/>
      <c r="CR100" s="56"/>
      <c r="CS100" s="56"/>
      <c r="CT100" s="56"/>
      <c r="CU100" s="56"/>
      <c r="CV100" s="56"/>
    </row>
    <row r="101" spans="1:100" ht="15" customHeight="1" x14ac:dyDescent="0.25">
      <c r="A101" s="56"/>
      <c r="B101" s="286"/>
      <c r="C101" s="286"/>
      <c r="D101" s="287"/>
      <c r="E101" s="514"/>
      <c r="F101" s="515"/>
      <c r="G101" s="515"/>
      <c r="H101" s="515"/>
      <c r="I101" s="519"/>
      <c r="J101" s="442"/>
      <c r="K101" s="443"/>
      <c r="L101" s="443"/>
      <c r="M101" s="443"/>
      <c r="N101" s="443"/>
      <c r="O101" s="443"/>
      <c r="P101" s="443"/>
      <c r="Q101" s="443"/>
      <c r="R101" s="443"/>
      <c r="S101" s="444"/>
      <c r="T101" s="442"/>
      <c r="U101" s="443"/>
      <c r="V101" s="443"/>
      <c r="W101" s="443"/>
      <c r="X101" s="443"/>
      <c r="Y101" s="443"/>
      <c r="Z101" s="443"/>
      <c r="AA101" s="443"/>
      <c r="AB101" s="443"/>
      <c r="AC101" s="444"/>
      <c r="AD101" s="450"/>
      <c r="AE101" s="448"/>
      <c r="AF101" s="448"/>
      <c r="AG101" s="448"/>
      <c r="AH101" s="448"/>
      <c r="AI101" s="448"/>
      <c r="AJ101" s="448"/>
      <c r="AK101" s="448"/>
      <c r="AL101" s="448"/>
      <c r="AM101" s="449"/>
      <c r="AN101" s="453"/>
      <c r="AO101" s="451"/>
      <c r="AP101" s="451"/>
      <c r="AQ101" s="451"/>
      <c r="AR101" s="451"/>
      <c r="AS101" s="451"/>
      <c r="AT101" s="451"/>
      <c r="AU101" s="451"/>
      <c r="AV101" s="451"/>
      <c r="AW101" s="452"/>
      <c r="AX101" s="447"/>
      <c r="AY101" s="445"/>
      <c r="AZ101" s="445"/>
      <c r="BA101" s="445"/>
      <c r="BB101" s="445"/>
      <c r="BC101" s="445"/>
      <c r="BD101" s="445"/>
      <c r="BE101" s="445"/>
      <c r="BF101" s="445"/>
      <c r="BG101" s="446"/>
      <c r="BH101" s="56"/>
      <c r="BI101" s="56"/>
      <c r="BJ101" s="56"/>
      <c r="BK101" s="56"/>
      <c r="BL101" s="56"/>
      <c r="BM101" s="56"/>
      <c r="BN101" s="56"/>
      <c r="BO101" s="56"/>
      <c r="BP101" s="56"/>
      <c r="BQ101" s="56"/>
      <c r="BR101" s="56"/>
      <c r="BS101" s="56"/>
      <c r="BT101" s="56"/>
      <c r="BU101" s="56"/>
      <c r="BV101" s="56"/>
      <c r="BW101" s="56"/>
      <c r="BX101" s="56"/>
      <c r="BY101" s="56"/>
      <c r="BZ101" s="56"/>
      <c r="CA101" s="56"/>
      <c r="CB101" s="56"/>
      <c r="CC101" s="56"/>
      <c r="CD101" s="56"/>
      <c r="CE101" s="56"/>
      <c r="CF101" s="56"/>
      <c r="CG101" s="56"/>
      <c r="CH101" s="56"/>
      <c r="CI101" s="56"/>
      <c r="CJ101" s="56"/>
      <c r="CK101" s="56"/>
      <c r="CL101" s="56"/>
      <c r="CM101" s="56"/>
      <c r="CN101" s="56"/>
      <c r="CO101" s="56"/>
      <c r="CP101" s="56"/>
      <c r="CQ101" s="56"/>
      <c r="CR101" s="56"/>
      <c r="CS101" s="56"/>
      <c r="CT101" s="56"/>
      <c r="CU101" s="56"/>
      <c r="CV101" s="56"/>
    </row>
    <row r="102" spans="1:100" ht="15" customHeight="1" x14ac:dyDescent="0.25">
      <c r="A102" s="56"/>
      <c r="B102" s="286"/>
      <c r="C102" s="286"/>
      <c r="D102" s="287"/>
      <c r="E102" s="514"/>
      <c r="F102" s="515"/>
      <c r="G102" s="515"/>
      <c r="H102" s="515"/>
      <c r="I102" s="519"/>
      <c r="J102" s="442" t="str">
        <f ca="1">IF(AND('Mapa final'!$K$121="Muy Baja",'Mapa final'!$O$121="Leve"),CONCATENATE("R",'Mapa final'!$A$121),"")</f>
        <v/>
      </c>
      <c r="K102" s="443"/>
      <c r="L102" s="443" t="str">
        <f ca="1">IF(AND('Mapa final'!$K$124="Muy Baja",'Mapa final'!$O$124="Leve"),CONCATENATE("R",'Mapa final'!$A$124),"")</f>
        <v/>
      </c>
      <c r="M102" s="443"/>
      <c r="N102" s="443" t="str">
        <f ca="1">IF(AND('Mapa final'!$K$127="Muy Baja",'Mapa final'!$O$127="Leve"),CONCATENATE("R",'Mapa final'!$A$127),"")</f>
        <v/>
      </c>
      <c r="O102" s="443"/>
      <c r="P102" s="443" t="str">
        <f ca="1">IF(AND('Mapa final'!$K$130="Muy Baja",'Mapa final'!$O$130="Leve"),CONCATENATE("R",'Mapa final'!$A$130),"")</f>
        <v/>
      </c>
      <c r="Q102" s="443"/>
      <c r="R102" s="443" t="str">
        <f ca="1">IF(AND('Mapa final'!$K$133="Muy Baja",'Mapa final'!$O$133="Leve"),CONCATENATE("R",'Mapa final'!$A$133),"")</f>
        <v/>
      </c>
      <c r="S102" s="444"/>
      <c r="T102" s="442" t="str">
        <f ca="1">IF(AND('Mapa final'!$K$121="Muy Baja",'Mapa final'!$O$121="Menor"),CONCATENATE("R",'Mapa final'!$A$121),"")</f>
        <v/>
      </c>
      <c r="U102" s="443"/>
      <c r="V102" s="443" t="str">
        <f ca="1">IF(AND('Mapa final'!$K$124="Muy Baja",'Mapa final'!$O$124="Menor"),CONCATENATE("R",'Mapa final'!$A$124),"")</f>
        <v/>
      </c>
      <c r="W102" s="443"/>
      <c r="X102" s="443" t="str">
        <f ca="1">IF(AND('Mapa final'!$K$127="Muy Baja",'Mapa final'!$O$127="Menor"),CONCATENATE("R",'Mapa final'!$A$127),"")</f>
        <v/>
      </c>
      <c r="Y102" s="443"/>
      <c r="Z102" s="443" t="str">
        <f ca="1">IF(AND('Mapa final'!$K$130="Muy Baja",'Mapa final'!$O$130="Menor"),CONCATENATE("R",'Mapa final'!$A$130),"")</f>
        <v/>
      </c>
      <c r="AA102" s="443"/>
      <c r="AB102" s="443" t="str">
        <f ca="1">IF(AND('Mapa final'!$K$133="Muy Baja",'Mapa final'!$O$133="Menor"),CONCATENATE("R",'Mapa final'!$A$133),"")</f>
        <v/>
      </c>
      <c r="AC102" s="444"/>
      <c r="AD102" s="450" t="str">
        <f ca="1">IF(AND('Mapa final'!$K$121="Muy Baja",'Mapa final'!$O$121="Moderado"),CONCATENATE("R",'Mapa final'!$A$121),"")</f>
        <v/>
      </c>
      <c r="AE102" s="448"/>
      <c r="AF102" s="448" t="str">
        <f ca="1">IF(AND('Mapa final'!$K$124="Muy Baja",'Mapa final'!$O$124="Moderado"),CONCATENATE("R",'Mapa final'!$A$124),"")</f>
        <v/>
      </c>
      <c r="AG102" s="448"/>
      <c r="AH102" s="448" t="str">
        <f ca="1">IF(AND('Mapa final'!$K$127="Muy Baja",'Mapa final'!$O$127="Moderado"),CONCATENATE("R",'Mapa final'!$A$127),"")</f>
        <v/>
      </c>
      <c r="AI102" s="448"/>
      <c r="AJ102" s="448" t="str">
        <f ca="1">IF(AND('Mapa final'!$K$130="Muy Baja",'Mapa final'!$O$130="Moderado"),CONCATENATE("R",'Mapa final'!$A$130),"")</f>
        <v/>
      </c>
      <c r="AK102" s="448"/>
      <c r="AL102" s="448" t="str">
        <f ca="1">IF(AND('Mapa final'!$K$133="Muy Baja",'Mapa final'!$O$133="Moderado"),CONCATENATE("R",'Mapa final'!$A$133),"")</f>
        <v/>
      </c>
      <c r="AM102" s="449"/>
      <c r="AN102" s="453" t="str">
        <f ca="1">IF(AND('Mapa final'!$K$121="Muy Baja",'Mapa final'!$O$121="Mayor"),CONCATENATE("R",'Mapa final'!$A$121),"")</f>
        <v/>
      </c>
      <c r="AO102" s="451"/>
      <c r="AP102" s="451" t="str">
        <f ca="1">IF(AND('Mapa final'!$K$124="Muy Baja",'Mapa final'!$O$124="Mayor"),CONCATENATE("R",'Mapa final'!$A$124),"")</f>
        <v/>
      </c>
      <c r="AQ102" s="451"/>
      <c r="AR102" s="451" t="str">
        <f ca="1">IF(AND('Mapa final'!$K$127="Muy Baja",'Mapa final'!$O$127="Mayor"),CONCATENATE("R",'Mapa final'!$A$127),"")</f>
        <v/>
      </c>
      <c r="AS102" s="451"/>
      <c r="AT102" s="451" t="str">
        <f ca="1">IF(AND('Mapa final'!$K$130="Muy Baja",'Mapa final'!$O$130="Mayor"),CONCATENATE("R",'Mapa final'!$A$130),"")</f>
        <v/>
      </c>
      <c r="AU102" s="451"/>
      <c r="AV102" s="451" t="str">
        <f ca="1">IF(AND('Mapa final'!$K$133="Muy Baja",'Mapa final'!$O$133="Mayor"),CONCATENATE("R",'Mapa final'!$A$133),"")</f>
        <v/>
      </c>
      <c r="AW102" s="452"/>
      <c r="AX102" s="447" t="str">
        <f ca="1">IF(AND('Mapa final'!$K$121="Muy Baja",'Mapa final'!$O$121="Catastrófico"),CONCATENATE("R",'Mapa final'!$A$121),"")</f>
        <v/>
      </c>
      <c r="AY102" s="445"/>
      <c r="AZ102" s="445" t="str">
        <f ca="1">IF(AND('Mapa final'!$K$124="Muy Baja",'Mapa final'!$O$124="Catastrófico"),CONCATENATE("R",'Mapa final'!$A$124),"")</f>
        <v/>
      </c>
      <c r="BA102" s="445"/>
      <c r="BB102" s="445" t="str">
        <f ca="1">IF(AND('Mapa final'!$K$127="Muy Baja",'Mapa final'!$O$127="Catastrófico"),CONCATENATE("R",'Mapa final'!$A$127),"")</f>
        <v/>
      </c>
      <c r="BC102" s="445"/>
      <c r="BD102" s="445" t="str">
        <f ca="1">IF(AND('Mapa final'!$K$130="Muy Baja",'Mapa final'!$O$130="Catastrófico"),CONCATENATE("R",'Mapa final'!$A$130),"")</f>
        <v/>
      </c>
      <c r="BE102" s="445"/>
      <c r="BF102" s="445" t="str">
        <f ca="1">IF(AND('Mapa final'!$K$133="Muy Baja",'Mapa final'!$O$133="Catastrófico"),CONCATENATE("R",'Mapa final'!$A$133),"")</f>
        <v/>
      </c>
      <c r="BG102" s="446"/>
      <c r="BH102" s="56"/>
      <c r="BI102" s="56"/>
      <c r="BJ102" s="56"/>
      <c r="BK102" s="56"/>
      <c r="BL102" s="56"/>
      <c r="BM102" s="56"/>
      <c r="BN102" s="56"/>
      <c r="BO102" s="56"/>
      <c r="BP102" s="56"/>
      <c r="BQ102" s="56"/>
      <c r="BR102" s="56"/>
      <c r="BS102" s="56"/>
      <c r="BT102" s="56"/>
      <c r="BU102" s="56"/>
      <c r="BV102" s="56"/>
      <c r="BW102" s="56"/>
      <c r="BX102" s="56"/>
      <c r="BY102" s="56"/>
      <c r="BZ102" s="56"/>
      <c r="CA102" s="56"/>
      <c r="CB102" s="56"/>
      <c r="CC102" s="56"/>
      <c r="CD102" s="56"/>
      <c r="CE102" s="56"/>
      <c r="CF102" s="56"/>
      <c r="CG102" s="56"/>
      <c r="CH102" s="56"/>
      <c r="CI102" s="56"/>
      <c r="CJ102" s="56"/>
      <c r="CK102" s="56"/>
      <c r="CL102" s="56"/>
      <c r="CM102" s="56"/>
      <c r="CN102" s="56"/>
      <c r="CO102" s="56"/>
      <c r="CP102" s="56"/>
      <c r="CQ102" s="56"/>
      <c r="CR102" s="56"/>
      <c r="CS102" s="56"/>
      <c r="CT102" s="56"/>
      <c r="CU102" s="56"/>
      <c r="CV102" s="56"/>
    </row>
    <row r="103" spans="1:100" ht="15" customHeight="1" x14ac:dyDescent="0.25">
      <c r="A103" s="56"/>
      <c r="B103" s="286"/>
      <c r="C103" s="286"/>
      <c r="D103" s="287"/>
      <c r="E103" s="514"/>
      <c r="F103" s="515"/>
      <c r="G103" s="515"/>
      <c r="H103" s="515"/>
      <c r="I103" s="519"/>
      <c r="J103" s="442"/>
      <c r="K103" s="443"/>
      <c r="L103" s="443"/>
      <c r="M103" s="443"/>
      <c r="N103" s="443"/>
      <c r="O103" s="443"/>
      <c r="P103" s="443"/>
      <c r="Q103" s="443"/>
      <c r="R103" s="443"/>
      <c r="S103" s="444"/>
      <c r="T103" s="442"/>
      <c r="U103" s="443"/>
      <c r="V103" s="443"/>
      <c r="W103" s="443"/>
      <c r="X103" s="443"/>
      <c r="Y103" s="443"/>
      <c r="Z103" s="443"/>
      <c r="AA103" s="443"/>
      <c r="AB103" s="443"/>
      <c r="AC103" s="444"/>
      <c r="AD103" s="450"/>
      <c r="AE103" s="448"/>
      <c r="AF103" s="448"/>
      <c r="AG103" s="448"/>
      <c r="AH103" s="448"/>
      <c r="AI103" s="448"/>
      <c r="AJ103" s="448"/>
      <c r="AK103" s="448"/>
      <c r="AL103" s="448"/>
      <c r="AM103" s="449"/>
      <c r="AN103" s="453"/>
      <c r="AO103" s="451"/>
      <c r="AP103" s="451"/>
      <c r="AQ103" s="451"/>
      <c r="AR103" s="451"/>
      <c r="AS103" s="451"/>
      <c r="AT103" s="451"/>
      <c r="AU103" s="451"/>
      <c r="AV103" s="451"/>
      <c r="AW103" s="452"/>
      <c r="AX103" s="447"/>
      <c r="AY103" s="445"/>
      <c r="AZ103" s="445"/>
      <c r="BA103" s="445"/>
      <c r="BB103" s="445"/>
      <c r="BC103" s="445"/>
      <c r="BD103" s="445"/>
      <c r="BE103" s="445"/>
      <c r="BF103" s="445"/>
      <c r="BG103" s="446"/>
      <c r="BH103" s="56"/>
      <c r="BI103" s="56"/>
      <c r="BJ103" s="56"/>
      <c r="BK103" s="56"/>
      <c r="BL103" s="56"/>
      <c r="BM103" s="56"/>
      <c r="BN103" s="56"/>
      <c r="BO103" s="56"/>
      <c r="BP103" s="56"/>
      <c r="BQ103" s="56"/>
      <c r="BR103" s="56"/>
      <c r="BS103" s="56"/>
      <c r="BT103" s="56"/>
      <c r="BU103" s="56"/>
      <c r="BV103" s="56"/>
      <c r="BW103" s="56"/>
      <c r="BX103" s="56"/>
      <c r="BY103" s="56"/>
      <c r="BZ103" s="56"/>
      <c r="CA103" s="56"/>
      <c r="CB103" s="56"/>
      <c r="CC103" s="56"/>
      <c r="CD103" s="56"/>
      <c r="CE103" s="56"/>
      <c r="CF103" s="56"/>
      <c r="CG103" s="56"/>
      <c r="CH103" s="56"/>
      <c r="CI103" s="56"/>
      <c r="CJ103" s="56"/>
      <c r="CK103" s="56"/>
      <c r="CL103" s="56"/>
      <c r="CM103" s="56"/>
      <c r="CN103" s="56"/>
      <c r="CO103" s="56"/>
      <c r="CP103" s="56"/>
      <c r="CQ103" s="56"/>
      <c r="CR103" s="56"/>
      <c r="CS103" s="56"/>
      <c r="CT103" s="56"/>
      <c r="CU103" s="56"/>
      <c r="CV103" s="56"/>
    </row>
    <row r="104" spans="1:100" ht="15" customHeight="1" x14ac:dyDescent="0.25">
      <c r="A104" s="56"/>
      <c r="B104" s="286"/>
      <c r="C104" s="286"/>
      <c r="D104" s="287"/>
      <c r="E104" s="514"/>
      <c r="F104" s="515"/>
      <c r="G104" s="515"/>
      <c r="H104" s="515"/>
      <c r="I104" s="519"/>
      <c r="J104" s="442" t="str">
        <f ca="1">IF(AND('Mapa final'!$K$136="Muy Baja",'Mapa final'!$O$136="Leve"),CONCATENATE("R",'Mapa final'!$A$136),"")</f>
        <v/>
      </c>
      <c r="K104" s="443"/>
      <c r="L104" s="443" t="str">
        <f ca="1">IF(AND('Mapa final'!$K$139="Muy Baja",'Mapa final'!$O$139="Leve"),CONCATENATE("R",'Mapa final'!$A$139),"")</f>
        <v/>
      </c>
      <c r="M104" s="443"/>
      <c r="N104" s="443" t="str">
        <f ca="1">IF(AND('Mapa final'!$K$142="Muy Baja",'Mapa final'!$O$142="Leve"),CONCATENATE("R",'Mapa final'!$A$142),"")</f>
        <v/>
      </c>
      <c r="O104" s="443"/>
      <c r="P104" s="443" t="str">
        <f ca="1">IF(AND('Mapa final'!$K$145="Muy Baja",'Mapa final'!$O$145="Leve"),CONCATENATE("R",'Mapa final'!$A$145),"")</f>
        <v/>
      </c>
      <c r="Q104" s="443"/>
      <c r="R104" s="443" t="str">
        <f ca="1">IF(AND('Mapa final'!$K$148="Muy Baja",'Mapa final'!$O$148="Leve"),CONCATENATE("R",'Mapa final'!$A$148),"")</f>
        <v/>
      </c>
      <c r="S104" s="444"/>
      <c r="T104" s="442" t="str">
        <f ca="1">IF(AND('Mapa final'!$K$136="Muy Baja",'Mapa final'!$O$136="Menor"),CONCATENATE("R",'Mapa final'!$A$136),"")</f>
        <v/>
      </c>
      <c r="U104" s="443"/>
      <c r="V104" s="443" t="str">
        <f ca="1">IF(AND('Mapa final'!$K$139="Muy Baja",'Mapa final'!$O$139="Menor"),CONCATENATE("R",'Mapa final'!$A$139),"")</f>
        <v/>
      </c>
      <c r="W104" s="443"/>
      <c r="X104" s="443" t="str">
        <f ca="1">IF(AND('Mapa final'!$K$142="Muy Baja",'Mapa final'!$O$142="Menor"),CONCATENATE("R",'Mapa final'!$A$142),"")</f>
        <v/>
      </c>
      <c r="Y104" s="443"/>
      <c r="Z104" s="443" t="str">
        <f ca="1">IF(AND('Mapa final'!$K$145="Muy Baja",'Mapa final'!$O$145="Menor"),CONCATENATE("R",'Mapa final'!$A$145),"")</f>
        <v/>
      </c>
      <c r="AA104" s="443"/>
      <c r="AB104" s="443" t="str">
        <f ca="1">IF(AND('Mapa final'!$K$148="Muy Baja",'Mapa final'!$O$148="Menor"),CONCATENATE("R",'Mapa final'!$A$148),"")</f>
        <v/>
      </c>
      <c r="AC104" s="444"/>
      <c r="AD104" s="450" t="str">
        <f ca="1">IF(AND('Mapa final'!$K$136="Muy Baja",'Mapa final'!$O$136="Moderado"),CONCATENATE("R",'Mapa final'!$A$136),"")</f>
        <v/>
      </c>
      <c r="AE104" s="448"/>
      <c r="AF104" s="448" t="str">
        <f ca="1">IF(AND('Mapa final'!$K$139="Muy Baja",'Mapa final'!$O$139="Moderado"),CONCATENATE("R",'Mapa final'!$A$139),"")</f>
        <v/>
      </c>
      <c r="AG104" s="448"/>
      <c r="AH104" s="448" t="str">
        <f ca="1">IF(AND('Mapa final'!$K$142="Muy Baja",'Mapa final'!$O$142="Moderado"),CONCATENATE("R",'Mapa final'!$A$142),"")</f>
        <v/>
      </c>
      <c r="AI104" s="448"/>
      <c r="AJ104" s="448" t="str">
        <f ca="1">IF(AND('Mapa final'!$K$145="Muy Baja",'Mapa final'!$O$145="Moderado"),CONCATENATE("R",'Mapa final'!$A$145),"")</f>
        <v/>
      </c>
      <c r="AK104" s="448"/>
      <c r="AL104" s="448" t="str">
        <f ca="1">IF(AND('Mapa final'!$K$148="Muy Baja",'Mapa final'!$O$148="Moderado"),CONCATENATE("R",'Mapa final'!$A$148),"")</f>
        <v/>
      </c>
      <c r="AM104" s="449"/>
      <c r="AN104" s="453" t="str">
        <f ca="1">IF(AND('Mapa final'!$K$136="Muy Baja",'Mapa final'!$O$136="Mayor"),CONCATENATE("R",'Mapa final'!$A$136),"")</f>
        <v/>
      </c>
      <c r="AO104" s="451"/>
      <c r="AP104" s="451" t="str">
        <f ca="1">IF(AND('Mapa final'!$K$139="Muy Baja",'Mapa final'!$O$139="Mayor"),CONCATENATE("R",'Mapa final'!$A$139),"")</f>
        <v/>
      </c>
      <c r="AQ104" s="451"/>
      <c r="AR104" s="451" t="str">
        <f ca="1">IF(AND('Mapa final'!$K$142="Muy Baja",'Mapa final'!$O$142="Mayor"),CONCATENATE("R",'Mapa final'!$A$142),"")</f>
        <v/>
      </c>
      <c r="AS104" s="451"/>
      <c r="AT104" s="451" t="str">
        <f ca="1">IF(AND('Mapa final'!$K$145="Muy Baja",'Mapa final'!$O$145="Mayor"),CONCATENATE("R",'Mapa final'!$A$145),"")</f>
        <v/>
      </c>
      <c r="AU104" s="451"/>
      <c r="AV104" s="451" t="str">
        <f ca="1">IF(AND('Mapa final'!$K$148="Muy Baja",'Mapa final'!$O$148="Mayor"),CONCATENATE("R",'Mapa final'!$A$148),"")</f>
        <v/>
      </c>
      <c r="AW104" s="452"/>
      <c r="AX104" s="447" t="str">
        <f ca="1">IF(AND('Mapa final'!$K$136="Muy Baja",'Mapa final'!$O$136="Catastrófico"),CONCATENATE("R",'Mapa final'!$A$136),"")</f>
        <v/>
      </c>
      <c r="AY104" s="445"/>
      <c r="AZ104" s="445" t="str">
        <f ca="1">IF(AND('Mapa final'!$K$139="Muy Baja",'Mapa final'!$O$139="Catastrófico"),CONCATENATE("R",'Mapa final'!$A$139),"")</f>
        <v/>
      </c>
      <c r="BA104" s="445"/>
      <c r="BB104" s="445" t="str">
        <f ca="1">IF(AND('Mapa final'!$K$142="Muy Baja",'Mapa final'!$O$142="Catastrófico"),CONCATENATE("R",'Mapa final'!$A$142),"")</f>
        <v/>
      </c>
      <c r="BC104" s="445"/>
      <c r="BD104" s="445" t="str">
        <f ca="1">IF(AND('Mapa final'!$K$145="Muy Baja",'Mapa final'!$O$145="Catastrófico"),CONCATENATE("R",'Mapa final'!$A$145),"")</f>
        <v/>
      </c>
      <c r="BE104" s="445"/>
      <c r="BF104" s="445" t="str">
        <f ca="1">IF(AND('Mapa final'!$K$148="Muy Baja",'Mapa final'!$O$148="Catastrófico"),CONCATENATE("R",'Mapa final'!$A$148),"")</f>
        <v/>
      </c>
      <c r="BG104" s="446"/>
      <c r="BH104" s="56"/>
      <c r="BI104" s="56"/>
      <c r="BJ104" s="56"/>
      <c r="BK104" s="56"/>
      <c r="BL104" s="56"/>
      <c r="BM104" s="56"/>
      <c r="BN104" s="56"/>
      <c r="BO104" s="56"/>
      <c r="BP104" s="56"/>
      <c r="BQ104" s="56"/>
      <c r="BR104" s="56"/>
      <c r="BS104" s="56"/>
      <c r="BT104" s="56"/>
      <c r="BU104" s="56"/>
      <c r="BV104" s="56"/>
      <c r="BW104" s="56"/>
      <c r="BX104" s="56"/>
      <c r="BY104" s="56"/>
      <c r="BZ104" s="56"/>
      <c r="CA104" s="56"/>
      <c r="CB104" s="56"/>
      <c r="CC104" s="56"/>
      <c r="CD104" s="56"/>
      <c r="CE104" s="56"/>
      <c r="CF104" s="56"/>
      <c r="CG104" s="56"/>
      <c r="CH104" s="56"/>
      <c r="CI104" s="56"/>
      <c r="CJ104" s="56"/>
      <c r="CK104" s="56"/>
      <c r="CL104" s="56"/>
      <c r="CM104" s="56"/>
      <c r="CN104" s="56"/>
      <c r="CO104" s="56"/>
      <c r="CP104" s="56"/>
      <c r="CQ104" s="56"/>
      <c r="CR104" s="56"/>
      <c r="CS104" s="56"/>
      <c r="CT104" s="56"/>
      <c r="CU104" s="56"/>
      <c r="CV104" s="56"/>
    </row>
    <row r="105" spans="1:100" ht="15.75" customHeight="1" thickBot="1" x14ac:dyDescent="0.3">
      <c r="A105" s="56"/>
      <c r="B105" s="286"/>
      <c r="C105" s="286"/>
      <c r="D105" s="287"/>
      <c r="E105" s="516"/>
      <c r="F105" s="517"/>
      <c r="G105" s="517"/>
      <c r="H105" s="517"/>
      <c r="I105" s="520"/>
      <c r="J105" s="471"/>
      <c r="K105" s="472"/>
      <c r="L105" s="472"/>
      <c r="M105" s="472"/>
      <c r="N105" s="472"/>
      <c r="O105" s="472"/>
      <c r="P105" s="472"/>
      <c r="Q105" s="472"/>
      <c r="R105" s="472"/>
      <c r="S105" s="474"/>
      <c r="T105" s="471"/>
      <c r="U105" s="472"/>
      <c r="V105" s="472"/>
      <c r="W105" s="472"/>
      <c r="X105" s="472"/>
      <c r="Y105" s="472"/>
      <c r="Z105" s="472"/>
      <c r="AA105" s="472"/>
      <c r="AB105" s="472"/>
      <c r="AC105" s="474"/>
      <c r="AD105" s="460"/>
      <c r="AE105" s="461"/>
      <c r="AF105" s="461"/>
      <c r="AG105" s="461"/>
      <c r="AH105" s="461"/>
      <c r="AI105" s="461"/>
      <c r="AJ105" s="461"/>
      <c r="AK105" s="461"/>
      <c r="AL105" s="461"/>
      <c r="AM105" s="462"/>
      <c r="AN105" s="454"/>
      <c r="AO105" s="455"/>
      <c r="AP105" s="455"/>
      <c r="AQ105" s="455"/>
      <c r="AR105" s="455"/>
      <c r="AS105" s="455"/>
      <c r="AT105" s="455"/>
      <c r="AU105" s="455"/>
      <c r="AV105" s="455"/>
      <c r="AW105" s="456"/>
      <c r="AX105" s="467"/>
      <c r="AY105" s="466"/>
      <c r="AZ105" s="466"/>
      <c r="BA105" s="466"/>
      <c r="BB105" s="466"/>
      <c r="BC105" s="466"/>
      <c r="BD105" s="466"/>
      <c r="BE105" s="466"/>
      <c r="BF105" s="466"/>
      <c r="BG105" s="468"/>
      <c r="BH105" s="56"/>
      <c r="BI105" s="56"/>
      <c r="BJ105" s="56"/>
      <c r="BK105" s="56"/>
      <c r="BL105" s="56"/>
      <c r="BM105" s="56"/>
      <c r="BN105" s="56"/>
      <c r="BO105" s="56"/>
      <c r="BP105" s="56"/>
      <c r="BQ105" s="56"/>
      <c r="BR105" s="56"/>
      <c r="BS105" s="56"/>
      <c r="BT105" s="56"/>
      <c r="BU105" s="56"/>
      <c r="BV105" s="56"/>
      <c r="BW105" s="56"/>
      <c r="BX105" s="56"/>
      <c r="BY105" s="56"/>
      <c r="BZ105" s="56"/>
      <c r="CA105" s="56"/>
      <c r="CB105" s="56"/>
      <c r="CC105" s="56"/>
      <c r="CD105" s="56"/>
      <c r="CE105" s="56"/>
      <c r="CF105" s="56"/>
      <c r="CG105" s="56"/>
      <c r="CH105" s="56"/>
      <c r="CI105" s="56"/>
      <c r="CJ105" s="56"/>
      <c r="CK105" s="56"/>
      <c r="CL105" s="56"/>
      <c r="CM105" s="56"/>
      <c r="CN105" s="56"/>
      <c r="CO105" s="56"/>
      <c r="CP105" s="56"/>
      <c r="CQ105" s="56"/>
      <c r="CR105" s="56"/>
      <c r="CS105" s="56"/>
      <c r="CT105" s="56"/>
      <c r="CU105" s="56"/>
      <c r="CV105" s="56"/>
    </row>
    <row r="106" spans="1:100" x14ac:dyDescent="0.25">
      <c r="A106" s="56"/>
      <c r="B106" s="56"/>
      <c r="C106" s="56"/>
      <c r="D106" s="56"/>
      <c r="E106" s="56"/>
      <c r="F106" s="56"/>
      <c r="G106" s="56"/>
      <c r="H106" s="56"/>
      <c r="I106" s="56"/>
      <c r="J106" s="521" t="s">
        <v>103</v>
      </c>
      <c r="K106" s="515"/>
      <c r="L106" s="515"/>
      <c r="M106" s="515"/>
      <c r="N106" s="515"/>
      <c r="O106" s="515"/>
      <c r="P106" s="515"/>
      <c r="Q106" s="515"/>
      <c r="R106" s="515"/>
      <c r="S106" s="519"/>
      <c r="T106" s="521" t="s">
        <v>102</v>
      </c>
      <c r="U106" s="515"/>
      <c r="V106" s="515"/>
      <c r="W106" s="515"/>
      <c r="X106" s="515"/>
      <c r="Y106" s="515"/>
      <c r="Z106" s="515"/>
      <c r="AA106" s="515"/>
      <c r="AB106" s="515"/>
      <c r="AC106" s="519"/>
      <c r="AD106" s="521" t="s">
        <v>101</v>
      </c>
      <c r="AE106" s="515"/>
      <c r="AF106" s="515"/>
      <c r="AG106" s="515"/>
      <c r="AH106" s="515"/>
      <c r="AI106" s="515"/>
      <c r="AJ106" s="515"/>
      <c r="AK106" s="515"/>
      <c r="AL106" s="515"/>
      <c r="AM106" s="519"/>
      <c r="AN106" s="521" t="s">
        <v>100</v>
      </c>
      <c r="AO106" s="523"/>
      <c r="AP106" s="523"/>
      <c r="AQ106" s="523"/>
      <c r="AR106" s="523"/>
      <c r="AS106" s="523"/>
      <c r="AT106" s="515"/>
      <c r="AU106" s="515"/>
      <c r="AV106" s="515"/>
      <c r="AW106" s="519"/>
      <c r="AX106" s="521" t="s">
        <v>99</v>
      </c>
      <c r="AY106" s="515"/>
      <c r="AZ106" s="515"/>
      <c r="BA106" s="515"/>
      <c r="BB106" s="515"/>
      <c r="BC106" s="515"/>
      <c r="BD106" s="515"/>
      <c r="BE106" s="515"/>
      <c r="BF106" s="515"/>
      <c r="BG106" s="519"/>
      <c r="BH106" s="56"/>
      <c r="BI106" s="56"/>
      <c r="BJ106" s="56"/>
      <c r="BK106" s="56"/>
      <c r="BL106" s="56"/>
      <c r="BM106" s="56"/>
      <c r="BN106" s="56"/>
      <c r="BO106" s="56"/>
      <c r="BP106" s="56"/>
      <c r="BQ106" s="56"/>
      <c r="BR106" s="56"/>
      <c r="BS106" s="56"/>
      <c r="BT106" s="56"/>
      <c r="BU106" s="56"/>
      <c r="BV106" s="56"/>
      <c r="BW106" s="56"/>
      <c r="BX106" s="56"/>
      <c r="BY106" s="56"/>
      <c r="BZ106" s="56"/>
      <c r="CA106" s="56"/>
      <c r="CB106" s="56"/>
      <c r="CC106" s="56"/>
      <c r="CD106" s="56"/>
      <c r="CE106" s="56"/>
      <c r="CF106" s="56"/>
      <c r="CG106" s="56"/>
      <c r="CH106" s="56"/>
      <c r="CI106" s="56"/>
      <c r="CJ106" s="56"/>
      <c r="CK106" s="56"/>
      <c r="CL106" s="56"/>
      <c r="CM106" s="56"/>
      <c r="CN106" s="56"/>
      <c r="CO106" s="56"/>
      <c r="CP106" s="56"/>
      <c r="CQ106" s="56"/>
      <c r="CR106" s="56"/>
      <c r="CS106" s="56"/>
      <c r="CT106" s="56"/>
      <c r="CU106" s="56"/>
      <c r="CV106" s="56"/>
    </row>
    <row r="107" spans="1:100" x14ac:dyDescent="0.25">
      <c r="A107" s="56"/>
      <c r="B107" s="56"/>
      <c r="C107" s="56"/>
      <c r="D107" s="56"/>
      <c r="E107" s="56"/>
      <c r="F107" s="56"/>
      <c r="G107" s="56"/>
      <c r="H107" s="56"/>
      <c r="I107" s="56"/>
      <c r="J107" s="514"/>
      <c r="K107" s="515"/>
      <c r="L107" s="515"/>
      <c r="M107" s="515"/>
      <c r="N107" s="515"/>
      <c r="O107" s="515"/>
      <c r="P107" s="515"/>
      <c r="Q107" s="515"/>
      <c r="R107" s="515"/>
      <c r="S107" s="519"/>
      <c r="T107" s="514"/>
      <c r="U107" s="515"/>
      <c r="V107" s="515"/>
      <c r="W107" s="515"/>
      <c r="X107" s="515"/>
      <c r="Y107" s="515"/>
      <c r="Z107" s="515"/>
      <c r="AA107" s="515"/>
      <c r="AB107" s="515"/>
      <c r="AC107" s="519"/>
      <c r="AD107" s="514"/>
      <c r="AE107" s="515"/>
      <c r="AF107" s="515"/>
      <c r="AG107" s="515"/>
      <c r="AH107" s="515"/>
      <c r="AI107" s="515"/>
      <c r="AJ107" s="515"/>
      <c r="AK107" s="515"/>
      <c r="AL107" s="515"/>
      <c r="AM107" s="519"/>
      <c r="AN107" s="514"/>
      <c r="AO107" s="515"/>
      <c r="AP107" s="515"/>
      <c r="AQ107" s="515"/>
      <c r="AR107" s="515"/>
      <c r="AS107" s="515"/>
      <c r="AT107" s="515"/>
      <c r="AU107" s="515"/>
      <c r="AV107" s="515"/>
      <c r="AW107" s="519"/>
      <c r="AX107" s="514"/>
      <c r="AY107" s="515"/>
      <c r="AZ107" s="515"/>
      <c r="BA107" s="515"/>
      <c r="BB107" s="515"/>
      <c r="BC107" s="515"/>
      <c r="BD107" s="515"/>
      <c r="BE107" s="515"/>
      <c r="BF107" s="515"/>
      <c r="BG107" s="519"/>
      <c r="BH107" s="56"/>
      <c r="BI107" s="56"/>
      <c r="BJ107" s="56"/>
      <c r="BK107" s="56"/>
      <c r="BL107" s="56"/>
      <c r="BM107" s="56"/>
      <c r="BN107" s="56"/>
      <c r="BO107" s="56"/>
      <c r="BP107" s="56"/>
      <c r="BQ107" s="56"/>
      <c r="BR107" s="56"/>
      <c r="BS107" s="56"/>
      <c r="BT107" s="56"/>
      <c r="BU107" s="56"/>
      <c r="BV107" s="56"/>
      <c r="BW107" s="56"/>
      <c r="BX107" s="56"/>
      <c r="BY107" s="56"/>
      <c r="BZ107" s="56"/>
      <c r="CA107" s="56"/>
      <c r="CB107" s="56"/>
      <c r="CC107" s="56"/>
      <c r="CD107" s="56"/>
      <c r="CE107" s="56"/>
      <c r="CF107" s="56"/>
      <c r="CG107" s="56"/>
      <c r="CH107" s="56"/>
      <c r="CI107" s="56"/>
      <c r="CJ107" s="56"/>
      <c r="CK107" s="56"/>
      <c r="CL107" s="56"/>
      <c r="CM107" s="56"/>
      <c r="CN107" s="56"/>
      <c r="CO107" s="56"/>
      <c r="CP107" s="56"/>
      <c r="CQ107" s="56"/>
      <c r="CR107" s="56"/>
      <c r="CS107" s="56"/>
      <c r="CT107" s="56"/>
      <c r="CU107" s="56"/>
      <c r="CV107" s="56"/>
    </row>
    <row r="108" spans="1:100" x14ac:dyDescent="0.25">
      <c r="A108" s="56"/>
      <c r="B108" s="56"/>
      <c r="C108" s="56"/>
      <c r="D108" s="56"/>
      <c r="E108" s="56"/>
      <c r="F108" s="56"/>
      <c r="G108" s="56"/>
      <c r="H108" s="56"/>
      <c r="I108" s="56"/>
      <c r="J108" s="514"/>
      <c r="K108" s="515"/>
      <c r="L108" s="515"/>
      <c r="M108" s="515"/>
      <c r="N108" s="515"/>
      <c r="O108" s="515"/>
      <c r="P108" s="515"/>
      <c r="Q108" s="515"/>
      <c r="R108" s="515"/>
      <c r="S108" s="519"/>
      <c r="T108" s="514"/>
      <c r="U108" s="515"/>
      <c r="V108" s="515"/>
      <c r="W108" s="515"/>
      <c r="X108" s="515"/>
      <c r="Y108" s="515"/>
      <c r="Z108" s="515"/>
      <c r="AA108" s="515"/>
      <c r="AB108" s="515"/>
      <c r="AC108" s="519"/>
      <c r="AD108" s="514"/>
      <c r="AE108" s="515"/>
      <c r="AF108" s="515"/>
      <c r="AG108" s="515"/>
      <c r="AH108" s="515"/>
      <c r="AI108" s="515"/>
      <c r="AJ108" s="515"/>
      <c r="AK108" s="515"/>
      <c r="AL108" s="515"/>
      <c r="AM108" s="519"/>
      <c r="AN108" s="514"/>
      <c r="AO108" s="515"/>
      <c r="AP108" s="515"/>
      <c r="AQ108" s="515"/>
      <c r="AR108" s="515"/>
      <c r="AS108" s="515"/>
      <c r="AT108" s="515"/>
      <c r="AU108" s="515"/>
      <c r="AV108" s="515"/>
      <c r="AW108" s="519"/>
      <c r="AX108" s="514"/>
      <c r="AY108" s="515"/>
      <c r="AZ108" s="515"/>
      <c r="BA108" s="515"/>
      <c r="BB108" s="515"/>
      <c r="BC108" s="515"/>
      <c r="BD108" s="515"/>
      <c r="BE108" s="515"/>
      <c r="BF108" s="515"/>
      <c r="BG108" s="519"/>
      <c r="BH108" s="56"/>
      <c r="BI108" s="56"/>
      <c r="BJ108" s="56"/>
      <c r="BK108" s="56"/>
      <c r="BL108" s="56"/>
      <c r="BM108" s="56"/>
      <c r="BN108" s="56"/>
      <c r="BO108" s="56"/>
      <c r="BP108" s="56"/>
      <c r="BQ108" s="56"/>
      <c r="BR108" s="56"/>
      <c r="BS108" s="56"/>
      <c r="BT108" s="56"/>
      <c r="BU108" s="56"/>
      <c r="BV108" s="56"/>
      <c r="BW108" s="56"/>
      <c r="BX108" s="56"/>
      <c r="BY108" s="56"/>
      <c r="BZ108" s="56"/>
      <c r="CA108" s="56"/>
      <c r="CB108" s="56"/>
      <c r="CC108" s="56"/>
      <c r="CD108" s="56"/>
      <c r="CE108" s="56"/>
      <c r="CF108" s="56"/>
      <c r="CG108" s="56"/>
      <c r="CH108" s="56"/>
      <c r="CI108" s="56"/>
      <c r="CJ108" s="56"/>
      <c r="CK108" s="56"/>
      <c r="CL108" s="56"/>
      <c r="CM108" s="56"/>
      <c r="CN108" s="56"/>
      <c r="CO108" s="56"/>
      <c r="CP108" s="56"/>
      <c r="CQ108" s="56"/>
      <c r="CR108" s="56"/>
      <c r="CS108" s="56"/>
      <c r="CT108" s="56"/>
      <c r="CU108" s="56"/>
      <c r="CV108" s="56"/>
    </row>
    <row r="109" spans="1:100" x14ac:dyDescent="0.25">
      <c r="A109" s="56"/>
      <c r="B109" s="56"/>
      <c r="C109" s="56"/>
      <c r="D109" s="56"/>
      <c r="E109" s="56"/>
      <c r="F109" s="56"/>
      <c r="G109" s="56"/>
      <c r="H109" s="56"/>
      <c r="I109" s="56"/>
      <c r="J109" s="514"/>
      <c r="K109" s="515"/>
      <c r="L109" s="515"/>
      <c r="M109" s="515"/>
      <c r="N109" s="515"/>
      <c r="O109" s="515"/>
      <c r="P109" s="515"/>
      <c r="Q109" s="515"/>
      <c r="R109" s="515"/>
      <c r="S109" s="519"/>
      <c r="T109" s="514"/>
      <c r="U109" s="515"/>
      <c r="V109" s="515"/>
      <c r="W109" s="515"/>
      <c r="X109" s="515"/>
      <c r="Y109" s="515"/>
      <c r="Z109" s="515"/>
      <c r="AA109" s="515"/>
      <c r="AB109" s="515"/>
      <c r="AC109" s="519"/>
      <c r="AD109" s="514"/>
      <c r="AE109" s="515"/>
      <c r="AF109" s="515"/>
      <c r="AG109" s="515"/>
      <c r="AH109" s="515"/>
      <c r="AI109" s="515"/>
      <c r="AJ109" s="515"/>
      <c r="AK109" s="515"/>
      <c r="AL109" s="515"/>
      <c r="AM109" s="519"/>
      <c r="AN109" s="514"/>
      <c r="AO109" s="515"/>
      <c r="AP109" s="515"/>
      <c r="AQ109" s="515"/>
      <c r="AR109" s="515"/>
      <c r="AS109" s="515"/>
      <c r="AT109" s="515"/>
      <c r="AU109" s="515"/>
      <c r="AV109" s="515"/>
      <c r="AW109" s="519"/>
      <c r="AX109" s="514"/>
      <c r="AY109" s="515"/>
      <c r="AZ109" s="515"/>
      <c r="BA109" s="515"/>
      <c r="BB109" s="515"/>
      <c r="BC109" s="515"/>
      <c r="BD109" s="515"/>
      <c r="BE109" s="515"/>
      <c r="BF109" s="515"/>
      <c r="BG109" s="519"/>
      <c r="BH109" s="56"/>
      <c r="BI109" s="56"/>
      <c r="BJ109" s="56"/>
      <c r="BK109" s="56"/>
      <c r="BL109" s="56"/>
      <c r="BM109" s="56"/>
      <c r="BN109" s="56"/>
      <c r="BO109" s="56"/>
      <c r="BP109" s="56"/>
      <c r="BQ109" s="56"/>
      <c r="BR109" s="56"/>
      <c r="BS109" s="56"/>
      <c r="BT109" s="56"/>
      <c r="BU109" s="56"/>
      <c r="BV109" s="56"/>
      <c r="BW109" s="56"/>
      <c r="BX109" s="56"/>
      <c r="BY109" s="56"/>
      <c r="BZ109" s="56"/>
      <c r="CA109" s="56"/>
      <c r="CB109" s="56"/>
      <c r="CC109" s="56"/>
      <c r="CD109" s="56"/>
      <c r="CE109" s="56"/>
      <c r="CF109" s="56"/>
      <c r="CG109" s="56"/>
      <c r="CH109" s="56"/>
      <c r="CI109" s="56"/>
      <c r="CJ109" s="56"/>
      <c r="CK109" s="56"/>
      <c r="CL109" s="56"/>
      <c r="CM109" s="56"/>
      <c r="CN109" s="56"/>
      <c r="CO109" s="56"/>
      <c r="CP109" s="56"/>
      <c r="CQ109" s="56"/>
      <c r="CR109" s="56"/>
      <c r="CS109" s="56"/>
      <c r="CT109" s="56"/>
      <c r="CU109" s="56"/>
      <c r="CV109" s="56"/>
    </row>
    <row r="110" spans="1:100" x14ac:dyDescent="0.25">
      <c r="A110" s="56"/>
      <c r="B110" s="56"/>
      <c r="C110" s="56"/>
      <c r="D110" s="56"/>
      <c r="E110" s="56"/>
      <c r="F110" s="56"/>
      <c r="G110" s="56"/>
      <c r="H110" s="56"/>
      <c r="I110" s="56"/>
      <c r="J110" s="514"/>
      <c r="K110" s="515"/>
      <c r="L110" s="515"/>
      <c r="M110" s="515"/>
      <c r="N110" s="515"/>
      <c r="O110" s="515"/>
      <c r="P110" s="515"/>
      <c r="Q110" s="515"/>
      <c r="R110" s="515"/>
      <c r="S110" s="519"/>
      <c r="T110" s="514"/>
      <c r="U110" s="515"/>
      <c r="V110" s="515"/>
      <c r="W110" s="515"/>
      <c r="X110" s="515"/>
      <c r="Y110" s="515"/>
      <c r="Z110" s="515"/>
      <c r="AA110" s="515"/>
      <c r="AB110" s="515"/>
      <c r="AC110" s="519"/>
      <c r="AD110" s="514"/>
      <c r="AE110" s="515"/>
      <c r="AF110" s="515"/>
      <c r="AG110" s="515"/>
      <c r="AH110" s="515"/>
      <c r="AI110" s="515"/>
      <c r="AJ110" s="515"/>
      <c r="AK110" s="515"/>
      <c r="AL110" s="515"/>
      <c r="AM110" s="519"/>
      <c r="AN110" s="514"/>
      <c r="AO110" s="515"/>
      <c r="AP110" s="515"/>
      <c r="AQ110" s="515"/>
      <c r="AR110" s="515"/>
      <c r="AS110" s="515"/>
      <c r="AT110" s="515"/>
      <c r="AU110" s="515"/>
      <c r="AV110" s="515"/>
      <c r="AW110" s="519"/>
      <c r="AX110" s="514"/>
      <c r="AY110" s="515"/>
      <c r="AZ110" s="515"/>
      <c r="BA110" s="515"/>
      <c r="BB110" s="515"/>
      <c r="BC110" s="515"/>
      <c r="BD110" s="515"/>
      <c r="BE110" s="515"/>
      <c r="BF110" s="515"/>
      <c r="BG110" s="519"/>
      <c r="BH110" s="56"/>
      <c r="BI110" s="56"/>
      <c r="BJ110" s="56"/>
      <c r="BK110" s="56"/>
      <c r="BL110" s="56"/>
      <c r="BM110" s="56"/>
      <c r="BN110" s="56"/>
      <c r="BO110" s="56"/>
      <c r="BP110" s="56"/>
      <c r="BQ110" s="56"/>
      <c r="BR110" s="56"/>
      <c r="BS110" s="56"/>
      <c r="BT110" s="56"/>
      <c r="BU110" s="56"/>
      <c r="BV110" s="56"/>
      <c r="BW110" s="56"/>
      <c r="BX110" s="56"/>
      <c r="BY110" s="56"/>
      <c r="BZ110" s="56"/>
      <c r="CA110" s="56"/>
      <c r="CB110" s="56"/>
      <c r="CC110" s="56"/>
      <c r="CD110" s="56"/>
      <c r="CE110" s="56"/>
      <c r="CF110" s="56"/>
      <c r="CG110" s="56"/>
      <c r="CH110" s="56"/>
      <c r="CI110" s="56"/>
      <c r="CJ110" s="56"/>
      <c r="CK110" s="56"/>
      <c r="CL110" s="56"/>
      <c r="CM110" s="56"/>
      <c r="CN110" s="56"/>
      <c r="CO110" s="56"/>
      <c r="CP110" s="56"/>
      <c r="CQ110" s="56"/>
      <c r="CR110" s="56"/>
      <c r="CS110" s="56"/>
      <c r="CT110" s="56"/>
      <c r="CU110" s="56"/>
      <c r="CV110" s="56"/>
    </row>
    <row r="111" spans="1:100" ht="15.75" thickBot="1" x14ac:dyDescent="0.3">
      <c r="A111" s="56"/>
      <c r="B111" s="56"/>
      <c r="C111" s="56"/>
      <c r="D111" s="56"/>
      <c r="E111" s="56"/>
      <c r="F111" s="56"/>
      <c r="G111" s="56"/>
      <c r="H111" s="56"/>
      <c r="I111" s="56"/>
      <c r="J111" s="516"/>
      <c r="K111" s="517"/>
      <c r="L111" s="517"/>
      <c r="M111" s="517"/>
      <c r="N111" s="517"/>
      <c r="O111" s="517"/>
      <c r="P111" s="517"/>
      <c r="Q111" s="517"/>
      <c r="R111" s="517"/>
      <c r="S111" s="520"/>
      <c r="T111" s="516"/>
      <c r="U111" s="517"/>
      <c r="V111" s="517"/>
      <c r="W111" s="517"/>
      <c r="X111" s="517"/>
      <c r="Y111" s="517"/>
      <c r="Z111" s="517"/>
      <c r="AA111" s="517"/>
      <c r="AB111" s="517"/>
      <c r="AC111" s="520"/>
      <c r="AD111" s="516"/>
      <c r="AE111" s="517"/>
      <c r="AF111" s="517"/>
      <c r="AG111" s="517"/>
      <c r="AH111" s="517"/>
      <c r="AI111" s="517"/>
      <c r="AJ111" s="517"/>
      <c r="AK111" s="517"/>
      <c r="AL111" s="517"/>
      <c r="AM111" s="520"/>
      <c r="AN111" s="516"/>
      <c r="AO111" s="517"/>
      <c r="AP111" s="517"/>
      <c r="AQ111" s="517"/>
      <c r="AR111" s="517"/>
      <c r="AS111" s="517"/>
      <c r="AT111" s="517"/>
      <c r="AU111" s="517"/>
      <c r="AV111" s="517"/>
      <c r="AW111" s="520"/>
      <c r="AX111" s="516"/>
      <c r="AY111" s="517"/>
      <c r="AZ111" s="517"/>
      <c r="BA111" s="517"/>
      <c r="BB111" s="517"/>
      <c r="BC111" s="517"/>
      <c r="BD111" s="517"/>
      <c r="BE111" s="517"/>
      <c r="BF111" s="517"/>
      <c r="BG111" s="520"/>
      <c r="BH111" s="56"/>
      <c r="BI111" s="56"/>
      <c r="BJ111" s="56"/>
      <c r="BK111" s="56"/>
      <c r="BL111" s="56"/>
      <c r="BM111" s="56"/>
      <c r="BN111" s="56"/>
      <c r="BO111" s="56"/>
      <c r="BP111" s="56"/>
      <c r="BQ111" s="56"/>
      <c r="BR111" s="56"/>
      <c r="BS111" s="56"/>
      <c r="BT111" s="56"/>
      <c r="BU111" s="56"/>
      <c r="BV111" s="56"/>
      <c r="BW111" s="56"/>
      <c r="BX111" s="56"/>
      <c r="BY111" s="56"/>
      <c r="BZ111" s="56"/>
      <c r="CA111" s="56"/>
      <c r="CB111" s="56"/>
      <c r="CC111" s="56"/>
      <c r="CD111" s="56"/>
      <c r="CE111" s="56"/>
      <c r="CF111" s="56"/>
      <c r="CG111" s="56"/>
      <c r="CH111" s="56"/>
      <c r="CI111" s="56"/>
      <c r="CJ111" s="56"/>
      <c r="CK111" s="56"/>
      <c r="CL111" s="56"/>
      <c r="CM111" s="56"/>
      <c r="CN111" s="56"/>
      <c r="CO111" s="56"/>
      <c r="CP111" s="56"/>
      <c r="CQ111" s="56"/>
      <c r="CR111" s="56"/>
      <c r="CS111" s="56"/>
      <c r="CT111" s="56"/>
      <c r="CU111" s="56"/>
      <c r="CV111" s="56"/>
    </row>
    <row r="112" spans="1:100" x14ac:dyDescent="0.25">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6"/>
      <c r="BQ112" s="56"/>
      <c r="BR112" s="56"/>
      <c r="BS112" s="56"/>
      <c r="BT112" s="56"/>
      <c r="BU112" s="56"/>
      <c r="BV112" s="56"/>
      <c r="BW112" s="56"/>
      <c r="BX112" s="56"/>
      <c r="BY112" s="56"/>
      <c r="BZ112" s="56"/>
      <c r="CA112" s="56"/>
      <c r="CB112" s="56"/>
      <c r="CC112" s="56"/>
      <c r="CD112" s="56"/>
      <c r="CE112" s="56"/>
      <c r="CF112" s="56"/>
      <c r="CG112" s="56"/>
      <c r="CH112" s="56"/>
      <c r="CI112" s="56"/>
      <c r="CJ112" s="56"/>
      <c r="CK112" s="56"/>
      <c r="CL112" s="56"/>
      <c r="CM112" s="56"/>
      <c r="CN112" s="56"/>
      <c r="CO112" s="56"/>
      <c r="CP112" s="56"/>
      <c r="CQ112" s="56"/>
      <c r="CR112" s="56"/>
      <c r="CS112" s="56"/>
      <c r="CT112" s="56"/>
      <c r="CU112" s="56"/>
      <c r="CV112" s="56"/>
    </row>
    <row r="113" spans="1:100" ht="15" customHeight="1" x14ac:dyDescent="0.25">
      <c r="A113" s="56"/>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56"/>
      <c r="BJ113" s="56"/>
      <c r="BK113" s="56"/>
      <c r="BL113" s="56"/>
      <c r="BM113" s="56"/>
      <c r="BN113" s="56"/>
      <c r="BO113" s="56"/>
      <c r="BP113" s="56"/>
      <c r="BQ113" s="56"/>
      <c r="BR113" s="56"/>
      <c r="BS113" s="56"/>
      <c r="BT113" s="56"/>
      <c r="BU113" s="56"/>
      <c r="BV113" s="56"/>
      <c r="BW113" s="56"/>
      <c r="BX113" s="56"/>
      <c r="BY113" s="56"/>
      <c r="BZ113" s="56"/>
      <c r="CA113" s="56"/>
      <c r="CB113" s="56"/>
      <c r="CC113" s="56"/>
      <c r="CD113" s="56"/>
      <c r="CE113" s="56"/>
      <c r="CF113" s="56"/>
      <c r="CG113" s="56"/>
      <c r="CH113" s="56"/>
      <c r="CI113" s="56"/>
      <c r="CJ113" s="56"/>
      <c r="CK113" s="56"/>
      <c r="CL113" s="56"/>
      <c r="CM113" s="56"/>
      <c r="CN113" s="56"/>
      <c r="CO113" s="56"/>
      <c r="CP113" s="56"/>
      <c r="CQ113" s="56"/>
      <c r="CR113" s="56"/>
      <c r="CS113" s="56"/>
      <c r="CT113" s="56"/>
      <c r="CU113" s="56"/>
      <c r="CV113" s="56"/>
    </row>
    <row r="114" spans="1:100" ht="15" customHeight="1" x14ac:dyDescent="0.25">
      <c r="A114" s="56"/>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56"/>
      <c r="BJ114" s="56"/>
      <c r="BK114" s="56"/>
      <c r="BL114" s="56"/>
      <c r="BM114" s="56"/>
      <c r="BN114" s="56"/>
      <c r="BO114" s="56"/>
      <c r="BP114" s="56"/>
      <c r="BQ114" s="56"/>
      <c r="BR114" s="56"/>
      <c r="BS114" s="56"/>
      <c r="BT114" s="56"/>
      <c r="BU114" s="56"/>
      <c r="BV114" s="56"/>
      <c r="BW114" s="56"/>
      <c r="BX114" s="56"/>
      <c r="BY114" s="56"/>
      <c r="BZ114" s="56"/>
      <c r="CA114" s="56"/>
      <c r="CB114" s="56"/>
      <c r="CC114" s="56"/>
      <c r="CD114" s="56"/>
      <c r="CE114" s="56"/>
      <c r="CF114" s="56"/>
      <c r="CG114" s="56"/>
      <c r="CH114" s="56"/>
      <c r="CI114" s="56"/>
      <c r="CJ114" s="56"/>
      <c r="CK114" s="56"/>
      <c r="CL114" s="56"/>
      <c r="CM114" s="56"/>
      <c r="CN114" s="56"/>
      <c r="CO114" s="56"/>
      <c r="CP114" s="56"/>
      <c r="CQ114" s="56"/>
      <c r="CR114" s="56"/>
      <c r="CS114" s="56"/>
      <c r="CT114" s="56"/>
      <c r="CU114" s="56"/>
      <c r="CV114" s="56"/>
    </row>
    <row r="115" spans="1:100" x14ac:dyDescent="0.25">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c r="BJ115" s="56"/>
      <c r="BK115" s="56"/>
      <c r="BL115" s="56"/>
      <c r="BM115" s="56"/>
      <c r="BN115" s="56"/>
      <c r="BO115" s="56"/>
      <c r="BP115" s="56"/>
      <c r="BQ115" s="56"/>
      <c r="BR115" s="56"/>
      <c r="BS115" s="56"/>
      <c r="BT115" s="56"/>
      <c r="BU115" s="56"/>
      <c r="BV115" s="56"/>
      <c r="BW115" s="56"/>
      <c r="BX115" s="56"/>
      <c r="BY115" s="56"/>
      <c r="BZ115" s="56"/>
      <c r="CA115" s="56"/>
      <c r="CB115" s="56"/>
      <c r="CC115" s="56"/>
      <c r="CD115" s="56"/>
      <c r="CE115" s="56"/>
      <c r="CF115" s="56"/>
      <c r="CG115" s="56"/>
      <c r="CH115" s="56"/>
      <c r="CI115" s="56"/>
      <c r="CJ115" s="56"/>
      <c r="CK115" s="56"/>
      <c r="CL115" s="56"/>
      <c r="CM115" s="56"/>
      <c r="CN115" s="56"/>
      <c r="CO115" s="56"/>
      <c r="CP115" s="56"/>
      <c r="CQ115" s="56"/>
      <c r="CR115" s="56"/>
      <c r="CS115" s="56"/>
      <c r="CT115" s="56"/>
      <c r="CU115" s="56"/>
      <c r="CV115" s="56"/>
    </row>
    <row r="116" spans="1:100" x14ac:dyDescent="0.25">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6"/>
      <c r="BX116" s="56"/>
      <c r="BY116" s="56"/>
      <c r="BZ116" s="56"/>
      <c r="CA116" s="56"/>
      <c r="CB116" s="56"/>
      <c r="CC116" s="56"/>
      <c r="CD116" s="56"/>
      <c r="CE116" s="56"/>
      <c r="CF116" s="56"/>
      <c r="CG116" s="56"/>
      <c r="CH116" s="56"/>
      <c r="CI116" s="56"/>
      <c r="CJ116" s="56"/>
      <c r="CK116" s="56"/>
      <c r="CL116" s="56"/>
      <c r="CM116" s="56"/>
      <c r="CN116" s="56"/>
      <c r="CO116" s="56"/>
      <c r="CP116" s="56"/>
      <c r="CQ116" s="56"/>
      <c r="CR116" s="56"/>
      <c r="CS116" s="56"/>
      <c r="CT116" s="56"/>
      <c r="CU116" s="56"/>
      <c r="CV116" s="56"/>
    </row>
    <row r="117" spans="1:100" x14ac:dyDescent="0.25">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c r="BL117" s="56"/>
      <c r="BM117" s="56"/>
      <c r="BN117" s="56"/>
      <c r="BO117" s="56"/>
      <c r="BP117" s="56"/>
      <c r="BQ117" s="56"/>
      <c r="BR117" s="56"/>
      <c r="BS117" s="56"/>
      <c r="BT117" s="56"/>
      <c r="BU117" s="56"/>
      <c r="BV117" s="56"/>
      <c r="BW117" s="56"/>
      <c r="BX117" s="56"/>
      <c r="BY117" s="56"/>
      <c r="BZ117" s="56"/>
      <c r="CA117" s="56"/>
      <c r="CB117" s="56"/>
      <c r="CC117" s="56"/>
      <c r="CD117" s="56"/>
      <c r="CE117" s="56"/>
      <c r="CF117" s="56"/>
      <c r="CG117" s="56"/>
      <c r="CH117" s="56"/>
      <c r="CI117" s="56"/>
      <c r="CJ117" s="56"/>
      <c r="CK117" s="56"/>
      <c r="CL117" s="56"/>
      <c r="CM117" s="56"/>
      <c r="CN117" s="56"/>
      <c r="CO117" s="56"/>
      <c r="CP117" s="56"/>
      <c r="CQ117" s="56"/>
      <c r="CR117" s="56"/>
      <c r="CS117" s="56"/>
      <c r="CT117" s="56"/>
      <c r="CU117" s="56"/>
      <c r="CV117" s="56"/>
    </row>
    <row r="118" spans="1:100" x14ac:dyDescent="0.25">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c r="BJ118" s="56"/>
      <c r="BK118" s="56"/>
      <c r="BL118" s="56"/>
      <c r="BM118" s="56"/>
      <c r="BN118" s="56"/>
      <c r="BO118" s="56"/>
      <c r="BP118" s="56"/>
      <c r="BQ118" s="56"/>
      <c r="BR118" s="56"/>
      <c r="BS118" s="56"/>
      <c r="BT118" s="56"/>
      <c r="BU118" s="56"/>
      <c r="BV118" s="56"/>
      <c r="BW118" s="56"/>
      <c r="BX118" s="56"/>
      <c r="BY118" s="56"/>
      <c r="BZ118" s="56"/>
      <c r="CA118" s="56"/>
      <c r="CB118" s="56"/>
      <c r="CC118" s="56"/>
      <c r="CD118" s="56"/>
      <c r="CE118" s="56"/>
      <c r="CF118" s="56"/>
      <c r="CG118" s="56"/>
      <c r="CH118" s="56"/>
      <c r="CI118" s="56"/>
      <c r="CJ118" s="56"/>
      <c r="CK118" s="56"/>
      <c r="CL118" s="56"/>
      <c r="CM118" s="56"/>
      <c r="CN118" s="56"/>
      <c r="CO118" s="56"/>
      <c r="CP118" s="56"/>
      <c r="CQ118" s="56"/>
      <c r="CR118" s="56"/>
      <c r="CS118" s="56"/>
      <c r="CT118" s="56"/>
      <c r="CU118" s="56"/>
      <c r="CV118" s="56"/>
    </row>
    <row r="119" spans="1:100" x14ac:dyDescent="0.25">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c r="BJ119" s="56"/>
      <c r="BK119" s="56"/>
      <c r="BL119" s="56"/>
      <c r="BM119" s="56"/>
      <c r="BN119" s="56"/>
      <c r="BO119" s="56"/>
      <c r="BP119" s="56"/>
      <c r="BQ119" s="56"/>
      <c r="BR119" s="56"/>
      <c r="BS119" s="56"/>
      <c r="BT119" s="56"/>
      <c r="BU119" s="56"/>
      <c r="BV119" s="56"/>
      <c r="BW119" s="56"/>
      <c r="BX119" s="56"/>
      <c r="BY119" s="56"/>
      <c r="BZ119" s="56"/>
      <c r="CA119" s="56"/>
      <c r="CB119" s="56"/>
      <c r="CC119" s="56"/>
      <c r="CD119" s="56"/>
      <c r="CE119" s="56"/>
      <c r="CF119" s="56"/>
      <c r="CG119" s="56"/>
      <c r="CH119" s="56"/>
      <c r="CI119" s="56"/>
      <c r="CJ119" s="56"/>
      <c r="CK119" s="56"/>
      <c r="CL119" s="56"/>
      <c r="CM119" s="56"/>
      <c r="CN119" s="56"/>
      <c r="CO119" s="56"/>
      <c r="CP119" s="56"/>
      <c r="CQ119" s="56"/>
      <c r="CR119" s="56"/>
      <c r="CS119" s="56"/>
      <c r="CT119" s="56"/>
      <c r="CU119" s="56"/>
      <c r="CV119" s="56"/>
    </row>
    <row r="120" spans="1:100" x14ac:dyDescent="0.25">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56"/>
      <c r="BL120" s="56"/>
      <c r="BM120" s="56"/>
      <c r="BN120" s="56"/>
      <c r="BO120" s="56"/>
      <c r="BP120" s="56"/>
      <c r="BQ120" s="56"/>
      <c r="BR120" s="56"/>
      <c r="BS120" s="56"/>
      <c r="BT120" s="56"/>
      <c r="BU120" s="56"/>
      <c r="BV120" s="56"/>
      <c r="BW120" s="56"/>
      <c r="BX120" s="56"/>
      <c r="BY120" s="56"/>
      <c r="BZ120" s="56"/>
      <c r="CA120" s="56"/>
      <c r="CB120" s="56"/>
      <c r="CC120" s="56"/>
      <c r="CD120" s="56"/>
      <c r="CE120" s="56"/>
      <c r="CF120" s="56"/>
      <c r="CG120" s="56"/>
      <c r="CH120" s="56"/>
      <c r="CI120" s="56"/>
      <c r="CJ120" s="56"/>
      <c r="CK120" s="56"/>
      <c r="CL120" s="56"/>
      <c r="CM120" s="56"/>
      <c r="CN120" s="56"/>
      <c r="CO120" s="56"/>
      <c r="CP120" s="56"/>
      <c r="CQ120" s="56"/>
      <c r="CR120" s="56"/>
      <c r="CS120" s="56"/>
      <c r="CT120" s="56"/>
      <c r="CU120" s="56"/>
      <c r="CV120" s="56"/>
    </row>
    <row r="121" spans="1:100" ht="21" x14ac:dyDescent="0.25">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60"/>
      <c r="BJ121" s="60"/>
      <c r="BK121" s="60"/>
      <c r="BL121" s="60"/>
      <c r="BM121" s="60"/>
      <c r="BN121" s="60"/>
      <c r="BO121" s="56"/>
      <c r="BP121" s="56"/>
      <c r="BQ121" s="56"/>
      <c r="BR121" s="56"/>
      <c r="BS121" s="56"/>
      <c r="BT121" s="56"/>
      <c r="BU121" s="56"/>
      <c r="BV121" s="56"/>
      <c r="BW121" s="56"/>
      <c r="BX121" s="56"/>
      <c r="BY121" s="56"/>
      <c r="BZ121" s="56"/>
      <c r="CA121" s="56"/>
      <c r="CB121" s="56"/>
      <c r="CC121" s="56"/>
      <c r="CD121" s="56"/>
      <c r="CE121" s="56"/>
      <c r="CF121" s="56"/>
      <c r="CG121" s="56"/>
      <c r="CH121" s="56"/>
      <c r="CI121" s="56"/>
      <c r="CJ121" s="56"/>
      <c r="CK121" s="56"/>
      <c r="CL121" s="56"/>
      <c r="CM121" s="56"/>
      <c r="CN121" s="56"/>
      <c r="CO121" s="56"/>
      <c r="CP121" s="56"/>
      <c r="CQ121" s="56"/>
      <c r="CR121" s="56"/>
      <c r="CS121" s="56"/>
      <c r="CT121" s="56"/>
      <c r="CU121" s="56"/>
      <c r="CV121" s="56"/>
    </row>
    <row r="122" spans="1:100" ht="21" x14ac:dyDescent="0.25">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60"/>
      <c r="BJ122" s="60"/>
      <c r="BK122" s="60"/>
      <c r="BL122" s="60"/>
      <c r="BM122" s="60"/>
      <c r="BN122" s="60"/>
      <c r="BO122" s="56"/>
      <c r="BP122" s="56"/>
      <c r="BQ122" s="56"/>
      <c r="BR122" s="56"/>
      <c r="BS122" s="56"/>
      <c r="BT122" s="56"/>
      <c r="BU122" s="56"/>
      <c r="BV122" s="56"/>
      <c r="BW122" s="56"/>
      <c r="BX122" s="56"/>
      <c r="BY122" s="56"/>
      <c r="BZ122" s="56"/>
      <c r="CA122" s="56"/>
      <c r="CB122" s="56"/>
      <c r="CC122" s="56"/>
      <c r="CD122" s="56"/>
      <c r="CE122" s="56"/>
      <c r="CF122" s="56"/>
      <c r="CG122" s="56"/>
      <c r="CH122" s="56"/>
      <c r="CI122" s="56"/>
      <c r="CJ122" s="56"/>
      <c r="CK122" s="56"/>
      <c r="CL122" s="56"/>
      <c r="CM122" s="56"/>
      <c r="CN122" s="56"/>
      <c r="CO122" s="56"/>
      <c r="CP122" s="56"/>
      <c r="CQ122" s="56"/>
      <c r="CR122" s="56"/>
      <c r="CS122" s="56"/>
      <c r="CT122" s="56"/>
      <c r="CU122" s="56"/>
      <c r="CV122" s="56"/>
    </row>
    <row r="123" spans="1:100" x14ac:dyDescent="0.25">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6"/>
      <c r="BS123" s="56"/>
      <c r="BT123" s="56"/>
      <c r="BU123" s="56"/>
      <c r="BV123" s="56"/>
      <c r="BW123" s="56"/>
      <c r="BX123" s="56"/>
      <c r="BY123" s="56"/>
      <c r="BZ123" s="56"/>
      <c r="CA123" s="56"/>
      <c r="CB123" s="56"/>
      <c r="CC123" s="56"/>
      <c r="CD123" s="56"/>
      <c r="CE123" s="56"/>
      <c r="CF123" s="56"/>
      <c r="CG123" s="56"/>
      <c r="CH123" s="56"/>
      <c r="CI123" s="56"/>
      <c r="CJ123" s="56"/>
      <c r="CK123" s="56"/>
      <c r="CL123" s="56"/>
      <c r="CM123" s="56"/>
      <c r="CN123" s="56"/>
      <c r="CO123" s="56"/>
      <c r="CP123" s="56"/>
      <c r="CQ123" s="56"/>
      <c r="CR123" s="56"/>
      <c r="CS123" s="56"/>
      <c r="CT123" s="56"/>
      <c r="CU123" s="56"/>
      <c r="CV123" s="56"/>
    </row>
    <row r="124" spans="1:100" x14ac:dyDescent="0.25">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6"/>
      <c r="BQ124" s="56"/>
      <c r="BR124" s="56"/>
      <c r="BS124" s="56"/>
      <c r="BT124" s="56"/>
      <c r="BU124" s="56"/>
      <c r="BV124" s="56"/>
      <c r="BW124" s="56"/>
      <c r="BX124" s="56"/>
      <c r="BY124" s="56"/>
      <c r="BZ124" s="56"/>
      <c r="CA124" s="56"/>
      <c r="CB124" s="56"/>
      <c r="CC124" s="56"/>
      <c r="CD124" s="56"/>
      <c r="CE124" s="56"/>
      <c r="CF124" s="56"/>
      <c r="CG124" s="56"/>
      <c r="CH124" s="56"/>
      <c r="CI124" s="56"/>
      <c r="CJ124" s="56"/>
      <c r="CK124" s="56"/>
      <c r="CL124" s="56"/>
      <c r="CM124" s="56"/>
      <c r="CN124" s="56"/>
      <c r="CO124" s="56"/>
      <c r="CP124" s="56"/>
      <c r="CQ124" s="56"/>
      <c r="CR124" s="56"/>
      <c r="CS124" s="56"/>
      <c r="CT124" s="56"/>
      <c r="CU124" s="56"/>
      <c r="CV124" s="56"/>
    </row>
    <row r="125" spans="1:100" x14ac:dyDescent="0.25">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6"/>
      <c r="BQ125" s="56"/>
      <c r="BR125" s="56"/>
      <c r="BS125" s="56"/>
      <c r="BT125" s="56"/>
      <c r="BU125" s="56"/>
      <c r="BV125" s="56"/>
      <c r="BW125" s="56"/>
      <c r="BX125" s="56"/>
      <c r="BY125" s="56"/>
      <c r="BZ125" s="56"/>
      <c r="CA125" s="56"/>
      <c r="CB125" s="56"/>
      <c r="CC125" s="56"/>
      <c r="CD125" s="56"/>
      <c r="CE125" s="56"/>
      <c r="CF125" s="56"/>
      <c r="CG125" s="56"/>
      <c r="CH125" s="56"/>
      <c r="CI125" s="56"/>
      <c r="CJ125" s="56"/>
      <c r="CK125" s="56"/>
      <c r="CL125" s="56"/>
      <c r="CM125" s="56"/>
      <c r="CN125" s="56"/>
      <c r="CO125" s="56"/>
      <c r="CP125" s="56"/>
      <c r="CQ125" s="56"/>
      <c r="CR125" s="56"/>
      <c r="CS125" s="56"/>
      <c r="CT125" s="56"/>
      <c r="CU125" s="56"/>
      <c r="CV125" s="56"/>
    </row>
    <row r="126" spans="1:100" x14ac:dyDescent="0.25">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56"/>
      <c r="CE126" s="56"/>
      <c r="CF126" s="56"/>
      <c r="CG126" s="56"/>
      <c r="CH126" s="56"/>
      <c r="CI126" s="56"/>
      <c r="CJ126" s="56"/>
      <c r="CK126" s="56"/>
      <c r="CL126" s="56"/>
      <c r="CM126" s="56"/>
      <c r="CN126" s="56"/>
      <c r="CO126" s="56"/>
      <c r="CP126" s="56"/>
      <c r="CQ126" s="56"/>
      <c r="CR126" s="56"/>
      <c r="CS126" s="56"/>
      <c r="CT126" s="56"/>
      <c r="CU126" s="56"/>
      <c r="CV126" s="56"/>
    </row>
    <row r="127" spans="1:100" x14ac:dyDescent="0.25">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c r="BQ127" s="56"/>
      <c r="BR127" s="56"/>
      <c r="BS127" s="56"/>
      <c r="BT127" s="56"/>
      <c r="BU127" s="56"/>
      <c r="BV127" s="56"/>
      <c r="BW127" s="56"/>
      <c r="BX127" s="56"/>
      <c r="BY127" s="56"/>
      <c r="BZ127" s="56"/>
      <c r="CA127" s="56"/>
      <c r="CB127" s="56"/>
      <c r="CC127" s="56"/>
      <c r="CD127" s="56"/>
      <c r="CE127" s="56"/>
      <c r="CF127" s="56"/>
      <c r="CG127" s="56"/>
      <c r="CH127" s="56"/>
      <c r="CI127" s="56"/>
      <c r="CJ127" s="56"/>
      <c r="CK127" s="56"/>
      <c r="CL127" s="56"/>
      <c r="CM127" s="56"/>
      <c r="CN127" s="56"/>
      <c r="CO127" s="56"/>
      <c r="CP127" s="56"/>
      <c r="CQ127" s="56"/>
      <c r="CR127" s="56"/>
      <c r="CS127" s="56"/>
      <c r="CT127" s="56"/>
      <c r="CU127" s="56"/>
      <c r="CV127" s="56"/>
    </row>
    <row r="128" spans="1:100" x14ac:dyDescent="0.25">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c r="BJ128" s="56"/>
      <c r="BK128" s="56"/>
      <c r="BL128" s="56"/>
      <c r="BM128" s="56"/>
      <c r="BN128" s="56"/>
      <c r="BO128" s="56"/>
      <c r="BP128" s="56"/>
      <c r="BQ128" s="56"/>
      <c r="BR128" s="56"/>
      <c r="BS128" s="56"/>
      <c r="BT128" s="56"/>
      <c r="BU128" s="56"/>
      <c r="BV128" s="56"/>
      <c r="BW128" s="56"/>
      <c r="BX128" s="56"/>
      <c r="BY128" s="56"/>
      <c r="BZ128" s="56"/>
      <c r="CA128" s="56"/>
      <c r="CB128" s="56"/>
      <c r="CC128" s="56"/>
      <c r="CD128" s="56"/>
      <c r="CE128" s="56"/>
      <c r="CF128" s="56"/>
      <c r="CG128" s="56"/>
      <c r="CH128" s="56"/>
      <c r="CI128" s="56"/>
      <c r="CJ128" s="56"/>
      <c r="CK128" s="56"/>
      <c r="CL128" s="56"/>
      <c r="CM128" s="56"/>
      <c r="CN128" s="56"/>
      <c r="CO128" s="56"/>
      <c r="CP128" s="56"/>
      <c r="CQ128" s="56"/>
      <c r="CR128" s="56"/>
      <c r="CS128" s="56"/>
      <c r="CT128" s="56"/>
      <c r="CU128" s="56"/>
      <c r="CV128" s="56"/>
    </row>
    <row r="129" spans="1:100" x14ac:dyDescent="0.25">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c r="BJ129" s="56"/>
      <c r="BK129" s="56"/>
      <c r="BL129" s="56"/>
      <c r="BM129" s="56"/>
      <c r="BN129" s="56"/>
      <c r="BO129" s="56"/>
      <c r="BP129" s="56"/>
      <c r="BQ129" s="56"/>
      <c r="BR129" s="56"/>
      <c r="BS129" s="56"/>
      <c r="BT129" s="56"/>
      <c r="BU129" s="56"/>
      <c r="BV129" s="56"/>
      <c r="BW129" s="56"/>
      <c r="BX129" s="56"/>
      <c r="BY129" s="56"/>
      <c r="BZ129" s="56"/>
      <c r="CA129" s="56"/>
      <c r="CB129" s="56"/>
      <c r="CC129" s="56"/>
      <c r="CD129" s="56"/>
      <c r="CE129" s="56"/>
      <c r="CF129" s="56"/>
      <c r="CG129" s="56"/>
      <c r="CH129" s="56"/>
      <c r="CI129" s="56"/>
      <c r="CJ129" s="56"/>
      <c r="CK129" s="56"/>
      <c r="CL129" s="56"/>
      <c r="CM129" s="56"/>
      <c r="CN129" s="56"/>
      <c r="CO129" s="56"/>
      <c r="CP129" s="56"/>
      <c r="CQ129" s="56"/>
      <c r="CR129" s="56"/>
      <c r="CS129" s="56"/>
      <c r="CT129" s="56"/>
      <c r="CU129" s="56"/>
      <c r="CV129" s="56"/>
    </row>
    <row r="130" spans="1:100" x14ac:dyDescent="0.25">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c r="BJ130" s="56"/>
      <c r="BK130" s="56"/>
      <c r="BL130" s="56"/>
      <c r="BM130" s="56"/>
      <c r="BN130" s="56"/>
      <c r="BO130" s="56"/>
      <c r="BP130" s="56"/>
      <c r="BQ130" s="56"/>
      <c r="BR130" s="56"/>
      <c r="BS130" s="56"/>
      <c r="BT130" s="56"/>
      <c r="BU130" s="56"/>
      <c r="BV130" s="56"/>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row>
    <row r="131" spans="1:100" x14ac:dyDescent="0.25">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56"/>
      <c r="BN131" s="56"/>
      <c r="BO131" s="56"/>
      <c r="BP131" s="56"/>
      <c r="BQ131" s="56"/>
      <c r="BR131" s="56"/>
      <c r="BS131" s="56"/>
      <c r="BT131" s="56"/>
      <c r="BU131" s="56"/>
      <c r="BV131" s="56"/>
      <c r="BW131" s="56"/>
      <c r="BX131" s="56"/>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row>
    <row r="132" spans="1:100" x14ac:dyDescent="0.25">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6"/>
      <c r="BQ132" s="56"/>
      <c r="BR132" s="56"/>
      <c r="BS132" s="56"/>
      <c r="BT132" s="56"/>
      <c r="BU132" s="56"/>
      <c r="BV132" s="56"/>
      <c r="BW132" s="56"/>
      <c r="BX132" s="56"/>
      <c r="BY132" s="56"/>
      <c r="BZ132" s="56"/>
      <c r="CA132" s="56"/>
      <c r="CB132" s="56"/>
      <c r="CC132" s="56"/>
      <c r="CD132" s="56"/>
      <c r="CE132" s="56"/>
      <c r="CF132" s="56"/>
      <c r="CG132" s="56"/>
      <c r="CH132" s="56"/>
      <c r="CI132" s="56"/>
      <c r="CJ132" s="56"/>
      <c r="CK132" s="56"/>
      <c r="CL132" s="56"/>
      <c r="CM132" s="56"/>
      <c r="CN132" s="56"/>
      <c r="CO132" s="56"/>
      <c r="CP132" s="56"/>
      <c r="CQ132" s="56"/>
      <c r="CR132" s="56"/>
      <c r="CS132" s="56"/>
      <c r="CT132" s="56"/>
      <c r="CU132" s="56"/>
      <c r="CV132" s="56"/>
    </row>
    <row r="133" spans="1:100" x14ac:dyDescent="0.25">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6"/>
      <c r="BQ133" s="56"/>
      <c r="BR133" s="56"/>
      <c r="BS133" s="56"/>
      <c r="BT133" s="56"/>
      <c r="BU133" s="56"/>
      <c r="BV133" s="56"/>
      <c r="BW133" s="56"/>
      <c r="BX133" s="56"/>
      <c r="BY133" s="56"/>
      <c r="BZ133" s="56"/>
      <c r="CA133" s="56"/>
      <c r="CB133" s="56"/>
      <c r="CC133" s="56"/>
      <c r="CD133" s="56"/>
      <c r="CE133" s="56"/>
      <c r="CF133" s="56"/>
      <c r="CG133" s="56"/>
      <c r="CH133" s="56"/>
      <c r="CI133" s="56"/>
      <c r="CJ133" s="56"/>
      <c r="CK133" s="56"/>
      <c r="CL133" s="56"/>
      <c r="CM133" s="56"/>
      <c r="CN133" s="56"/>
      <c r="CO133" s="56"/>
      <c r="CP133" s="56"/>
      <c r="CQ133" s="56"/>
      <c r="CR133" s="56"/>
      <c r="CS133" s="56"/>
      <c r="CT133" s="56"/>
      <c r="CU133" s="56"/>
      <c r="CV133" s="56"/>
    </row>
    <row r="134" spans="1:100" x14ac:dyDescent="0.25">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6"/>
      <c r="BQ134" s="56"/>
      <c r="BR134" s="56"/>
      <c r="BS134" s="56"/>
      <c r="BT134" s="56"/>
      <c r="BU134" s="56"/>
      <c r="BV134" s="56"/>
      <c r="BW134" s="56"/>
      <c r="BX134" s="56"/>
      <c r="BY134" s="56"/>
      <c r="BZ134" s="56"/>
      <c r="CA134" s="56"/>
      <c r="CB134" s="56"/>
      <c r="CC134" s="56"/>
      <c r="CD134" s="56"/>
      <c r="CE134" s="56"/>
      <c r="CF134" s="56"/>
      <c r="CG134" s="56"/>
      <c r="CH134" s="56"/>
      <c r="CI134" s="56"/>
      <c r="CJ134" s="56"/>
      <c r="CK134" s="56"/>
      <c r="CL134" s="56"/>
      <c r="CM134" s="56"/>
      <c r="CN134" s="56"/>
      <c r="CO134" s="56"/>
      <c r="CP134" s="56"/>
      <c r="CQ134" s="56"/>
      <c r="CR134" s="56"/>
      <c r="CS134" s="56"/>
      <c r="CT134" s="56"/>
      <c r="CU134" s="56"/>
      <c r="CV134" s="56"/>
    </row>
    <row r="135" spans="1:100" x14ac:dyDescent="0.25">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6"/>
      <c r="BS135" s="56"/>
      <c r="BT135" s="56"/>
      <c r="BU135" s="56"/>
      <c r="BV135" s="56"/>
      <c r="BW135" s="56"/>
      <c r="BX135" s="56"/>
      <c r="BY135" s="56"/>
      <c r="BZ135" s="56"/>
      <c r="CA135" s="56"/>
      <c r="CB135" s="56"/>
      <c r="CC135" s="56"/>
      <c r="CD135" s="56"/>
      <c r="CE135" s="56"/>
      <c r="CF135" s="56"/>
      <c r="CG135" s="56"/>
      <c r="CH135" s="56"/>
      <c r="CI135" s="56"/>
      <c r="CJ135" s="56"/>
      <c r="CK135" s="56"/>
      <c r="CL135" s="56"/>
      <c r="CM135" s="56"/>
      <c r="CN135" s="56"/>
      <c r="CO135" s="56"/>
      <c r="CP135" s="56"/>
      <c r="CQ135" s="56"/>
      <c r="CR135" s="56"/>
      <c r="CS135" s="56"/>
      <c r="CT135" s="56"/>
      <c r="CU135" s="56"/>
      <c r="CV135" s="56"/>
    </row>
    <row r="136" spans="1:100" x14ac:dyDescent="0.25">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c r="CJ136" s="56"/>
      <c r="CK136" s="56"/>
      <c r="CL136" s="56"/>
      <c r="CM136" s="56"/>
      <c r="CN136" s="56"/>
      <c r="CO136" s="56"/>
      <c r="CP136" s="56"/>
      <c r="CQ136" s="56"/>
      <c r="CR136" s="56"/>
      <c r="CS136" s="56"/>
      <c r="CT136" s="56"/>
      <c r="CU136" s="56"/>
      <c r="CV136" s="56"/>
    </row>
    <row r="137" spans="1:100" x14ac:dyDescent="0.25">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c r="BJ137" s="56"/>
      <c r="BK137" s="56"/>
      <c r="BL137" s="56"/>
      <c r="BM137" s="56"/>
      <c r="BN137" s="56"/>
      <c r="BO137" s="56"/>
      <c r="BP137" s="56"/>
      <c r="BQ137" s="56"/>
      <c r="BR137" s="56"/>
      <c r="BS137" s="56"/>
      <c r="BT137" s="56"/>
      <c r="BU137" s="56"/>
      <c r="BV137" s="56"/>
      <c r="BW137" s="56"/>
      <c r="BX137" s="56"/>
      <c r="BY137" s="56"/>
      <c r="BZ137" s="56"/>
      <c r="CA137" s="56"/>
      <c r="CB137" s="56"/>
      <c r="CC137" s="56"/>
      <c r="CD137" s="56"/>
      <c r="CE137" s="56"/>
      <c r="CF137" s="56"/>
      <c r="CG137" s="56"/>
      <c r="CH137" s="56"/>
      <c r="CI137" s="56"/>
      <c r="CJ137" s="56"/>
      <c r="CK137" s="56"/>
      <c r="CL137" s="56"/>
      <c r="CM137" s="56"/>
      <c r="CN137" s="56"/>
      <c r="CO137" s="56"/>
      <c r="CP137" s="56"/>
      <c r="CQ137" s="56"/>
      <c r="CR137" s="56"/>
      <c r="CS137" s="56"/>
      <c r="CT137" s="56"/>
      <c r="CU137" s="56"/>
      <c r="CV137" s="56"/>
    </row>
    <row r="138" spans="1:100" x14ac:dyDescent="0.25">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c r="BJ138" s="56"/>
      <c r="BK138" s="56"/>
      <c r="BL138" s="56"/>
      <c r="BM138" s="56"/>
      <c r="BN138" s="56"/>
      <c r="BO138" s="56"/>
      <c r="BP138" s="56"/>
      <c r="BQ138" s="56"/>
      <c r="BR138" s="56"/>
      <c r="BS138" s="56"/>
      <c r="BT138" s="56"/>
      <c r="BU138" s="56"/>
      <c r="BV138" s="56"/>
      <c r="BW138" s="56"/>
      <c r="BX138" s="56"/>
      <c r="BY138" s="56"/>
      <c r="BZ138" s="56"/>
      <c r="CA138" s="56"/>
      <c r="CB138" s="56"/>
      <c r="CC138" s="56"/>
      <c r="CD138" s="56"/>
      <c r="CE138" s="56"/>
      <c r="CF138" s="56"/>
      <c r="CG138" s="56"/>
      <c r="CH138" s="56"/>
      <c r="CI138" s="56"/>
      <c r="CJ138" s="56"/>
      <c r="CK138" s="56"/>
      <c r="CL138" s="56"/>
      <c r="CM138" s="56"/>
      <c r="CN138" s="56"/>
      <c r="CO138" s="56"/>
      <c r="CP138" s="56"/>
      <c r="CQ138" s="56"/>
      <c r="CR138" s="56"/>
      <c r="CS138" s="56"/>
      <c r="CT138" s="56"/>
      <c r="CU138" s="56"/>
      <c r="CV138" s="56"/>
    </row>
    <row r="139" spans="1:100" x14ac:dyDescent="0.25">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6"/>
      <c r="CC139" s="56"/>
      <c r="CD139" s="56"/>
      <c r="CE139" s="56"/>
    </row>
    <row r="140" spans="1:100" x14ac:dyDescent="0.25">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c r="BJ140" s="56"/>
      <c r="BK140" s="56"/>
      <c r="BL140" s="56"/>
      <c r="BM140" s="56"/>
      <c r="BN140" s="56"/>
      <c r="BO140" s="56"/>
      <c r="BP140" s="56"/>
      <c r="BQ140" s="56"/>
      <c r="BR140" s="56"/>
      <c r="BS140" s="56"/>
      <c r="BT140" s="56"/>
      <c r="BU140" s="56"/>
      <c r="BV140" s="56"/>
      <c r="BW140" s="56"/>
      <c r="BX140" s="56"/>
      <c r="BY140" s="56"/>
      <c r="BZ140" s="56"/>
      <c r="CA140" s="56"/>
      <c r="CB140" s="56"/>
      <c r="CC140" s="56"/>
      <c r="CD140" s="56"/>
      <c r="CE140" s="56"/>
    </row>
    <row r="141" spans="1:100" x14ac:dyDescent="0.25">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c r="BJ141" s="56"/>
      <c r="BK141" s="56"/>
      <c r="BL141" s="56"/>
      <c r="BM141" s="56"/>
      <c r="BN141" s="56"/>
      <c r="BO141" s="56"/>
      <c r="BP141" s="56"/>
      <c r="BQ141" s="56"/>
      <c r="BR141" s="56"/>
      <c r="BS141" s="56"/>
      <c r="BT141" s="56"/>
      <c r="BU141" s="56"/>
      <c r="BV141" s="56"/>
      <c r="BW141" s="56"/>
      <c r="BX141" s="56"/>
      <c r="BY141" s="56"/>
      <c r="BZ141" s="56"/>
      <c r="CA141" s="56"/>
      <c r="CB141" s="56"/>
      <c r="CC141" s="56"/>
      <c r="CD141" s="56"/>
      <c r="CE141" s="56"/>
    </row>
    <row r="142" spans="1:100" x14ac:dyDescent="0.25">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c r="BJ142" s="56"/>
      <c r="BK142" s="56"/>
      <c r="BL142" s="56"/>
      <c r="BM142" s="56"/>
      <c r="BN142" s="56"/>
      <c r="BO142" s="56"/>
      <c r="BP142" s="56"/>
      <c r="BQ142" s="56"/>
      <c r="BR142" s="56"/>
      <c r="BS142" s="56"/>
      <c r="BT142" s="56"/>
      <c r="BU142" s="56"/>
      <c r="BV142" s="56"/>
      <c r="BW142" s="56"/>
      <c r="BX142" s="56"/>
      <c r="BY142" s="56"/>
      <c r="BZ142" s="56"/>
      <c r="CA142" s="56"/>
      <c r="CB142" s="56"/>
      <c r="CC142" s="56"/>
      <c r="CD142" s="56"/>
      <c r="CE142" s="56"/>
    </row>
    <row r="143" spans="1:100" x14ac:dyDescent="0.25">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6"/>
      <c r="BQ143" s="56"/>
      <c r="BR143" s="56"/>
      <c r="BS143" s="56"/>
      <c r="BT143" s="56"/>
      <c r="BU143" s="56"/>
      <c r="BV143" s="56"/>
      <c r="BW143" s="56"/>
      <c r="BX143" s="56"/>
      <c r="BY143" s="56"/>
      <c r="BZ143" s="56"/>
      <c r="CA143" s="56"/>
      <c r="CB143" s="56"/>
      <c r="CC143" s="56"/>
      <c r="CD143" s="56"/>
      <c r="CE143" s="56"/>
    </row>
    <row r="144" spans="1:100" x14ac:dyDescent="0.25">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6"/>
      <c r="BQ144" s="56"/>
      <c r="BR144" s="56"/>
      <c r="BS144" s="56"/>
      <c r="BT144" s="56"/>
      <c r="BU144" s="56"/>
      <c r="BV144" s="56"/>
      <c r="BW144" s="56"/>
      <c r="BX144" s="56"/>
      <c r="BY144" s="56"/>
      <c r="BZ144" s="56"/>
      <c r="CA144" s="56"/>
      <c r="CB144" s="56"/>
      <c r="CC144" s="56"/>
      <c r="CD144" s="56"/>
      <c r="CE144" s="56"/>
    </row>
    <row r="145" spans="1:83" x14ac:dyDescent="0.25">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6"/>
      <c r="BQ145" s="56"/>
      <c r="BR145" s="56"/>
      <c r="BS145" s="56"/>
      <c r="BT145" s="56"/>
      <c r="BU145" s="56"/>
      <c r="BV145" s="56"/>
      <c r="BW145" s="56"/>
      <c r="BX145" s="56"/>
      <c r="BY145" s="56"/>
      <c r="BZ145" s="56"/>
      <c r="CA145" s="56"/>
      <c r="CB145" s="56"/>
      <c r="CC145" s="56"/>
      <c r="CD145" s="56"/>
      <c r="CE145" s="56"/>
    </row>
    <row r="146" spans="1:83" x14ac:dyDescent="0.25">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6"/>
      <c r="BQ146" s="56"/>
      <c r="BR146" s="56"/>
      <c r="BS146" s="56"/>
      <c r="BT146" s="56"/>
      <c r="BU146" s="56"/>
      <c r="BV146" s="56"/>
      <c r="BW146" s="56"/>
      <c r="BX146" s="56"/>
      <c r="BY146" s="56"/>
      <c r="BZ146" s="56"/>
      <c r="CA146" s="56"/>
      <c r="CB146" s="56"/>
      <c r="CC146" s="56"/>
      <c r="CD146" s="56"/>
      <c r="CE146" s="56"/>
    </row>
    <row r="147" spans="1:83" x14ac:dyDescent="0.25">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6"/>
      <c r="BQ147" s="56"/>
      <c r="BR147" s="56"/>
      <c r="BS147" s="56"/>
      <c r="BT147" s="56"/>
      <c r="BU147" s="56"/>
      <c r="BV147" s="56"/>
      <c r="BW147" s="56"/>
      <c r="BX147" s="56"/>
      <c r="BY147" s="56"/>
      <c r="BZ147" s="56"/>
      <c r="CA147" s="56"/>
      <c r="CB147" s="56"/>
      <c r="CC147" s="56"/>
      <c r="CD147" s="56"/>
      <c r="CE147" s="56"/>
    </row>
    <row r="148" spans="1:83" x14ac:dyDescent="0.25">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c r="BJ148" s="56"/>
      <c r="BK148" s="56"/>
      <c r="BL148" s="56"/>
      <c r="BM148" s="56"/>
      <c r="BN148" s="56"/>
      <c r="BO148" s="56"/>
      <c r="BP148" s="56"/>
      <c r="BQ148" s="56"/>
      <c r="BR148" s="56"/>
      <c r="BS148" s="56"/>
      <c r="BT148" s="56"/>
      <c r="BU148" s="56"/>
      <c r="BV148" s="56"/>
      <c r="BW148" s="56"/>
      <c r="BX148" s="56"/>
      <c r="BY148" s="56"/>
      <c r="BZ148" s="56"/>
      <c r="CA148" s="56"/>
      <c r="CB148" s="56"/>
      <c r="CC148" s="56"/>
      <c r="CD148" s="56"/>
      <c r="CE148" s="56"/>
    </row>
    <row r="149" spans="1:83" x14ac:dyDescent="0.25">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c r="BJ149" s="56"/>
      <c r="BK149" s="56"/>
      <c r="BL149" s="56"/>
      <c r="BM149" s="56"/>
      <c r="BN149" s="56"/>
      <c r="BO149" s="56"/>
      <c r="BP149" s="56"/>
      <c r="BQ149" s="56"/>
      <c r="BR149" s="56"/>
      <c r="BS149" s="56"/>
      <c r="BT149" s="56"/>
      <c r="BU149" s="56"/>
      <c r="BV149" s="56"/>
      <c r="BW149" s="56"/>
      <c r="BX149" s="56"/>
      <c r="BY149" s="56"/>
      <c r="BZ149" s="56"/>
      <c r="CA149" s="56"/>
      <c r="CB149" s="56"/>
      <c r="CC149" s="56"/>
      <c r="CD149" s="56"/>
      <c r="CE149" s="56"/>
    </row>
    <row r="150" spans="1:83" x14ac:dyDescent="0.25">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row>
    <row r="151" spans="1:83" x14ac:dyDescent="0.25">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c r="BJ151" s="56"/>
      <c r="BK151" s="56"/>
      <c r="BL151" s="56"/>
      <c r="BM151" s="56"/>
      <c r="BN151" s="56"/>
      <c r="BO151" s="56"/>
      <c r="BP151" s="56"/>
      <c r="BQ151" s="56"/>
      <c r="BR151" s="56"/>
      <c r="BS151" s="56"/>
      <c r="BT151" s="56"/>
      <c r="BU151" s="56"/>
      <c r="BV151" s="56"/>
      <c r="BW151" s="56"/>
      <c r="BX151" s="56"/>
      <c r="BY151" s="56"/>
      <c r="BZ151" s="56"/>
      <c r="CA151" s="56"/>
      <c r="CB151" s="56"/>
      <c r="CC151" s="56"/>
      <c r="CD151" s="56"/>
      <c r="CE151" s="56"/>
    </row>
    <row r="152" spans="1:83" x14ac:dyDescent="0.25">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c r="BJ152" s="56"/>
      <c r="BK152" s="56"/>
      <c r="BL152" s="56"/>
      <c r="BM152" s="56"/>
      <c r="BN152" s="56"/>
      <c r="BO152" s="56"/>
      <c r="BP152" s="56"/>
      <c r="BQ152" s="56"/>
      <c r="BR152" s="56"/>
      <c r="BS152" s="56"/>
      <c r="BT152" s="56"/>
      <c r="BU152" s="56"/>
      <c r="BV152" s="56"/>
      <c r="BW152" s="56"/>
      <c r="BX152" s="56"/>
      <c r="BY152" s="56"/>
      <c r="BZ152" s="56"/>
      <c r="CA152" s="56"/>
      <c r="CB152" s="56"/>
      <c r="CC152" s="56"/>
      <c r="CD152" s="56"/>
      <c r="CE152" s="56"/>
    </row>
    <row r="153" spans="1:83" x14ac:dyDescent="0.25">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c r="BJ153" s="56"/>
      <c r="BK153" s="56"/>
      <c r="BL153" s="56"/>
      <c r="BM153" s="56"/>
      <c r="BN153" s="56"/>
      <c r="BO153" s="56"/>
      <c r="BP153" s="56"/>
      <c r="BQ153" s="56"/>
      <c r="BR153" s="56"/>
      <c r="BS153" s="56"/>
      <c r="BT153" s="56"/>
      <c r="BU153" s="56"/>
      <c r="BV153" s="56"/>
      <c r="BW153" s="56"/>
      <c r="BX153" s="56"/>
      <c r="BY153" s="56"/>
      <c r="BZ153" s="56"/>
      <c r="CA153" s="56"/>
      <c r="CB153" s="56"/>
      <c r="CC153" s="56"/>
      <c r="CD153" s="56"/>
      <c r="CE153" s="56"/>
    </row>
    <row r="154" spans="1:83" x14ac:dyDescent="0.25">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c r="BJ154" s="56"/>
      <c r="BK154" s="56"/>
      <c r="BL154" s="56"/>
      <c r="BM154" s="56"/>
      <c r="BN154" s="56"/>
      <c r="BO154" s="56"/>
      <c r="BP154" s="56"/>
      <c r="BQ154" s="56"/>
      <c r="BR154" s="56"/>
      <c r="BS154" s="56"/>
      <c r="BT154" s="56"/>
      <c r="BU154" s="56"/>
      <c r="BV154" s="56"/>
      <c r="BW154" s="56"/>
      <c r="BX154" s="56"/>
      <c r="BY154" s="56"/>
      <c r="BZ154" s="56"/>
      <c r="CA154" s="56"/>
      <c r="CB154" s="56"/>
      <c r="CC154" s="56"/>
      <c r="CD154" s="56"/>
      <c r="CE154" s="56"/>
    </row>
    <row r="155" spans="1:83" x14ac:dyDescent="0.25">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c r="BJ155" s="56"/>
      <c r="BK155" s="56"/>
      <c r="BL155" s="56"/>
      <c r="BM155" s="56"/>
      <c r="BN155" s="56"/>
      <c r="BO155" s="56"/>
      <c r="BP155" s="56"/>
      <c r="BQ155" s="56"/>
      <c r="BR155" s="56"/>
      <c r="BS155" s="56"/>
      <c r="BT155" s="56"/>
      <c r="BU155" s="56"/>
      <c r="BV155" s="56"/>
      <c r="BW155" s="56"/>
      <c r="BX155" s="56"/>
      <c r="BY155" s="56"/>
      <c r="BZ155" s="56"/>
      <c r="CA155" s="56"/>
      <c r="CB155" s="56"/>
      <c r="CC155" s="56"/>
      <c r="CD155" s="56"/>
      <c r="CE155" s="56"/>
    </row>
    <row r="156" spans="1:83" x14ac:dyDescent="0.25">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row>
    <row r="157" spans="1:83" x14ac:dyDescent="0.25">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c r="BJ157" s="56"/>
      <c r="BK157" s="56"/>
      <c r="BL157" s="56"/>
      <c r="BM157" s="56"/>
      <c r="BN157" s="56"/>
      <c r="BO157" s="56"/>
      <c r="BP157" s="56"/>
      <c r="BQ157" s="56"/>
      <c r="BR157" s="56"/>
      <c r="BS157" s="56"/>
      <c r="BT157" s="56"/>
      <c r="BU157" s="56"/>
      <c r="BV157" s="56"/>
      <c r="BW157" s="56"/>
      <c r="BX157" s="56"/>
      <c r="BY157" s="56"/>
      <c r="BZ157" s="56"/>
      <c r="CA157" s="56"/>
      <c r="CB157" s="56"/>
      <c r="CC157" s="56"/>
      <c r="CD157" s="56"/>
      <c r="CE157" s="56"/>
    </row>
    <row r="158" spans="1:83" x14ac:dyDescent="0.25">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c r="BJ158" s="56"/>
      <c r="BK158" s="56"/>
      <c r="BL158" s="56"/>
      <c r="BM158" s="56"/>
      <c r="BN158" s="56"/>
      <c r="BO158" s="56"/>
      <c r="BP158" s="56"/>
      <c r="BQ158" s="56"/>
      <c r="BR158" s="56"/>
      <c r="BS158" s="56"/>
      <c r="BT158" s="56"/>
      <c r="BU158" s="56"/>
      <c r="BV158" s="56"/>
      <c r="BW158" s="56"/>
      <c r="BX158" s="56"/>
      <c r="BY158" s="56"/>
      <c r="BZ158" s="56"/>
      <c r="CA158" s="56"/>
      <c r="CB158" s="56"/>
      <c r="CC158" s="56"/>
      <c r="CD158" s="56"/>
      <c r="CE158" s="56"/>
    </row>
    <row r="159" spans="1:83" x14ac:dyDescent="0.25">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row>
    <row r="160" spans="1:83" x14ac:dyDescent="0.25">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c r="BJ160" s="56"/>
      <c r="BK160" s="56"/>
      <c r="BL160" s="56"/>
      <c r="BM160" s="56"/>
      <c r="BN160" s="56"/>
      <c r="BO160" s="56"/>
      <c r="BP160" s="56"/>
      <c r="BQ160" s="56"/>
      <c r="BR160" s="56"/>
      <c r="BS160" s="56"/>
      <c r="BT160" s="56"/>
      <c r="BU160" s="56"/>
      <c r="BV160" s="56"/>
      <c r="BW160" s="56"/>
      <c r="BX160" s="56"/>
      <c r="BY160" s="56"/>
      <c r="BZ160" s="56"/>
      <c r="CA160" s="56"/>
      <c r="CB160" s="56"/>
      <c r="CC160" s="56"/>
      <c r="CD160" s="56"/>
      <c r="CE160" s="56"/>
    </row>
    <row r="161" spans="1:83" x14ac:dyDescent="0.25">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c r="BJ161" s="56"/>
      <c r="BK161" s="56"/>
      <c r="BL161" s="56"/>
      <c r="BM161" s="56"/>
      <c r="BN161" s="56"/>
      <c r="BO161" s="56"/>
      <c r="BP161" s="56"/>
      <c r="BQ161" s="56"/>
      <c r="BR161" s="56"/>
      <c r="BS161" s="56"/>
      <c r="BT161" s="56"/>
      <c r="BU161" s="56"/>
      <c r="BV161" s="56"/>
      <c r="BW161" s="56"/>
      <c r="BX161" s="56"/>
      <c r="BY161" s="56"/>
      <c r="BZ161" s="56"/>
      <c r="CA161" s="56"/>
      <c r="CB161" s="56"/>
      <c r="CC161" s="56"/>
      <c r="CD161" s="56"/>
      <c r="CE161" s="56"/>
    </row>
    <row r="162" spans="1:83" x14ac:dyDescent="0.25">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6"/>
      <c r="BY162" s="56"/>
      <c r="BZ162" s="56"/>
      <c r="CA162" s="56"/>
      <c r="CB162" s="56"/>
      <c r="CC162" s="56"/>
      <c r="CD162" s="56"/>
      <c r="CE162" s="56"/>
    </row>
    <row r="163" spans="1:83" x14ac:dyDescent="0.25">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c r="BJ163" s="56"/>
      <c r="BK163" s="56"/>
      <c r="BL163" s="56"/>
      <c r="BM163" s="56"/>
      <c r="BN163" s="56"/>
      <c r="BO163" s="56"/>
      <c r="BP163" s="56"/>
      <c r="BQ163" s="56"/>
      <c r="BR163" s="56"/>
      <c r="BS163" s="56"/>
      <c r="BT163" s="56"/>
      <c r="BU163" s="56"/>
      <c r="BV163" s="56"/>
      <c r="BW163" s="56"/>
      <c r="BX163" s="56"/>
      <c r="BY163" s="56"/>
      <c r="BZ163" s="56"/>
      <c r="CA163" s="56"/>
      <c r="CB163" s="56"/>
      <c r="CC163" s="56"/>
      <c r="CD163" s="56"/>
      <c r="CE163" s="56"/>
    </row>
    <row r="164" spans="1:83" x14ac:dyDescent="0.25">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c r="BJ164" s="56"/>
      <c r="BK164" s="56"/>
      <c r="BL164" s="56"/>
      <c r="BM164" s="56"/>
      <c r="BN164" s="56"/>
      <c r="BO164" s="56"/>
      <c r="BP164" s="56"/>
      <c r="BQ164" s="56"/>
      <c r="BR164" s="56"/>
      <c r="BS164" s="56"/>
      <c r="BT164" s="56"/>
      <c r="BU164" s="56"/>
      <c r="BV164" s="56"/>
      <c r="BW164" s="56"/>
      <c r="BX164" s="56"/>
      <c r="BY164" s="56"/>
      <c r="BZ164" s="56"/>
      <c r="CA164" s="56"/>
      <c r="CB164" s="56"/>
      <c r="CC164" s="56"/>
      <c r="CD164" s="56"/>
      <c r="CE164" s="56"/>
    </row>
    <row r="165" spans="1:83" x14ac:dyDescent="0.25">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c r="BJ165" s="56"/>
      <c r="BK165" s="56"/>
      <c r="BL165" s="56"/>
      <c r="BM165" s="56"/>
      <c r="BN165" s="56"/>
      <c r="BO165" s="56"/>
      <c r="BP165" s="56"/>
      <c r="BQ165" s="56"/>
      <c r="BR165" s="56"/>
      <c r="BS165" s="56"/>
      <c r="BT165" s="56"/>
      <c r="BU165" s="56"/>
      <c r="BV165" s="56"/>
      <c r="BW165" s="56"/>
      <c r="BX165" s="56"/>
      <c r="BY165" s="56"/>
      <c r="BZ165" s="56"/>
      <c r="CA165" s="56"/>
      <c r="CB165" s="56"/>
      <c r="CC165" s="56"/>
      <c r="CD165" s="56"/>
      <c r="CE165" s="56"/>
    </row>
    <row r="166" spans="1:83" x14ac:dyDescent="0.25">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c r="BJ166" s="56"/>
      <c r="BK166" s="56"/>
      <c r="BL166" s="56"/>
      <c r="BM166" s="56"/>
      <c r="BN166" s="56"/>
      <c r="BO166" s="56"/>
      <c r="BP166" s="56"/>
      <c r="BQ166" s="56"/>
      <c r="BR166" s="56"/>
      <c r="BS166" s="56"/>
      <c r="BT166" s="56"/>
      <c r="BU166" s="56"/>
      <c r="BV166" s="56"/>
      <c r="BW166" s="56"/>
      <c r="BX166" s="56"/>
      <c r="BY166" s="56"/>
      <c r="BZ166" s="56"/>
      <c r="CA166" s="56"/>
      <c r="CB166" s="56"/>
      <c r="CC166" s="56"/>
      <c r="CD166" s="56"/>
      <c r="CE166" s="56"/>
    </row>
    <row r="167" spans="1:83" x14ac:dyDescent="0.25">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c r="BJ167" s="56"/>
      <c r="BK167" s="56"/>
      <c r="BL167" s="56"/>
      <c r="BM167" s="56"/>
      <c r="BN167" s="56"/>
      <c r="BO167" s="56"/>
      <c r="BP167" s="56"/>
      <c r="BQ167" s="56"/>
      <c r="BR167" s="56"/>
      <c r="BS167" s="56"/>
      <c r="BT167" s="56"/>
      <c r="BU167" s="56"/>
      <c r="BV167" s="56"/>
      <c r="BW167" s="56"/>
      <c r="BX167" s="56"/>
      <c r="BY167" s="56"/>
      <c r="BZ167" s="56"/>
      <c r="CA167" s="56"/>
      <c r="CB167" s="56"/>
      <c r="CC167" s="56"/>
      <c r="CD167" s="56"/>
      <c r="CE167" s="56"/>
    </row>
    <row r="168" spans="1:83" x14ac:dyDescent="0.25">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c r="BJ168" s="56"/>
      <c r="BK168" s="56"/>
      <c r="BL168" s="56"/>
      <c r="BM168" s="56"/>
      <c r="BN168" s="56"/>
      <c r="BO168" s="56"/>
      <c r="BP168" s="56"/>
      <c r="BQ168" s="56"/>
      <c r="BR168" s="56"/>
      <c r="BS168" s="56"/>
      <c r="BT168" s="56"/>
      <c r="BU168" s="56"/>
      <c r="BV168" s="56"/>
      <c r="BW168" s="56"/>
      <c r="BX168" s="56"/>
      <c r="BY168" s="56"/>
      <c r="BZ168" s="56"/>
      <c r="CA168" s="56"/>
      <c r="CB168" s="56"/>
      <c r="CC168" s="56"/>
      <c r="CD168" s="56"/>
      <c r="CE168" s="56"/>
    </row>
    <row r="169" spans="1:83" x14ac:dyDescent="0.25">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c r="BJ169" s="56"/>
      <c r="BK169" s="56"/>
      <c r="BL169" s="56"/>
      <c r="BM169" s="56"/>
      <c r="BN169" s="56"/>
      <c r="BO169" s="56"/>
      <c r="BP169" s="56"/>
      <c r="BQ169" s="56"/>
      <c r="BR169" s="56"/>
      <c r="BS169" s="56"/>
      <c r="BT169" s="56"/>
      <c r="BU169" s="56"/>
      <c r="BV169" s="56"/>
      <c r="BW169" s="56"/>
      <c r="BX169" s="56"/>
      <c r="BY169" s="56"/>
      <c r="BZ169" s="56"/>
      <c r="CA169" s="56"/>
      <c r="CB169" s="56"/>
      <c r="CC169" s="56"/>
      <c r="CD169" s="56"/>
      <c r="CE169" s="56"/>
    </row>
    <row r="170" spans="1:83" x14ac:dyDescent="0.25">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row>
    <row r="171" spans="1:83" x14ac:dyDescent="0.25">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c r="BJ171" s="56"/>
      <c r="BK171" s="56"/>
      <c r="BL171" s="56"/>
      <c r="BM171" s="56"/>
      <c r="BN171" s="56"/>
      <c r="BO171" s="56"/>
      <c r="BP171" s="56"/>
      <c r="BQ171" s="56"/>
      <c r="BR171" s="56"/>
      <c r="BS171" s="56"/>
      <c r="BT171" s="56"/>
      <c r="BU171" s="56"/>
      <c r="BV171" s="56"/>
      <c r="BW171" s="56"/>
      <c r="BX171" s="56"/>
      <c r="BY171" s="56"/>
      <c r="BZ171" s="56"/>
      <c r="CA171" s="56"/>
      <c r="CB171" s="56"/>
      <c r="CC171" s="56"/>
      <c r="CD171" s="56"/>
      <c r="CE171" s="56"/>
    </row>
    <row r="172" spans="1:83" x14ac:dyDescent="0.25">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c r="BJ172" s="56"/>
      <c r="BK172" s="56"/>
      <c r="BL172" s="56"/>
      <c r="BM172" s="56"/>
      <c r="BN172" s="56"/>
      <c r="BO172" s="56"/>
      <c r="BP172" s="56"/>
      <c r="BQ172" s="56"/>
      <c r="BR172" s="56"/>
      <c r="BS172" s="56"/>
      <c r="BT172" s="56"/>
      <c r="BU172" s="56"/>
      <c r="BV172" s="56"/>
      <c r="BW172" s="56"/>
      <c r="BX172" s="56"/>
      <c r="BY172" s="56"/>
      <c r="BZ172" s="56"/>
      <c r="CA172" s="56"/>
      <c r="CB172" s="56"/>
      <c r="CC172" s="56"/>
      <c r="CD172" s="56"/>
      <c r="CE172" s="56"/>
    </row>
    <row r="173" spans="1:83" x14ac:dyDescent="0.25">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c r="BJ173" s="56"/>
      <c r="BK173" s="56"/>
      <c r="BL173" s="56"/>
      <c r="BM173" s="56"/>
      <c r="BN173" s="56"/>
      <c r="BO173" s="56"/>
      <c r="BP173" s="56"/>
      <c r="BQ173" s="56"/>
      <c r="BR173" s="56"/>
      <c r="BS173" s="56"/>
      <c r="BT173" s="56"/>
      <c r="BU173" s="56"/>
      <c r="BV173" s="56"/>
      <c r="BW173" s="56"/>
      <c r="BX173" s="56"/>
      <c r="BY173" s="56"/>
      <c r="BZ173" s="56"/>
      <c r="CA173" s="56"/>
      <c r="CB173" s="56"/>
      <c r="CC173" s="56"/>
      <c r="CD173" s="56"/>
      <c r="CE173" s="56"/>
    </row>
    <row r="174" spans="1:83" x14ac:dyDescent="0.25">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c r="BJ174" s="56"/>
      <c r="BK174" s="56"/>
      <c r="BL174" s="56"/>
      <c r="BM174" s="56"/>
      <c r="BN174" s="56"/>
      <c r="BO174" s="56"/>
      <c r="BP174" s="56"/>
      <c r="BQ174" s="56"/>
      <c r="BR174" s="56"/>
      <c r="BS174" s="56"/>
      <c r="BT174" s="56"/>
      <c r="BU174" s="56"/>
      <c r="BV174" s="56"/>
      <c r="BW174" s="56"/>
      <c r="BX174" s="56"/>
      <c r="BY174" s="56"/>
      <c r="BZ174" s="56"/>
      <c r="CA174" s="56"/>
      <c r="CB174" s="56"/>
      <c r="CC174" s="56"/>
      <c r="CD174" s="56"/>
      <c r="CE174" s="56"/>
    </row>
    <row r="175" spans="1:83" x14ac:dyDescent="0.25">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c r="BJ175" s="56"/>
      <c r="BK175" s="56"/>
      <c r="BL175" s="56"/>
      <c r="BM175" s="56"/>
      <c r="BN175" s="56"/>
      <c r="BO175" s="56"/>
      <c r="BP175" s="56"/>
      <c r="BQ175" s="56"/>
      <c r="BR175" s="56"/>
      <c r="BS175" s="56"/>
      <c r="BT175" s="56"/>
      <c r="BU175" s="56"/>
      <c r="BV175" s="56"/>
      <c r="BW175" s="56"/>
      <c r="BX175" s="56"/>
      <c r="BY175" s="56"/>
      <c r="BZ175" s="56"/>
      <c r="CA175" s="56"/>
      <c r="CB175" s="56"/>
      <c r="CC175" s="56"/>
      <c r="CD175" s="56"/>
      <c r="CE175" s="56"/>
    </row>
    <row r="176" spans="1:83" x14ac:dyDescent="0.25">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c r="BJ176" s="56"/>
      <c r="BK176" s="56"/>
      <c r="BL176" s="56"/>
      <c r="BM176" s="56"/>
      <c r="BN176" s="56"/>
      <c r="BO176" s="56"/>
      <c r="BP176" s="56"/>
      <c r="BQ176" s="56"/>
      <c r="BR176" s="56"/>
      <c r="BS176" s="56"/>
      <c r="BT176" s="56"/>
      <c r="BU176" s="56"/>
      <c r="BV176" s="56"/>
      <c r="BW176" s="56"/>
      <c r="BX176" s="56"/>
      <c r="BY176" s="56"/>
      <c r="BZ176" s="56"/>
      <c r="CA176" s="56"/>
      <c r="CB176" s="56"/>
      <c r="CC176" s="56"/>
      <c r="CD176" s="56"/>
      <c r="CE176" s="56"/>
    </row>
    <row r="177" spans="1:83" x14ac:dyDescent="0.25">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c r="BJ177" s="56"/>
      <c r="BK177" s="56"/>
      <c r="BL177" s="56"/>
      <c r="BM177" s="56"/>
      <c r="BN177" s="56"/>
      <c r="BO177" s="56"/>
      <c r="BP177" s="56"/>
      <c r="BQ177" s="56"/>
      <c r="BR177" s="56"/>
      <c r="BS177" s="56"/>
      <c r="BT177" s="56"/>
      <c r="BU177" s="56"/>
      <c r="BV177" s="56"/>
      <c r="BW177" s="56"/>
      <c r="BX177" s="56"/>
      <c r="BY177" s="56"/>
      <c r="BZ177" s="56"/>
      <c r="CA177" s="56"/>
      <c r="CB177" s="56"/>
      <c r="CC177" s="56"/>
      <c r="CD177" s="56"/>
      <c r="CE177" s="56"/>
    </row>
    <row r="178" spans="1:83" x14ac:dyDescent="0.25">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c r="BI178" s="56"/>
      <c r="BJ178" s="56"/>
      <c r="BK178" s="56"/>
      <c r="BL178" s="56"/>
      <c r="BM178" s="56"/>
      <c r="BN178" s="56"/>
      <c r="BO178" s="56"/>
      <c r="BP178" s="56"/>
      <c r="BQ178" s="56"/>
      <c r="BR178" s="56"/>
      <c r="BS178" s="56"/>
      <c r="BT178" s="56"/>
      <c r="BU178" s="56"/>
      <c r="BV178" s="56"/>
      <c r="BW178" s="56"/>
      <c r="BX178" s="56"/>
      <c r="BY178" s="56"/>
      <c r="BZ178" s="56"/>
      <c r="CA178" s="56"/>
      <c r="CB178" s="56"/>
      <c r="CC178" s="56"/>
      <c r="CD178" s="56"/>
      <c r="CE178" s="56"/>
    </row>
    <row r="179" spans="1:83" x14ac:dyDescent="0.25">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c r="BJ179" s="56"/>
      <c r="BK179" s="56"/>
      <c r="BL179" s="56"/>
      <c r="BM179" s="56"/>
      <c r="BN179" s="56"/>
      <c r="BO179" s="56"/>
      <c r="BP179" s="56"/>
      <c r="BQ179" s="56"/>
      <c r="BR179" s="56"/>
      <c r="BS179" s="56"/>
      <c r="BT179" s="56"/>
      <c r="BU179" s="56"/>
      <c r="BV179" s="56"/>
      <c r="BW179" s="56"/>
      <c r="BX179" s="56"/>
      <c r="BY179" s="56"/>
      <c r="BZ179" s="56"/>
      <c r="CA179" s="56"/>
      <c r="CB179" s="56"/>
      <c r="CC179" s="56"/>
      <c r="CD179" s="56"/>
      <c r="CE179" s="56"/>
    </row>
    <row r="180" spans="1:83" x14ac:dyDescent="0.25">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c r="BJ180" s="56"/>
      <c r="BK180" s="56"/>
      <c r="BL180" s="56"/>
      <c r="BM180" s="56"/>
      <c r="BN180" s="56"/>
      <c r="BO180" s="56"/>
      <c r="BP180" s="56"/>
      <c r="BQ180" s="56"/>
      <c r="BR180" s="56"/>
      <c r="BS180" s="56"/>
      <c r="BT180" s="56"/>
      <c r="BU180" s="56"/>
      <c r="BV180" s="56"/>
      <c r="BW180" s="56"/>
      <c r="BX180" s="56"/>
      <c r="BY180" s="56"/>
      <c r="BZ180" s="56"/>
      <c r="CA180" s="56"/>
      <c r="CB180" s="56"/>
      <c r="CC180" s="56"/>
      <c r="CD180" s="56"/>
      <c r="CE180" s="56"/>
    </row>
    <row r="181" spans="1:83" x14ac:dyDescent="0.25">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c r="BJ181" s="56"/>
      <c r="BK181" s="56"/>
      <c r="BL181" s="56"/>
      <c r="BM181" s="56"/>
      <c r="BN181" s="56"/>
      <c r="BO181" s="56"/>
      <c r="BP181" s="56"/>
      <c r="BQ181" s="56"/>
      <c r="BR181" s="56"/>
      <c r="BS181" s="56"/>
      <c r="BT181" s="56"/>
      <c r="BU181" s="56"/>
      <c r="BV181" s="56"/>
      <c r="BW181" s="56"/>
      <c r="BX181" s="56"/>
      <c r="BY181" s="56"/>
      <c r="BZ181" s="56"/>
      <c r="CA181" s="56"/>
      <c r="CB181" s="56"/>
      <c r="CC181" s="56"/>
      <c r="CD181" s="56"/>
      <c r="CE181" s="56"/>
    </row>
    <row r="182" spans="1:83" x14ac:dyDescent="0.25">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c r="BJ182" s="56"/>
      <c r="BK182" s="56"/>
      <c r="BL182" s="56"/>
      <c r="BM182" s="56"/>
      <c r="BN182" s="56"/>
      <c r="BO182" s="56"/>
      <c r="BP182" s="56"/>
      <c r="BQ182" s="56"/>
      <c r="BR182" s="56"/>
      <c r="BS182" s="56"/>
      <c r="BT182" s="56"/>
      <c r="BU182" s="56"/>
      <c r="BV182" s="56"/>
      <c r="BW182" s="56"/>
      <c r="BX182" s="56"/>
      <c r="BY182" s="56"/>
      <c r="BZ182" s="56"/>
      <c r="CA182" s="56"/>
      <c r="CB182" s="56"/>
      <c r="CC182" s="56"/>
      <c r="CD182" s="56"/>
      <c r="CE182" s="56"/>
    </row>
    <row r="183" spans="1:83" x14ac:dyDescent="0.25">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c r="BJ183" s="56"/>
      <c r="BK183" s="56"/>
      <c r="BL183" s="56"/>
      <c r="BM183" s="56"/>
      <c r="BN183" s="56"/>
      <c r="BO183" s="56"/>
      <c r="BP183" s="56"/>
      <c r="BQ183" s="56"/>
      <c r="BR183" s="56"/>
      <c r="BS183" s="56"/>
      <c r="BT183" s="56"/>
      <c r="BU183" s="56"/>
      <c r="BV183" s="56"/>
      <c r="BW183" s="56"/>
      <c r="BX183" s="56"/>
      <c r="BY183" s="56"/>
      <c r="BZ183" s="56"/>
      <c r="CA183" s="56"/>
      <c r="CB183" s="56"/>
      <c r="CC183" s="56"/>
      <c r="CD183" s="56"/>
      <c r="CE183" s="56"/>
    </row>
    <row r="184" spans="1:83" x14ac:dyDescent="0.25">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c r="BJ184" s="56"/>
      <c r="BK184" s="56"/>
      <c r="BL184" s="56"/>
      <c r="BM184" s="56"/>
      <c r="BN184" s="56"/>
      <c r="BO184" s="56"/>
      <c r="BP184" s="56"/>
      <c r="BQ184" s="56"/>
      <c r="BR184" s="56"/>
      <c r="BS184" s="56"/>
      <c r="BT184" s="56"/>
      <c r="BU184" s="56"/>
      <c r="BV184" s="56"/>
      <c r="BW184" s="56"/>
      <c r="BX184" s="56"/>
      <c r="BY184" s="56"/>
      <c r="BZ184" s="56"/>
      <c r="CA184" s="56"/>
      <c r="CB184" s="56"/>
      <c r="CC184" s="56"/>
      <c r="CD184" s="56"/>
      <c r="CE184" s="56"/>
    </row>
    <row r="185" spans="1:83" x14ac:dyDescent="0.25">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c r="BJ185" s="56"/>
      <c r="BK185" s="56"/>
      <c r="BL185" s="56"/>
      <c r="BM185" s="56"/>
      <c r="BN185" s="56"/>
      <c r="BO185" s="56"/>
      <c r="BP185" s="56"/>
      <c r="BQ185" s="56"/>
      <c r="BR185" s="56"/>
      <c r="BS185" s="56"/>
      <c r="BT185" s="56"/>
      <c r="BU185" s="56"/>
      <c r="BV185" s="56"/>
      <c r="BW185" s="56"/>
      <c r="BX185" s="56"/>
      <c r="BY185" s="56"/>
      <c r="BZ185" s="56"/>
      <c r="CA185" s="56"/>
      <c r="CB185" s="56"/>
      <c r="CC185" s="56"/>
      <c r="CD185" s="56"/>
      <c r="CE185" s="56"/>
    </row>
    <row r="186" spans="1:83" x14ac:dyDescent="0.25">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c r="BJ186" s="56"/>
      <c r="BK186" s="56"/>
      <c r="BL186" s="56"/>
      <c r="BM186" s="56"/>
      <c r="BN186" s="56"/>
      <c r="BO186" s="56"/>
      <c r="BP186" s="56"/>
      <c r="BQ186" s="56"/>
      <c r="BR186" s="56"/>
      <c r="BS186" s="56"/>
      <c r="BT186" s="56"/>
      <c r="BU186" s="56"/>
      <c r="BV186" s="56"/>
      <c r="BW186" s="56"/>
      <c r="BX186" s="56"/>
      <c r="BY186" s="56"/>
      <c r="BZ186" s="56"/>
      <c r="CA186" s="56"/>
      <c r="CB186" s="56"/>
      <c r="CC186" s="56"/>
      <c r="CD186" s="56"/>
      <c r="CE186" s="56"/>
    </row>
    <row r="187" spans="1:83" x14ac:dyDescent="0.25">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56"/>
      <c r="BF187" s="56"/>
      <c r="BG187" s="56"/>
      <c r="BH187" s="56"/>
      <c r="BI187" s="56"/>
      <c r="BJ187" s="56"/>
      <c r="BK187" s="56"/>
      <c r="BL187" s="56"/>
      <c r="BM187" s="56"/>
      <c r="BN187" s="56"/>
      <c r="BO187" s="56"/>
      <c r="BP187" s="56"/>
      <c r="BQ187" s="56"/>
      <c r="BR187" s="56"/>
      <c r="BS187" s="56"/>
      <c r="BT187" s="56"/>
      <c r="BU187" s="56"/>
      <c r="BV187" s="56"/>
      <c r="BW187" s="56"/>
      <c r="BX187" s="56"/>
      <c r="BY187" s="56"/>
      <c r="BZ187" s="56"/>
      <c r="CA187" s="56"/>
      <c r="CB187" s="56"/>
      <c r="CC187" s="56"/>
      <c r="CD187" s="56"/>
      <c r="CE187" s="56"/>
    </row>
    <row r="188" spans="1:83" x14ac:dyDescent="0.25">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c r="BJ188" s="56"/>
      <c r="BK188" s="56"/>
      <c r="BL188" s="56"/>
      <c r="BM188" s="56"/>
      <c r="BN188" s="56"/>
      <c r="BO188" s="56"/>
      <c r="BP188" s="56"/>
      <c r="BQ188" s="56"/>
      <c r="BR188" s="56"/>
      <c r="BS188" s="56"/>
      <c r="BT188" s="56"/>
      <c r="BU188" s="56"/>
      <c r="BV188" s="56"/>
      <c r="BW188" s="56"/>
      <c r="BX188" s="56"/>
      <c r="BY188" s="56"/>
      <c r="BZ188" s="56"/>
      <c r="CA188" s="56"/>
      <c r="CB188" s="56"/>
      <c r="CC188" s="56"/>
      <c r="CD188" s="56"/>
      <c r="CE188" s="56"/>
    </row>
    <row r="189" spans="1:83" x14ac:dyDescent="0.25">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c r="BJ189" s="56"/>
      <c r="BK189" s="56"/>
      <c r="BL189" s="56"/>
      <c r="BM189" s="56"/>
      <c r="BN189" s="56"/>
      <c r="BO189" s="56"/>
      <c r="BP189" s="56"/>
      <c r="BQ189" s="56"/>
      <c r="BR189" s="56"/>
      <c r="BS189" s="56"/>
      <c r="BT189" s="56"/>
      <c r="BU189" s="56"/>
      <c r="BV189" s="56"/>
      <c r="BW189" s="56"/>
      <c r="BX189" s="56"/>
      <c r="BY189" s="56"/>
      <c r="BZ189" s="56"/>
      <c r="CA189" s="56"/>
      <c r="CB189" s="56"/>
      <c r="CC189" s="56"/>
      <c r="CD189" s="56"/>
      <c r="CE189" s="56"/>
    </row>
    <row r="190" spans="1:83" x14ac:dyDescent="0.25">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c r="BJ190" s="56"/>
      <c r="BK190" s="56"/>
      <c r="BL190" s="56"/>
      <c r="BM190" s="56"/>
      <c r="BN190" s="56"/>
      <c r="BO190" s="56"/>
      <c r="BP190" s="56"/>
      <c r="BQ190" s="56"/>
      <c r="BR190" s="56"/>
      <c r="BS190" s="56"/>
      <c r="BT190" s="56"/>
      <c r="BU190" s="56"/>
      <c r="BV190" s="56"/>
      <c r="BW190" s="56"/>
      <c r="BX190" s="56"/>
      <c r="BY190" s="56"/>
      <c r="BZ190" s="56"/>
      <c r="CA190" s="56"/>
      <c r="CB190" s="56"/>
      <c r="CC190" s="56"/>
      <c r="CD190" s="56"/>
      <c r="CE190" s="56"/>
    </row>
    <row r="191" spans="1:83" x14ac:dyDescent="0.25">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6"/>
      <c r="BE191" s="56"/>
      <c r="BF191" s="56"/>
      <c r="BG191" s="56"/>
      <c r="BH191" s="56"/>
      <c r="BI191" s="56"/>
      <c r="BJ191" s="56"/>
      <c r="BK191" s="56"/>
      <c r="BL191" s="56"/>
      <c r="BM191" s="56"/>
      <c r="BN191" s="56"/>
      <c r="BO191" s="56"/>
      <c r="BP191" s="56"/>
      <c r="BQ191" s="56"/>
      <c r="BR191" s="56"/>
      <c r="BS191" s="56"/>
      <c r="BT191" s="56"/>
      <c r="BU191" s="56"/>
      <c r="BV191" s="56"/>
      <c r="BW191" s="56"/>
      <c r="BX191" s="56"/>
      <c r="BY191" s="56"/>
      <c r="BZ191" s="56"/>
      <c r="CA191" s="56"/>
      <c r="CB191" s="56"/>
      <c r="CC191" s="56"/>
      <c r="CD191" s="56"/>
      <c r="CE191" s="56"/>
    </row>
    <row r="192" spans="1:83" x14ac:dyDescent="0.25">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6"/>
      <c r="BE192" s="56"/>
      <c r="BF192" s="56"/>
      <c r="BG192" s="56"/>
      <c r="BH192" s="56"/>
      <c r="BI192" s="56"/>
      <c r="BJ192" s="56"/>
      <c r="BK192" s="56"/>
      <c r="BL192" s="56"/>
      <c r="BM192" s="56"/>
      <c r="BN192" s="56"/>
      <c r="BO192" s="56"/>
      <c r="BP192" s="56"/>
      <c r="BQ192" s="56"/>
      <c r="BR192" s="56"/>
      <c r="BS192" s="56"/>
      <c r="BT192" s="56"/>
      <c r="BU192" s="56"/>
      <c r="BV192" s="56"/>
      <c r="BW192" s="56"/>
      <c r="BX192" s="56"/>
      <c r="BY192" s="56"/>
      <c r="BZ192" s="56"/>
      <c r="CA192" s="56"/>
      <c r="CB192" s="56"/>
      <c r="CC192" s="56"/>
      <c r="CD192" s="56"/>
      <c r="CE192" s="56"/>
    </row>
    <row r="193" spans="2:83" x14ac:dyDescent="0.25">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56"/>
      <c r="BF193" s="56"/>
      <c r="BG193" s="56"/>
      <c r="BH193" s="56"/>
      <c r="BI193" s="56"/>
      <c r="BJ193" s="56"/>
      <c r="BK193" s="56"/>
      <c r="BL193" s="56"/>
      <c r="BM193" s="56"/>
      <c r="BN193" s="56"/>
      <c r="BO193" s="56"/>
      <c r="BP193" s="56"/>
      <c r="BQ193" s="56"/>
      <c r="BR193" s="56"/>
      <c r="BS193" s="56"/>
      <c r="BT193" s="56"/>
      <c r="BU193" s="56"/>
      <c r="BV193" s="56"/>
      <c r="BW193" s="56"/>
      <c r="BX193" s="56"/>
      <c r="BY193" s="56"/>
      <c r="BZ193" s="56"/>
      <c r="CA193" s="56"/>
      <c r="CB193" s="56"/>
      <c r="CC193" s="56"/>
      <c r="CD193" s="56"/>
      <c r="CE193" s="56"/>
    </row>
    <row r="194" spans="2:83" x14ac:dyDescent="0.25">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c r="BJ194" s="56"/>
      <c r="BK194" s="56"/>
      <c r="BL194" s="56"/>
      <c r="BM194" s="56"/>
      <c r="BN194" s="56"/>
      <c r="BO194" s="56"/>
      <c r="BP194" s="56"/>
      <c r="BQ194" s="56"/>
      <c r="BR194" s="56"/>
      <c r="BS194" s="56"/>
      <c r="BT194" s="56"/>
      <c r="BU194" s="56"/>
      <c r="BV194" s="56"/>
      <c r="BW194" s="56"/>
      <c r="BX194" s="56"/>
      <c r="BY194" s="56"/>
      <c r="BZ194" s="56"/>
      <c r="CA194" s="56"/>
      <c r="CB194" s="56"/>
      <c r="CC194" s="56"/>
      <c r="CD194" s="56"/>
      <c r="CE194" s="56"/>
    </row>
    <row r="195" spans="2:83" x14ac:dyDescent="0.25">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c r="BJ195" s="56"/>
      <c r="BK195" s="56"/>
      <c r="BL195" s="56"/>
      <c r="BM195" s="56"/>
      <c r="BN195" s="56"/>
      <c r="BO195" s="56"/>
      <c r="BP195" s="56"/>
      <c r="BQ195" s="56"/>
      <c r="BR195" s="56"/>
      <c r="BS195" s="56"/>
      <c r="BT195" s="56"/>
      <c r="BU195" s="56"/>
      <c r="BV195" s="56"/>
      <c r="BW195" s="56"/>
      <c r="BX195" s="56"/>
      <c r="BY195" s="56"/>
      <c r="BZ195" s="56"/>
      <c r="CA195" s="56"/>
      <c r="CB195" s="56"/>
      <c r="CC195" s="56"/>
      <c r="CD195" s="56"/>
      <c r="CE195" s="56"/>
    </row>
    <row r="196" spans="2:83" x14ac:dyDescent="0.25">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c r="BJ196" s="56"/>
      <c r="BK196" s="56"/>
      <c r="BL196" s="56"/>
      <c r="BM196" s="56"/>
      <c r="BN196" s="56"/>
      <c r="BO196" s="56"/>
      <c r="BP196" s="56"/>
      <c r="BQ196" s="56"/>
      <c r="BR196" s="56"/>
      <c r="BS196" s="56"/>
      <c r="BT196" s="56"/>
      <c r="BU196" s="56"/>
      <c r="BV196" s="56"/>
      <c r="BW196" s="56"/>
      <c r="BX196" s="56"/>
      <c r="BY196" s="56"/>
      <c r="BZ196" s="56"/>
      <c r="CA196" s="56"/>
      <c r="CB196" s="56"/>
      <c r="CC196" s="56"/>
      <c r="CD196" s="56"/>
      <c r="CE196" s="56"/>
    </row>
    <row r="197" spans="2:83" x14ac:dyDescent="0.25">
      <c r="B197" s="56"/>
      <c r="C197" s="56"/>
      <c r="D197" s="56"/>
      <c r="E197" s="56"/>
      <c r="F197" s="56"/>
      <c r="G197" s="56"/>
      <c r="H197" s="56"/>
      <c r="I197" s="56"/>
      <c r="BI197" s="56"/>
      <c r="BJ197" s="56"/>
      <c r="BK197" s="56"/>
      <c r="BL197" s="56"/>
      <c r="BM197" s="56"/>
      <c r="BN197" s="56"/>
    </row>
    <row r="198" spans="2:83" x14ac:dyDescent="0.25">
      <c r="B198" s="56"/>
      <c r="C198" s="56"/>
      <c r="D198" s="56"/>
      <c r="E198" s="56"/>
      <c r="F198" s="56"/>
      <c r="G198" s="56"/>
      <c r="H198" s="56"/>
      <c r="I198" s="56"/>
      <c r="BI198" s="56"/>
      <c r="BJ198" s="56"/>
      <c r="BK198" s="56"/>
      <c r="BL198" s="56"/>
      <c r="BM198" s="56"/>
      <c r="BN198" s="56"/>
    </row>
    <row r="199" spans="2:83" x14ac:dyDescent="0.25">
      <c r="B199" s="56"/>
      <c r="C199" s="56"/>
      <c r="D199" s="56"/>
      <c r="E199" s="56"/>
      <c r="F199" s="56"/>
      <c r="G199" s="56"/>
      <c r="H199" s="56"/>
      <c r="I199" s="56"/>
      <c r="BI199" s="56"/>
      <c r="BJ199" s="56"/>
      <c r="BK199" s="56"/>
      <c r="BL199" s="56"/>
      <c r="BM199" s="56"/>
      <c r="BN199" s="56"/>
    </row>
    <row r="200" spans="2:83" x14ac:dyDescent="0.25">
      <c r="B200" s="56"/>
      <c r="C200" s="56"/>
      <c r="D200" s="56"/>
      <c r="E200" s="56"/>
      <c r="F200" s="56"/>
      <c r="G200" s="56"/>
      <c r="H200" s="56"/>
      <c r="I200" s="56"/>
      <c r="BI200" s="56"/>
      <c r="BJ200" s="56"/>
      <c r="BK200" s="56"/>
      <c r="BL200" s="56"/>
      <c r="BM200" s="56"/>
      <c r="BN200" s="56"/>
    </row>
    <row r="201" spans="2:83" x14ac:dyDescent="0.25">
      <c r="BI201" s="56"/>
      <c r="BJ201" s="56"/>
      <c r="BK201" s="56"/>
      <c r="BL201" s="56"/>
      <c r="BM201" s="56"/>
      <c r="BN201" s="56"/>
    </row>
    <row r="202" spans="2:83" x14ac:dyDescent="0.25">
      <c r="BI202" s="56"/>
      <c r="BJ202" s="56"/>
      <c r="BK202" s="56"/>
      <c r="BL202" s="56"/>
      <c r="BM202" s="56"/>
      <c r="BN202" s="56"/>
    </row>
    <row r="203" spans="2:83" x14ac:dyDescent="0.25">
      <c r="BI203" s="56"/>
      <c r="BJ203" s="56"/>
      <c r="BK203" s="56"/>
      <c r="BL203" s="56"/>
      <c r="BM203" s="56"/>
      <c r="BN203" s="56"/>
    </row>
    <row r="204" spans="2:83" x14ac:dyDescent="0.25">
      <c r="BI204" s="56"/>
      <c r="BJ204" s="56"/>
      <c r="BK204" s="56"/>
      <c r="BL204" s="56"/>
      <c r="BM204" s="56"/>
      <c r="BN204" s="56"/>
    </row>
  </sheetData>
  <mergeCells count="1267">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56"/>
      <c r="B1" s="529" t="s">
        <v>49</v>
      </c>
      <c r="C1" s="529"/>
      <c r="D1" s="529"/>
      <c r="E1" s="56"/>
      <c r="F1" s="56"/>
      <c r="G1" s="56"/>
      <c r="H1" s="56"/>
      <c r="I1" s="56"/>
      <c r="J1" s="56"/>
      <c r="K1" s="56"/>
      <c r="L1" s="56"/>
      <c r="M1" s="56"/>
      <c r="N1" s="56"/>
      <c r="O1" s="56"/>
      <c r="P1" s="56"/>
      <c r="Q1" s="56"/>
      <c r="R1" s="56"/>
      <c r="S1" s="56"/>
      <c r="T1" s="56"/>
      <c r="U1" s="56"/>
      <c r="V1" s="56"/>
      <c r="W1" s="56"/>
      <c r="X1" s="56"/>
      <c r="Y1" s="56"/>
      <c r="Z1" s="56"/>
      <c r="AA1" s="56"/>
      <c r="AB1" s="56"/>
      <c r="AC1" s="56"/>
      <c r="AD1" s="56"/>
      <c r="AE1" s="56"/>
    </row>
    <row r="2" spans="1:37" x14ac:dyDescent="0.2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row>
    <row r="3" spans="1:37" ht="25.5" x14ac:dyDescent="0.25">
      <c r="A3" s="56"/>
      <c r="B3" s="7"/>
      <c r="C3" s="8" t="s">
        <v>46</v>
      </c>
      <c r="D3" s="8" t="s">
        <v>4</v>
      </c>
      <c r="E3" s="56"/>
      <c r="F3" s="56"/>
      <c r="G3" s="56"/>
      <c r="H3" s="56"/>
      <c r="I3" s="56"/>
      <c r="J3" s="56"/>
      <c r="K3" s="56"/>
      <c r="L3" s="56"/>
      <c r="M3" s="56"/>
      <c r="N3" s="56"/>
      <c r="O3" s="56"/>
      <c r="P3" s="56"/>
      <c r="Q3" s="56"/>
      <c r="R3" s="56"/>
      <c r="S3" s="56"/>
      <c r="T3" s="56"/>
      <c r="U3" s="56"/>
      <c r="V3" s="56"/>
      <c r="W3" s="56"/>
      <c r="X3" s="56"/>
      <c r="Y3" s="56"/>
      <c r="Z3" s="56"/>
      <c r="AA3" s="56"/>
      <c r="AB3" s="56"/>
      <c r="AC3" s="56"/>
      <c r="AD3" s="56"/>
      <c r="AE3" s="56"/>
    </row>
    <row r="4" spans="1:37" ht="51" x14ac:dyDescent="0.25">
      <c r="A4" s="56"/>
      <c r="B4" s="9" t="s">
        <v>45</v>
      </c>
      <c r="C4" s="10" t="s">
        <v>93</v>
      </c>
      <c r="D4" s="11">
        <v>0.2</v>
      </c>
      <c r="E4" s="56"/>
      <c r="F4" s="56"/>
      <c r="G4" s="56"/>
      <c r="H4" s="56"/>
      <c r="I4" s="56"/>
      <c r="J4" s="56"/>
      <c r="K4" s="56"/>
      <c r="L4" s="56"/>
      <c r="M4" s="56"/>
      <c r="N4" s="56"/>
      <c r="O4" s="56"/>
      <c r="P4" s="56"/>
      <c r="Q4" s="56"/>
      <c r="R4" s="56"/>
      <c r="S4" s="56"/>
      <c r="T4" s="56"/>
      <c r="U4" s="56"/>
      <c r="V4" s="56"/>
      <c r="W4" s="56"/>
      <c r="X4" s="56"/>
      <c r="Y4" s="56"/>
      <c r="Z4" s="56"/>
      <c r="AA4" s="56"/>
      <c r="AB4" s="56"/>
      <c r="AC4" s="56"/>
      <c r="AD4" s="56"/>
      <c r="AE4" s="56"/>
    </row>
    <row r="5" spans="1:37" ht="51" x14ac:dyDescent="0.25">
      <c r="A5" s="56"/>
      <c r="B5" s="12" t="s">
        <v>47</v>
      </c>
      <c r="C5" s="13" t="s">
        <v>94</v>
      </c>
      <c r="D5" s="14">
        <v>0.4</v>
      </c>
      <c r="E5" s="56"/>
      <c r="F5" s="56"/>
      <c r="G5" s="56"/>
      <c r="H5" s="56"/>
      <c r="I5" s="56"/>
      <c r="J5" s="56"/>
      <c r="K5" s="56"/>
      <c r="L5" s="56"/>
      <c r="M5" s="56"/>
      <c r="N5" s="56"/>
      <c r="O5" s="56"/>
      <c r="P5" s="56"/>
      <c r="Q5" s="56"/>
      <c r="R5" s="56"/>
      <c r="S5" s="56"/>
      <c r="T5" s="56"/>
      <c r="U5" s="56"/>
      <c r="V5" s="56"/>
      <c r="W5" s="56"/>
      <c r="X5" s="56"/>
      <c r="Y5" s="56"/>
      <c r="Z5" s="56"/>
      <c r="AA5" s="56"/>
      <c r="AB5" s="56"/>
      <c r="AC5" s="56"/>
      <c r="AD5" s="56"/>
      <c r="AE5" s="56"/>
    </row>
    <row r="6" spans="1:37" ht="51" x14ac:dyDescent="0.25">
      <c r="A6" s="56"/>
      <c r="B6" s="15" t="s">
        <v>98</v>
      </c>
      <c r="C6" s="13" t="s">
        <v>95</v>
      </c>
      <c r="D6" s="14">
        <v>0.6</v>
      </c>
      <c r="E6" s="56"/>
      <c r="F6" s="56"/>
      <c r="G6" s="56"/>
      <c r="H6" s="56"/>
      <c r="I6" s="56"/>
      <c r="J6" s="56"/>
      <c r="K6" s="56"/>
      <c r="L6" s="56"/>
      <c r="M6" s="56"/>
      <c r="N6" s="56"/>
      <c r="O6" s="56"/>
      <c r="P6" s="56"/>
      <c r="Q6" s="56"/>
      <c r="R6" s="56"/>
      <c r="S6" s="56"/>
      <c r="T6" s="56"/>
      <c r="U6" s="56"/>
      <c r="V6" s="56"/>
      <c r="W6" s="56"/>
      <c r="X6" s="56"/>
      <c r="Y6" s="56"/>
      <c r="Z6" s="56"/>
      <c r="AA6" s="56"/>
      <c r="AB6" s="56"/>
      <c r="AC6" s="56"/>
      <c r="AD6" s="56"/>
      <c r="AE6" s="56"/>
    </row>
    <row r="7" spans="1:37" ht="76.5" x14ac:dyDescent="0.25">
      <c r="A7" s="56"/>
      <c r="B7" s="16" t="s">
        <v>6</v>
      </c>
      <c r="C7" s="13" t="s">
        <v>96</v>
      </c>
      <c r="D7" s="14">
        <v>0.8</v>
      </c>
      <c r="E7" s="56"/>
      <c r="F7" s="56"/>
      <c r="G7" s="56"/>
      <c r="H7" s="56"/>
      <c r="I7" s="56"/>
      <c r="J7" s="56"/>
      <c r="K7" s="56"/>
      <c r="L7" s="56"/>
      <c r="M7" s="56"/>
      <c r="N7" s="56"/>
      <c r="O7" s="56"/>
      <c r="P7" s="56"/>
      <c r="Q7" s="56"/>
      <c r="R7" s="56"/>
      <c r="S7" s="56"/>
      <c r="T7" s="56"/>
      <c r="U7" s="56"/>
      <c r="V7" s="56"/>
      <c r="W7" s="56"/>
      <c r="X7" s="56"/>
      <c r="Y7" s="56"/>
      <c r="Z7" s="56"/>
      <c r="AA7" s="56"/>
      <c r="AB7" s="56"/>
      <c r="AC7" s="56"/>
      <c r="AD7" s="56"/>
      <c r="AE7" s="56"/>
    </row>
    <row r="8" spans="1:37" ht="51" x14ac:dyDescent="0.25">
      <c r="A8" s="56"/>
      <c r="B8" s="17" t="s">
        <v>48</v>
      </c>
      <c r="C8" s="13" t="s">
        <v>97</v>
      </c>
      <c r="D8" s="14">
        <v>1</v>
      </c>
      <c r="E8" s="56"/>
      <c r="F8" s="56"/>
      <c r="G8" s="56"/>
      <c r="H8" s="56"/>
      <c r="I8" s="56"/>
      <c r="J8" s="56"/>
      <c r="K8" s="56"/>
      <c r="L8" s="56"/>
      <c r="M8" s="56"/>
      <c r="N8" s="56"/>
      <c r="O8" s="56"/>
      <c r="P8" s="56"/>
      <c r="Q8" s="56"/>
      <c r="R8" s="56"/>
      <c r="S8" s="56"/>
      <c r="T8" s="56"/>
      <c r="U8" s="56"/>
      <c r="V8" s="56"/>
      <c r="W8" s="56"/>
      <c r="X8" s="56"/>
      <c r="Y8" s="56"/>
      <c r="Z8" s="56"/>
      <c r="AA8" s="56"/>
      <c r="AB8" s="56"/>
      <c r="AC8" s="56"/>
      <c r="AD8" s="56"/>
      <c r="AE8" s="56"/>
    </row>
    <row r="9" spans="1:37" x14ac:dyDescent="0.25">
      <c r="A9" s="56"/>
      <c r="B9" s="80"/>
      <c r="C9" s="80"/>
      <c r="D9" s="80"/>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row>
    <row r="10" spans="1:37" ht="16.5" x14ac:dyDescent="0.25">
      <c r="A10" s="56"/>
      <c r="B10" s="81"/>
      <c r="C10" s="80"/>
      <c r="D10" s="80"/>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row>
    <row r="11" spans="1:37" x14ac:dyDescent="0.25">
      <c r="A11" s="56"/>
      <c r="B11" s="80"/>
      <c r="C11" s="80"/>
      <c r="D11" s="80"/>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row>
    <row r="12" spans="1:37" x14ac:dyDescent="0.25">
      <c r="A12" s="56"/>
      <c r="B12" s="80"/>
      <c r="C12" s="80"/>
      <c r="D12" s="80"/>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row>
    <row r="13" spans="1:37" x14ac:dyDescent="0.25">
      <c r="A13" s="56"/>
      <c r="B13" s="80"/>
      <c r="C13" s="80"/>
      <c r="D13" s="80"/>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row>
    <row r="14" spans="1:37" x14ac:dyDescent="0.25">
      <c r="A14" s="56"/>
      <c r="B14" s="80"/>
      <c r="C14" s="80"/>
      <c r="D14" s="80"/>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row>
    <row r="15" spans="1:37" x14ac:dyDescent="0.25">
      <c r="A15" s="56"/>
      <c r="B15" s="80"/>
      <c r="C15" s="80"/>
      <c r="D15" s="80"/>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row>
    <row r="16" spans="1:37" x14ac:dyDescent="0.25">
      <c r="A16" s="56"/>
      <c r="B16" s="80"/>
      <c r="C16" s="80"/>
      <c r="D16" s="80"/>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row>
    <row r="17" spans="1:37" x14ac:dyDescent="0.25">
      <c r="A17" s="56"/>
      <c r="B17" s="80"/>
      <c r="C17" s="80"/>
      <c r="D17" s="80"/>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row>
    <row r="18" spans="1:37" x14ac:dyDescent="0.25">
      <c r="A18" s="56"/>
      <c r="B18" s="80"/>
      <c r="C18" s="80"/>
      <c r="D18" s="80"/>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row>
    <row r="19" spans="1:37" x14ac:dyDescent="0.25">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row>
    <row r="20" spans="1:37" x14ac:dyDescent="0.25">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row>
    <row r="21" spans="1:37" x14ac:dyDescent="0.25">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row>
    <row r="22" spans="1:37" x14ac:dyDescent="0.25">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row>
    <row r="23" spans="1:37" x14ac:dyDescent="0.25">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row>
    <row r="24" spans="1:37" x14ac:dyDescent="0.25">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row>
    <row r="25" spans="1:37" x14ac:dyDescent="0.25">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row>
    <row r="26" spans="1:37" x14ac:dyDescent="0.25">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row>
    <row r="27" spans="1:37" x14ac:dyDescent="0.25">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row>
    <row r="28" spans="1:37" x14ac:dyDescent="0.25">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row>
    <row r="29" spans="1:37" x14ac:dyDescent="0.2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row>
    <row r="30" spans="1:37" x14ac:dyDescent="0.25">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row>
    <row r="31" spans="1:37" x14ac:dyDescent="0.25">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row>
    <row r="32" spans="1:37" x14ac:dyDescent="0.25">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row>
    <row r="33" spans="1:31" x14ac:dyDescent="0.25">
      <c r="A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row>
    <row r="34" spans="1:31" x14ac:dyDescent="0.25">
      <c r="A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row>
    <row r="35" spans="1:31" x14ac:dyDescent="0.25">
      <c r="A35" s="56"/>
    </row>
    <row r="36" spans="1:31" x14ac:dyDescent="0.25">
      <c r="A36" s="56"/>
    </row>
    <row r="37" spans="1:31" x14ac:dyDescent="0.25">
      <c r="A37" s="56"/>
    </row>
    <row r="38" spans="1:31" x14ac:dyDescent="0.25">
      <c r="A38" s="56"/>
    </row>
    <row r="39" spans="1:31" x14ac:dyDescent="0.25">
      <c r="A39" s="56"/>
    </row>
    <row r="40" spans="1:31" x14ac:dyDescent="0.25">
      <c r="A40" s="56"/>
    </row>
    <row r="41" spans="1:31" x14ac:dyDescent="0.25">
      <c r="A41" s="56"/>
    </row>
    <row r="42" spans="1:31" x14ac:dyDescent="0.25">
      <c r="A42" s="56"/>
    </row>
    <row r="43" spans="1:31" x14ac:dyDescent="0.25">
      <c r="A43" s="56"/>
    </row>
    <row r="44" spans="1:31" x14ac:dyDescent="0.25">
      <c r="A44" s="56"/>
    </row>
    <row r="45" spans="1:31" x14ac:dyDescent="0.25">
      <c r="A45" s="56"/>
    </row>
    <row r="46" spans="1:31" x14ac:dyDescent="0.25">
      <c r="A46" s="56"/>
    </row>
    <row r="47" spans="1:31" x14ac:dyDescent="0.25">
      <c r="A47" s="56"/>
    </row>
    <row r="48" spans="1:31" x14ac:dyDescent="0.25">
      <c r="A48" s="56"/>
    </row>
    <row r="49" spans="1:1" x14ac:dyDescent="0.25">
      <c r="A49" s="56"/>
    </row>
    <row r="50" spans="1:1" x14ac:dyDescent="0.25">
      <c r="A50" s="56"/>
    </row>
    <row r="51" spans="1:1" x14ac:dyDescent="0.25">
      <c r="A51" s="56"/>
    </row>
    <row r="52" spans="1:1" x14ac:dyDescent="0.25">
      <c r="A52" s="56"/>
    </row>
    <row r="53" spans="1:1" x14ac:dyDescent="0.25">
      <c r="A53" s="56"/>
    </row>
    <row r="54" spans="1:1" x14ac:dyDescent="0.25">
      <c r="A54" s="56"/>
    </row>
    <row r="55" spans="1:1" x14ac:dyDescent="0.25">
      <c r="A55" s="56"/>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204"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56"/>
      <c r="B1" s="530" t="s">
        <v>57</v>
      </c>
      <c r="C1" s="530"/>
      <c r="D1" s="530"/>
      <c r="E1" s="56"/>
      <c r="F1" s="56"/>
      <c r="G1" s="56"/>
      <c r="H1" s="56"/>
      <c r="I1" s="56"/>
      <c r="J1" s="56"/>
      <c r="K1" s="56"/>
      <c r="L1" s="56"/>
      <c r="M1" s="56"/>
      <c r="N1" s="56"/>
      <c r="O1" s="56"/>
      <c r="P1" s="56"/>
      <c r="Q1" s="56"/>
      <c r="R1" s="56"/>
      <c r="S1" s="56"/>
      <c r="T1" s="56"/>
      <c r="U1" s="56"/>
    </row>
    <row r="2" spans="1:21" x14ac:dyDescent="0.25">
      <c r="A2" s="56"/>
      <c r="B2" s="56"/>
      <c r="C2" s="56"/>
      <c r="D2" s="56"/>
      <c r="E2" s="56"/>
      <c r="F2" s="56"/>
      <c r="G2" s="56"/>
      <c r="H2" s="56"/>
      <c r="I2" s="56"/>
      <c r="J2" s="56"/>
      <c r="K2" s="56"/>
      <c r="L2" s="56"/>
      <c r="M2" s="56"/>
      <c r="N2" s="56"/>
      <c r="O2" s="56"/>
      <c r="P2" s="56"/>
      <c r="Q2" s="56"/>
      <c r="R2" s="56"/>
      <c r="S2" s="56"/>
      <c r="T2" s="56"/>
      <c r="U2" s="56"/>
    </row>
    <row r="3" spans="1:21" ht="30" x14ac:dyDescent="0.25">
      <c r="A3" s="56"/>
      <c r="B3" s="77"/>
      <c r="C3" s="30" t="s">
        <v>50</v>
      </c>
      <c r="D3" s="30" t="s">
        <v>51</v>
      </c>
      <c r="E3" s="56"/>
      <c r="F3" s="56"/>
      <c r="G3" s="56"/>
      <c r="H3" s="56"/>
      <c r="I3" s="56"/>
      <c r="J3" s="56"/>
      <c r="K3" s="56"/>
      <c r="L3" s="56"/>
      <c r="M3" s="56"/>
      <c r="N3" s="56"/>
      <c r="O3" s="56"/>
      <c r="P3" s="56"/>
      <c r="Q3" s="56"/>
      <c r="R3" s="56"/>
      <c r="S3" s="56"/>
      <c r="T3" s="56"/>
      <c r="U3" s="56"/>
    </row>
    <row r="4" spans="1:21" ht="33.75" x14ac:dyDescent="0.25">
      <c r="A4" s="76" t="s">
        <v>77</v>
      </c>
      <c r="B4" s="33" t="s">
        <v>92</v>
      </c>
      <c r="C4" s="38" t="s">
        <v>132</v>
      </c>
      <c r="D4" s="31" t="s">
        <v>90</v>
      </c>
      <c r="E4" s="56"/>
      <c r="F4" s="56"/>
      <c r="G4" s="56"/>
      <c r="H4" s="56"/>
      <c r="I4" s="56"/>
      <c r="J4" s="56"/>
      <c r="K4" s="56"/>
      <c r="L4" s="56"/>
      <c r="M4" s="56"/>
      <c r="N4" s="56"/>
      <c r="O4" s="56"/>
      <c r="P4" s="56"/>
      <c r="Q4" s="56"/>
      <c r="R4" s="56"/>
      <c r="S4" s="56"/>
      <c r="T4" s="56"/>
      <c r="U4" s="56"/>
    </row>
    <row r="5" spans="1:21" ht="101.25" x14ac:dyDescent="0.25">
      <c r="A5" s="76" t="s">
        <v>78</v>
      </c>
      <c r="B5" s="34" t="s">
        <v>53</v>
      </c>
      <c r="C5" s="39" t="s">
        <v>86</v>
      </c>
      <c r="D5" s="32" t="s">
        <v>488</v>
      </c>
      <c r="E5" s="56"/>
      <c r="F5" s="56"/>
      <c r="G5" s="56"/>
      <c r="H5" s="56"/>
      <c r="I5" s="56"/>
      <c r="J5" s="56"/>
      <c r="K5" s="56"/>
      <c r="L5" s="56"/>
      <c r="M5" s="56"/>
      <c r="N5" s="56"/>
      <c r="O5" s="56"/>
      <c r="P5" s="56"/>
      <c r="Q5" s="56"/>
      <c r="R5" s="56"/>
      <c r="S5" s="56"/>
      <c r="T5" s="56"/>
      <c r="U5" s="56"/>
    </row>
    <row r="6" spans="1:21" ht="67.5" x14ac:dyDescent="0.25">
      <c r="A6" s="76" t="s">
        <v>75</v>
      </c>
      <c r="B6" s="35" t="s">
        <v>54</v>
      </c>
      <c r="C6" s="39" t="s">
        <v>87</v>
      </c>
      <c r="D6" s="32" t="s">
        <v>91</v>
      </c>
      <c r="E6" s="56"/>
      <c r="F6" s="56"/>
      <c r="G6" s="56"/>
      <c r="H6" s="56"/>
      <c r="I6" s="56"/>
      <c r="J6" s="56"/>
      <c r="K6" s="56"/>
      <c r="L6" s="56"/>
      <c r="M6" s="56"/>
      <c r="N6" s="56"/>
      <c r="O6" s="56"/>
      <c r="P6" s="56"/>
      <c r="Q6" s="56"/>
      <c r="R6" s="56"/>
      <c r="S6" s="56"/>
      <c r="T6" s="56"/>
      <c r="U6" s="56"/>
    </row>
    <row r="7" spans="1:21" ht="101.25" x14ac:dyDescent="0.25">
      <c r="A7" s="76" t="s">
        <v>7</v>
      </c>
      <c r="B7" s="36" t="s">
        <v>55</v>
      </c>
      <c r="C7" s="39" t="s">
        <v>88</v>
      </c>
      <c r="D7" s="32" t="s">
        <v>490</v>
      </c>
      <c r="E7" s="56"/>
      <c r="F7" s="56"/>
      <c r="G7" s="56"/>
      <c r="H7" s="56"/>
      <c r="I7" s="56"/>
      <c r="J7" s="56"/>
      <c r="K7" s="56"/>
      <c r="L7" s="56"/>
      <c r="M7" s="56"/>
      <c r="N7" s="56"/>
      <c r="O7" s="56"/>
      <c r="P7" s="56"/>
      <c r="Q7" s="56"/>
      <c r="R7" s="56"/>
      <c r="S7" s="56"/>
      <c r="T7" s="56"/>
      <c r="U7" s="56"/>
    </row>
    <row r="8" spans="1:21" ht="67.5" x14ac:dyDescent="0.25">
      <c r="A8" s="76" t="s">
        <v>79</v>
      </c>
      <c r="B8" s="37" t="s">
        <v>56</v>
      </c>
      <c r="C8" s="39" t="s">
        <v>89</v>
      </c>
      <c r="D8" s="32" t="s">
        <v>109</v>
      </c>
      <c r="E8" s="56"/>
      <c r="F8" s="56"/>
      <c r="G8" s="56"/>
      <c r="H8" s="56"/>
      <c r="I8" s="56"/>
      <c r="J8" s="56"/>
      <c r="K8" s="56"/>
      <c r="L8" s="56"/>
      <c r="M8" s="56"/>
      <c r="N8" s="56"/>
      <c r="O8" s="56"/>
      <c r="P8" s="56"/>
      <c r="Q8" s="56"/>
      <c r="R8" s="56"/>
      <c r="S8" s="56"/>
      <c r="T8" s="56"/>
      <c r="U8" s="56"/>
    </row>
    <row r="9" spans="1:21" ht="20.25" x14ac:dyDescent="0.25">
      <c r="A9" s="76"/>
      <c r="B9" s="76"/>
      <c r="C9" s="78"/>
      <c r="D9" s="78"/>
      <c r="E9" s="56"/>
      <c r="F9" s="56"/>
      <c r="G9" s="56"/>
      <c r="H9" s="56"/>
      <c r="I9" s="56"/>
      <c r="J9" s="56"/>
      <c r="K9" s="56"/>
      <c r="L9" s="56"/>
      <c r="M9" s="56"/>
      <c r="N9" s="56"/>
      <c r="O9" s="56"/>
      <c r="P9" s="56"/>
      <c r="Q9" s="56"/>
      <c r="R9" s="56"/>
      <c r="S9" s="56"/>
      <c r="T9" s="56"/>
      <c r="U9" s="56"/>
    </row>
    <row r="10" spans="1:21" ht="16.5" x14ac:dyDescent="0.25">
      <c r="A10" s="76"/>
      <c r="B10" s="79"/>
      <c r="C10" s="79"/>
      <c r="D10" s="79"/>
      <c r="E10" s="56"/>
      <c r="F10" s="56"/>
      <c r="G10" s="56"/>
      <c r="H10" s="56"/>
      <c r="I10" s="56"/>
      <c r="J10" s="56"/>
      <c r="K10" s="56"/>
      <c r="L10" s="56"/>
      <c r="M10" s="56"/>
      <c r="N10" s="56"/>
      <c r="O10" s="56"/>
      <c r="P10" s="56"/>
      <c r="Q10" s="56"/>
      <c r="R10" s="56"/>
      <c r="S10" s="56"/>
      <c r="T10" s="56"/>
      <c r="U10" s="56"/>
    </row>
    <row r="11" spans="1:21" x14ac:dyDescent="0.25">
      <c r="A11" s="76"/>
      <c r="B11" s="76" t="s">
        <v>84</v>
      </c>
      <c r="C11" s="76" t="s">
        <v>480</v>
      </c>
      <c r="D11" s="76" t="s">
        <v>481</v>
      </c>
      <c r="E11" s="56"/>
      <c r="F11" s="56"/>
      <c r="G11" s="56"/>
      <c r="H11" s="56"/>
      <c r="I11" s="56"/>
      <c r="J11" s="56"/>
      <c r="K11" s="56"/>
      <c r="L11" s="56"/>
      <c r="M11" s="56"/>
      <c r="N11" s="56"/>
      <c r="O11" s="56"/>
      <c r="P11" s="56"/>
      <c r="Q11" s="56"/>
      <c r="R11" s="56"/>
      <c r="S11" s="56"/>
      <c r="T11" s="56"/>
      <c r="U11" s="56"/>
    </row>
    <row r="12" spans="1:21" x14ac:dyDescent="0.25">
      <c r="A12" s="76"/>
      <c r="B12" s="76" t="s">
        <v>82</v>
      </c>
      <c r="C12" s="76" t="s">
        <v>482</v>
      </c>
      <c r="D12" s="76" t="s">
        <v>489</v>
      </c>
      <c r="E12" s="56"/>
      <c r="F12" s="56"/>
      <c r="G12" s="56"/>
      <c r="H12" s="56"/>
      <c r="I12" s="56"/>
      <c r="J12" s="56"/>
      <c r="K12" s="56"/>
      <c r="L12" s="56"/>
      <c r="M12" s="56"/>
      <c r="N12" s="56"/>
      <c r="O12" s="56"/>
      <c r="P12" s="56"/>
      <c r="Q12" s="56"/>
      <c r="R12" s="56"/>
      <c r="S12" s="56"/>
      <c r="T12" s="56"/>
      <c r="U12" s="56"/>
    </row>
    <row r="13" spans="1:21" x14ac:dyDescent="0.25">
      <c r="A13" s="76"/>
      <c r="B13" s="76"/>
      <c r="C13" s="76" t="s">
        <v>483</v>
      </c>
      <c r="D13" s="76" t="s">
        <v>484</v>
      </c>
      <c r="E13" s="56"/>
      <c r="F13" s="56"/>
      <c r="G13" s="56"/>
      <c r="H13" s="56"/>
      <c r="I13" s="56"/>
      <c r="J13" s="56"/>
      <c r="K13" s="56"/>
      <c r="L13" s="56"/>
      <c r="M13" s="56"/>
      <c r="N13" s="56"/>
      <c r="O13" s="56"/>
      <c r="P13" s="56"/>
      <c r="Q13" s="56"/>
      <c r="R13" s="56"/>
      <c r="S13" s="56"/>
      <c r="T13" s="56"/>
      <c r="U13" s="56"/>
    </row>
    <row r="14" spans="1:21" x14ac:dyDescent="0.25">
      <c r="A14" s="76"/>
      <c r="B14" s="76"/>
      <c r="C14" s="76" t="s">
        <v>485</v>
      </c>
      <c r="D14" s="76" t="s">
        <v>491</v>
      </c>
      <c r="E14" s="56"/>
      <c r="F14" s="56"/>
      <c r="G14" s="56"/>
      <c r="H14" s="56"/>
      <c r="I14" s="56"/>
      <c r="J14" s="56"/>
      <c r="K14" s="56"/>
      <c r="L14" s="56"/>
      <c r="M14" s="56"/>
      <c r="N14" s="56"/>
      <c r="O14" s="56"/>
      <c r="P14" s="56"/>
      <c r="Q14" s="56"/>
      <c r="R14" s="56"/>
      <c r="S14" s="56"/>
      <c r="T14" s="56"/>
      <c r="U14" s="56"/>
    </row>
    <row r="15" spans="1:21" x14ac:dyDescent="0.25">
      <c r="A15" s="76"/>
      <c r="B15" s="76"/>
      <c r="C15" s="76" t="s">
        <v>486</v>
      </c>
      <c r="D15" s="76" t="s">
        <v>487</v>
      </c>
      <c r="E15" s="56"/>
      <c r="F15" s="56"/>
      <c r="G15" s="56"/>
      <c r="H15" s="56"/>
      <c r="I15" s="56"/>
      <c r="J15" s="56"/>
      <c r="K15" s="56"/>
      <c r="L15" s="56"/>
      <c r="M15" s="56"/>
      <c r="N15" s="56"/>
      <c r="O15" s="56"/>
      <c r="P15" s="56"/>
      <c r="Q15" s="56"/>
      <c r="R15" s="56"/>
      <c r="S15" s="56"/>
      <c r="T15" s="56"/>
      <c r="U15" s="56"/>
    </row>
    <row r="16" spans="1:21" x14ac:dyDescent="0.25">
      <c r="A16" s="76"/>
      <c r="B16" s="76"/>
      <c r="C16" s="76"/>
      <c r="D16" s="76"/>
      <c r="E16" s="56"/>
      <c r="F16" s="56"/>
      <c r="G16" s="56"/>
      <c r="H16" s="56"/>
      <c r="I16" s="56"/>
      <c r="J16" s="56"/>
      <c r="K16" s="56"/>
      <c r="L16" s="56"/>
      <c r="M16" s="56"/>
      <c r="N16" s="56"/>
      <c r="O16" s="56"/>
    </row>
    <row r="17" spans="1:15" x14ac:dyDescent="0.25">
      <c r="A17" s="76"/>
      <c r="B17" s="76"/>
      <c r="C17" s="76"/>
      <c r="D17" s="76"/>
      <c r="E17" s="56"/>
      <c r="F17" s="56"/>
      <c r="G17" s="56"/>
      <c r="H17" s="56"/>
      <c r="I17" s="56"/>
      <c r="J17" s="56"/>
      <c r="K17" s="56"/>
      <c r="L17" s="56"/>
      <c r="M17" s="56"/>
      <c r="N17" s="56"/>
      <c r="O17" s="56"/>
    </row>
    <row r="18" spans="1:15" x14ac:dyDescent="0.25">
      <c r="A18" s="76"/>
      <c r="B18" s="80"/>
      <c r="C18" s="80"/>
      <c r="D18" s="80"/>
      <c r="E18" s="56"/>
      <c r="F18" s="56"/>
      <c r="G18" s="56"/>
      <c r="H18" s="56"/>
      <c r="I18" s="56"/>
      <c r="J18" s="56"/>
      <c r="K18" s="56"/>
      <c r="L18" s="56"/>
      <c r="M18" s="56"/>
      <c r="N18" s="56"/>
      <c r="O18" s="56"/>
    </row>
    <row r="19" spans="1:15" x14ac:dyDescent="0.25">
      <c r="A19" s="76"/>
      <c r="B19" s="80"/>
      <c r="C19" s="80"/>
      <c r="D19" s="80"/>
      <c r="E19" s="56"/>
      <c r="F19" s="56"/>
      <c r="G19" s="56"/>
      <c r="H19" s="56"/>
      <c r="I19" s="56"/>
      <c r="J19" s="56"/>
      <c r="K19" s="56"/>
      <c r="L19" s="56"/>
      <c r="M19" s="56"/>
      <c r="N19" s="56"/>
      <c r="O19" s="56"/>
    </row>
    <row r="20" spans="1:15" x14ac:dyDescent="0.25">
      <c r="A20" s="76"/>
      <c r="B20" s="80"/>
      <c r="C20" s="80"/>
      <c r="D20" s="80"/>
      <c r="E20" s="56"/>
      <c r="F20" s="56"/>
      <c r="G20" s="56"/>
      <c r="H20" s="56"/>
      <c r="I20" s="56"/>
      <c r="J20" s="56"/>
      <c r="K20" s="56"/>
      <c r="L20" s="56"/>
      <c r="M20" s="56"/>
      <c r="N20" s="56"/>
      <c r="O20" s="56"/>
    </row>
    <row r="21" spans="1:15" x14ac:dyDescent="0.25">
      <c r="A21" s="76"/>
      <c r="B21" s="80"/>
      <c r="C21" s="80"/>
      <c r="D21" s="80"/>
      <c r="E21" s="56"/>
      <c r="F21" s="56"/>
      <c r="G21" s="56"/>
      <c r="H21" s="56"/>
      <c r="I21" s="56"/>
      <c r="J21" s="56"/>
      <c r="K21" s="56"/>
      <c r="L21" s="56"/>
      <c r="M21" s="56"/>
      <c r="N21" s="56"/>
      <c r="O21" s="56"/>
    </row>
    <row r="22" spans="1:15" ht="20.25" x14ac:dyDescent="0.25">
      <c r="A22" s="76"/>
      <c r="B22" s="76"/>
      <c r="C22" s="78"/>
      <c r="D22" s="78"/>
      <c r="E22" s="56"/>
      <c r="F22" s="56"/>
      <c r="G22" s="56"/>
      <c r="H22" s="56"/>
      <c r="I22" s="56"/>
      <c r="J22" s="56"/>
      <c r="K22" s="56"/>
      <c r="L22" s="56"/>
      <c r="M22" s="56"/>
      <c r="N22" s="56"/>
      <c r="O22" s="56"/>
    </row>
    <row r="23" spans="1:15" ht="20.25" x14ac:dyDescent="0.25">
      <c r="A23" s="76"/>
      <c r="B23" s="76"/>
      <c r="C23" s="78"/>
      <c r="D23" s="78"/>
      <c r="E23" s="56"/>
      <c r="F23" s="56"/>
      <c r="G23" s="56"/>
      <c r="H23" s="56"/>
      <c r="I23" s="56"/>
      <c r="J23" s="56"/>
      <c r="K23" s="56"/>
      <c r="L23" s="56"/>
      <c r="M23" s="56"/>
      <c r="N23" s="56"/>
      <c r="O23" s="56"/>
    </row>
    <row r="24" spans="1:15" ht="20.25" x14ac:dyDescent="0.25">
      <c r="A24" s="76"/>
      <c r="B24" s="76"/>
      <c r="C24" s="78"/>
      <c r="D24" s="78"/>
      <c r="E24" s="56"/>
      <c r="F24" s="56"/>
      <c r="G24" s="56"/>
      <c r="H24" s="56"/>
      <c r="I24" s="56"/>
      <c r="J24" s="56"/>
      <c r="K24" s="56"/>
      <c r="L24" s="56"/>
      <c r="M24" s="56"/>
      <c r="N24" s="56"/>
      <c r="O24" s="56"/>
    </row>
    <row r="25" spans="1:15" ht="20.25" x14ac:dyDescent="0.25">
      <c r="A25" s="76"/>
      <c r="B25" s="76"/>
      <c r="C25" s="78"/>
      <c r="D25" s="78"/>
      <c r="E25" s="56"/>
      <c r="F25" s="56"/>
      <c r="G25" s="56"/>
      <c r="H25" s="56"/>
      <c r="I25" s="56"/>
      <c r="J25" s="56"/>
      <c r="K25" s="56"/>
      <c r="L25" s="56"/>
      <c r="M25" s="56"/>
      <c r="N25" s="56"/>
      <c r="O25" s="56"/>
    </row>
    <row r="26" spans="1:15" ht="20.25" x14ac:dyDescent="0.25">
      <c r="A26" s="76"/>
      <c r="B26" s="76"/>
      <c r="C26" s="78"/>
      <c r="D26" s="78"/>
      <c r="E26" s="56"/>
      <c r="F26" s="56"/>
      <c r="G26" s="56"/>
      <c r="H26" s="56"/>
      <c r="I26" s="56"/>
      <c r="J26" s="56"/>
      <c r="K26" s="56"/>
      <c r="L26" s="56"/>
      <c r="M26" s="56"/>
      <c r="N26" s="56"/>
      <c r="O26" s="56"/>
    </row>
    <row r="27" spans="1:15" ht="20.25" x14ac:dyDescent="0.25">
      <c r="A27" s="76"/>
      <c r="B27" s="76"/>
      <c r="C27" s="78"/>
      <c r="D27" s="78"/>
      <c r="E27" s="56"/>
      <c r="F27" s="56"/>
      <c r="G27" s="56"/>
      <c r="H27" s="56"/>
      <c r="I27" s="56"/>
      <c r="J27" s="56"/>
      <c r="K27" s="56"/>
      <c r="L27" s="56"/>
      <c r="M27" s="56"/>
      <c r="N27" s="56"/>
      <c r="O27" s="56"/>
    </row>
    <row r="28" spans="1:15" ht="20.25" x14ac:dyDescent="0.25">
      <c r="A28" s="76"/>
      <c r="B28" s="76"/>
      <c r="C28" s="78"/>
      <c r="D28" s="78"/>
      <c r="E28" s="56"/>
      <c r="F28" s="56"/>
      <c r="G28" s="56"/>
      <c r="H28" s="56"/>
      <c r="I28" s="56"/>
      <c r="J28" s="56"/>
      <c r="K28" s="56"/>
      <c r="L28" s="56"/>
      <c r="M28" s="56"/>
      <c r="N28" s="56"/>
      <c r="O28" s="56"/>
    </row>
    <row r="29" spans="1:15" ht="20.25" x14ac:dyDescent="0.25">
      <c r="A29" s="76"/>
      <c r="B29" s="76"/>
      <c r="C29" s="78"/>
      <c r="D29" s="78"/>
      <c r="E29" s="56"/>
      <c r="F29" s="56"/>
      <c r="G29" s="56"/>
      <c r="H29" s="56"/>
      <c r="I29" s="56"/>
      <c r="J29" s="56"/>
      <c r="K29" s="56"/>
      <c r="L29" s="56"/>
      <c r="M29" s="56"/>
      <c r="N29" s="56"/>
      <c r="O29" s="56"/>
    </row>
    <row r="30" spans="1:15" ht="20.25" x14ac:dyDescent="0.25">
      <c r="A30" s="76"/>
      <c r="B30" s="76"/>
      <c r="C30" s="78"/>
      <c r="D30" s="78"/>
      <c r="E30" s="56"/>
      <c r="F30" s="56"/>
      <c r="G30" s="56"/>
      <c r="H30" s="56"/>
      <c r="I30" s="56"/>
      <c r="J30" s="56"/>
      <c r="K30" s="56"/>
      <c r="L30" s="56"/>
      <c r="M30" s="56"/>
      <c r="N30" s="56"/>
      <c r="O30" s="56"/>
    </row>
    <row r="31" spans="1:15" ht="20.25" x14ac:dyDescent="0.25">
      <c r="A31" s="76"/>
      <c r="B31" s="76"/>
      <c r="C31" s="78"/>
      <c r="D31" s="78"/>
      <c r="E31" s="56"/>
      <c r="F31" s="56"/>
      <c r="G31" s="56"/>
      <c r="H31" s="56"/>
      <c r="I31" s="56"/>
      <c r="J31" s="56"/>
      <c r="K31" s="56"/>
      <c r="L31" s="56"/>
      <c r="M31" s="56"/>
      <c r="N31" s="56"/>
      <c r="O31" s="56"/>
    </row>
    <row r="32" spans="1:15" ht="20.25" x14ac:dyDescent="0.25">
      <c r="A32" s="76"/>
      <c r="B32" s="76"/>
      <c r="C32" s="78"/>
      <c r="D32" s="78"/>
      <c r="E32" s="56"/>
      <c r="F32" s="56"/>
      <c r="G32" s="56"/>
      <c r="H32" s="56"/>
      <c r="I32" s="56"/>
      <c r="J32" s="56"/>
      <c r="K32" s="56"/>
      <c r="L32" s="56"/>
      <c r="M32" s="56"/>
      <c r="N32" s="56"/>
      <c r="O32" s="56"/>
    </row>
    <row r="33" spans="1:15" ht="20.25" x14ac:dyDescent="0.25">
      <c r="A33" s="76"/>
      <c r="B33" s="76"/>
      <c r="C33" s="78"/>
      <c r="D33" s="78"/>
      <c r="E33" s="56"/>
      <c r="F33" s="56"/>
      <c r="G33" s="56"/>
      <c r="H33" s="56"/>
      <c r="I33" s="56"/>
      <c r="J33" s="56"/>
      <c r="K33" s="56"/>
      <c r="L33" s="56"/>
      <c r="M33" s="56"/>
      <c r="N33" s="56"/>
      <c r="O33" s="56"/>
    </row>
    <row r="34" spans="1:15" ht="20.25" x14ac:dyDescent="0.25">
      <c r="A34" s="76"/>
      <c r="B34" s="76"/>
      <c r="C34" s="78"/>
      <c r="D34" s="78"/>
      <c r="E34" s="56"/>
      <c r="F34" s="56"/>
      <c r="G34" s="56"/>
      <c r="H34" s="56"/>
      <c r="I34" s="56"/>
      <c r="J34" s="56"/>
      <c r="K34" s="56"/>
      <c r="L34" s="56"/>
      <c r="M34" s="56"/>
      <c r="N34" s="56"/>
      <c r="O34" s="56"/>
    </row>
    <row r="35" spans="1:15" ht="20.25" x14ac:dyDescent="0.25">
      <c r="A35" s="76"/>
      <c r="B35" s="76"/>
      <c r="C35" s="78"/>
      <c r="D35" s="78"/>
      <c r="E35" s="56"/>
      <c r="F35" s="56"/>
      <c r="G35" s="56"/>
      <c r="H35" s="56"/>
      <c r="I35" s="56"/>
      <c r="J35" s="56"/>
      <c r="K35" s="56"/>
      <c r="L35" s="56"/>
      <c r="M35" s="56"/>
      <c r="N35" s="56"/>
      <c r="O35" s="56"/>
    </row>
    <row r="36" spans="1:15" ht="20.25" x14ac:dyDescent="0.25">
      <c r="A36" s="76"/>
      <c r="B36" s="76"/>
      <c r="C36" s="78"/>
      <c r="D36" s="78"/>
      <c r="E36" s="56"/>
      <c r="F36" s="56"/>
      <c r="G36" s="56"/>
      <c r="H36" s="56"/>
      <c r="I36" s="56"/>
      <c r="J36" s="56"/>
      <c r="K36" s="56"/>
      <c r="L36" s="56"/>
      <c r="M36" s="56"/>
      <c r="N36" s="56"/>
      <c r="O36" s="56"/>
    </row>
    <row r="37" spans="1:15" ht="20.25" x14ac:dyDescent="0.25">
      <c r="A37" s="76"/>
      <c r="B37" s="76"/>
      <c r="C37" s="78"/>
      <c r="D37" s="78"/>
      <c r="E37" s="56"/>
      <c r="F37" s="56"/>
      <c r="G37" s="56"/>
      <c r="H37" s="56"/>
      <c r="I37" s="56"/>
      <c r="J37" s="56"/>
      <c r="K37" s="56"/>
      <c r="L37" s="56"/>
      <c r="M37" s="56"/>
      <c r="N37" s="56"/>
      <c r="O37" s="56"/>
    </row>
    <row r="38" spans="1:15" ht="20.25" x14ac:dyDescent="0.25">
      <c r="A38" s="76"/>
      <c r="B38" s="76"/>
      <c r="C38" s="78"/>
      <c r="D38" s="78"/>
      <c r="E38" s="56"/>
      <c r="F38" s="56"/>
      <c r="G38" s="56"/>
      <c r="H38" s="56"/>
      <c r="I38" s="56"/>
      <c r="J38" s="56"/>
      <c r="K38" s="56"/>
      <c r="L38" s="56"/>
      <c r="M38" s="56"/>
      <c r="N38" s="56"/>
      <c r="O38" s="56"/>
    </row>
    <row r="39" spans="1:15" ht="20.25" x14ac:dyDescent="0.25">
      <c r="A39" s="76"/>
      <c r="B39" s="76"/>
      <c r="C39" s="78"/>
      <c r="D39" s="78"/>
      <c r="E39" s="56"/>
      <c r="F39" s="56"/>
      <c r="G39" s="56"/>
      <c r="H39" s="56"/>
      <c r="I39" s="56"/>
      <c r="J39" s="56"/>
      <c r="K39" s="56"/>
      <c r="L39" s="56"/>
      <c r="M39" s="56"/>
      <c r="N39" s="56"/>
      <c r="O39" s="56"/>
    </row>
    <row r="40" spans="1:15" ht="20.25" x14ac:dyDescent="0.25">
      <c r="A40" s="76"/>
      <c r="B40" s="76"/>
      <c r="C40" s="78"/>
      <c r="D40" s="78"/>
      <c r="E40" s="56"/>
      <c r="F40" s="56"/>
      <c r="G40" s="56"/>
      <c r="H40" s="56"/>
      <c r="I40" s="56"/>
      <c r="J40" s="56"/>
      <c r="K40" s="56"/>
      <c r="L40" s="56"/>
      <c r="M40" s="56"/>
      <c r="N40" s="56"/>
      <c r="O40" s="56"/>
    </row>
    <row r="41" spans="1:15" ht="20.25" x14ac:dyDescent="0.25">
      <c r="A41" s="76"/>
      <c r="B41" s="76"/>
      <c r="C41" s="78"/>
      <c r="D41" s="78"/>
      <c r="E41" s="56"/>
      <c r="F41" s="56"/>
      <c r="G41" s="56"/>
      <c r="H41" s="56"/>
      <c r="I41" s="56"/>
      <c r="J41" s="56"/>
      <c r="K41" s="56"/>
      <c r="L41" s="56"/>
      <c r="M41" s="56"/>
      <c r="N41" s="56"/>
      <c r="O41" s="56"/>
    </row>
    <row r="42" spans="1:15" ht="20.25" x14ac:dyDescent="0.25">
      <c r="A42" s="76"/>
      <c r="B42" s="76"/>
      <c r="C42" s="78"/>
      <c r="D42" s="78"/>
      <c r="E42" s="56"/>
      <c r="F42" s="56"/>
      <c r="G42" s="56"/>
      <c r="H42" s="56"/>
      <c r="I42" s="56"/>
      <c r="J42" s="56"/>
      <c r="K42" s="56"/>
      <c r="L42" s="56"/>
      <c r="M42" s="56"/>
      <c r="N42" s="56"/>
      <c r="O42" s="56"/>
    </row>
    <row r="43" spans="1:15" ht="20.25" x14ac:dyDescent="0.25">
      <c r="A43" s="76"/>
      <c r="B43" s="76"/>
      <c r="C43" s="78"/>
      <c r="D43" s="78"/>
      <c r="E43" s="56"/>
      <c r="F43" s="56"/>
      <c r="G43" s="56"/>
      <c r="H43" s="56"/>
      <c r="I43" s="56"/>
      <c r="J43" s="56"/>
      <c r="K43" s="56"/>
      <c r="L43" s="56"/>
      <c r="M43" s="56"/>
      <c r="N43" s="56"/>
      <c r="O43" s="56"/>
    </row>
    <row r="44" spans="1:15" ht="20.25" x14ac:dyDescent="0.25">
      <c r="A44" s="76"/>
      <c r="B44" s="76"/>
      <c r="C44" s="78"/>
      <c r="D44" s="78"/>
      <c r="E44" s="56"/>
      <c r="F44" s="56"/>
      <c r="G44" s="56"/>
      <c r="H44" s="56"/>
      <c r="I44" s="56"/>
      <c r="J44" s="56"/>
      <c r="K44" s="56"/>
      <c r="L44" s="56"/>
      <c r="M44" s="56"/>
      <c r="N44" s="56"/>
      <c r="O44" s="56"/>
    </row>
    <row r="45" spans="1:15" ht="20.25" x14ac:dyDescent="0.25">
      <c r="A45" s="76"/>
      <c r="B45" s="76"/>
      <c r="C45" s="78"/>
      <c r="D45" s="78"/>
      <c r="E45" s="56"/>
      <c r="F45" s="56"/>
      <c r="G45" s="56"/>
      <c r="H45" s="56"/>
      <c r="I45" s="56"/>
      <c r="J45" s="56"/>
      <c r="K45" s="56"/>
      <c r="L45" s="56"/>
      <c r="M45" s="56"/>
      <c r="N45" s="56"/>
      <c r="O45" s="56"/>
    </row>
    <row r="46" spans="1:15" ht="20.25" x14ac:dyDescent="0.25">
      <c r="A46" s="76"/>
      <c r="B46" s="76"/>
      <c r="C46" s="78"/>
      <c r="D46" s="78"/>
      <c r="E46" s="56"/>
      <c r="F46" s="56"/>
      <c r="G46" s="56"/>
      <c r="H46" s="56"/>
      <c r="I46" s="56"/>
      <c r="J46" s="56"/>
      <c r="K46" s="56"/>
      <c r="L46" s="56"/>
      <c r="M46" s="56"/>
      <c r="N46" s="56"/>
      <c r="O46" s="56"/>
    </row>
    <row r="47" spans="1:15" ht="20.25" x14ac:dyDescent="0.25">
      <c r="A47" s="76"/>
      <c r="B47" s="76"/>
      <c r="C47" s="78"/>
      <c r="D47" s="78"/>
      <c r="E47" s="56"/>
      <c r="F47" s="56"/>
      <c r="G47" s="56"/>
      <c r="H47" s="56"/>
      <c r="I47" s="56"/>
      <c r="J47" s="56"/>
      <c r="K47" s="56"/>
      <c r="L47" s="56"/>
      <c r="M47" s="56"/>
      <c r="N47" s="56"/>
      <c r="O47" s="56"/>
    </row>
    <row r="48" spans="1:15" ht="20.25" x14ac:dyDescent="0.25">
      <c r="A48" s="76"/>
      <c r="B48" s="76"/>
      <c r="C48" s="78"/>
      <c r="D48" s="78"/>
      <c r="E48" s="56"/>
      <c r="F48" s="56"/>
      <c r="G48" s="56"/>
      <c r="H48" s="56"/>
      <c r="I48" s="56"/>
      <c r="J48" s="56"/>
      <c r="K48" s="56"/>
      <c r="L48" s="56"/>
      <c r="M48" s="56"/>
      <c r="N48" s="56"/>
      <c r="O48" s="56"/>
    </row>
    <row r="49" spans="1:15" ht="20.25" x14ac:dyDescent="0.25">
      <c r="A49" s="76"/>
      <c r="B49" s="76"/>
      <c r="C49" s="78"/>
      <c r="D49" s="78"/>
      <c r="E49" s="56"/>
      <c r="F49" s="56"/>
      <c r="G49" s="56"/>
      <c r="H49" s="56"/>
      <c r="I49" s="56"/>
      <c r="J49" s="56"/>
      <c r="K49" s="56"/>
      <c r="L49" s="56"/>
      <c r="M49" s="56"/>
      <c r="N49" s="56"/>
      <c r="O49" s="56"/>
    </row>
    <row r="50" spans="1:15" ht="20.25" x14ac:dyDescent="0.25">
      <c r="A50" s="76"/>
      <c r="B50" s="76"/>
      <c r="C50" s="78"/>
      <c r="D50" s="78"/>
      <c r="E50" s="56"/>
      <c r="F50" s="56"/>
      <c r="G50" s="56"/>
      <c r="H50" s="56"/>
      <c r="I50" s="56"/>
      <c r="J50" s="56"/>
      <c r="K50" s="56"/>
      <c r="L50" s="56"/>
      <c r="M50" s="56"/>
      <c r="N50" s="56"/>
      <c r="O50" s="56"/>
    </row>
    <row r="51" spans="1:15" ht="20.25" x14ac:dyDescent="0.25">
      <c r="A51" s="76"/>
      <c r="B51" s="76"/>
      <c r="C51" s="78"/>
      <c r="D51" s="78"/>
      <c r="E51" s="56"/>
      <c r="F51" s="56"/>
      <c r="G51" s="56"/>
      <c r="H51" s="56"/>
      <c r="I51" s="56"/>
      <c r="J51" s="56"/>
      <c r="K51" s="56"/>
      <c r="L51" s="56"/>
      <c r="M51" s="56"/>
      <c r="N51" s="56"/>
      <c r="O51" s="56"/>
    </row>
    <row r="52" spans="1:15" ht="20.25" x14ac:dyDescent="0.25">
      <c r="A52" s="76"/>
      <c r="B52" s="19"/>
      <c r="C52" s="28"/>
      <c r="D52" s="28"/>
    </row>
    <row r="53" spans="1:15" ht="20.25" x14ac:dyDescent="0.25">
      <c r="A53" s="76"/>
      <c r="B53" s="19"/>
      <c r="C53" s="28"/>
      <c r="D53" s="28"/>
    </row>
    <row r="54" spans="1:15" ht="20.25" x14ac:dyDescent="0.25">
      <c r="A54" s="76"/>
      <c r="B54" s="19"/>
      <c r="C54" s="28"/>
      <c r="D54" s="28"/>
    </row>
    <row r="55" spans="1:15" ht="20.25" x14ac:dyDescent="0.25">
      <c r="A55" s="76"/>
      <c r="B55" s="19"/>
      <c r="C55" s="28"/>
      <c r="D55" s="28"/>
    </row>
    <row r="56" spans="1:15" ht="20.25" x14ac:dyDescent="0.25">
      <c r="A56" s="76"/>
      <c r="B56" s="19"/>
      <c r="C56" s="28"/>
      <c r="D56" s="28"/>
    </row>
    <row r="57" spans="1:15" ht="20.25" x14ac:dyDescent="0.25">
      <c r="A57" s="76"/>
      <c r="B57" s="19"/>
      <c r="C57" s="28"/>
      <c r="D57" s="28"/>
    </row>
    <row r="58" spans="1:15" ht="20.25" x14ac:dyDescent="0.25">
      <c r="A58" s="76"/>
      <c r="B58" s="19"/>
      <c r="C58" s="28"/>
      <c r="D58" s="28"/>
    </row>
    <row r="59" spans="1:15" ht="20.25" x14ac:dyDescent="0.25">
      <c r="A59" s="76"/>
      <c r="B59" s="19"/>
      <c r="C59" s="28"/>
      <c r="D59" s="28"/>
    </row>
    <row r="60" spans="1:15" ht="20.25" x14ac:dyDescent="0.25">
      <c r="A60" s="76"/>
      <c r="B60" s="19"/>
      <c r="C60" s="28"/>
      <c r="D60" s="28"/>
    </row>
    <row r="61" spans="1:15" ht="20.25" x14ac:dyDescent="0.25">
      <c r="A61" s="76"/>
      <c r="B61" s="19"/>
      <c r="C61" s="28"/>
      <c r="D61" s="28"/>
    </row>
    <row r="62" spans="1:15" ht="20.25" x14ac:dyDescent="0.25">
      <c r="A62" s="76"/>
      <c r="B62" s="19"/>
      <c r="C62" s="28"/>
      <c r="D62" s="28"/>
    </row>
    <row r="63" spans="1:15" ht="20.25" x14ac:dyDescent="0.25">
      <c r="A63" s="76"/>
      <c r="B63" s="19"/>
      <c r="C63" s="28"/>
      <c r="D63" s="28"/>
    </row>
    <row r="64" spans="1:15" ht="20.25" x14ac:dyDescent="0.25">
      <c r="A64" s="76"/>
      <c r="B64" s="19"/>
      <c r="C64" s="28"/>
      <c r="D64" s="28"/>
    </row>
    <row r="65" spans="1:4" ht="20.25" x14ac:dyDescent="0.25">
      <c r="A65" s="76"/>
      <c r="B65" s="19"/>
      <c r="C65" s="28"/>
      <c r="D65" s="28"/>
    </row>
    <row r="66" spans="1:4" ht="20.25" x14ac:dyDescent="0.25">
      <c r="A66" s="76"/>
      <c r="B66" s="19"/>
      <c r="C66" s="28"/>
      <c r="D66" s="28"/>
    </row>
    <row r="67" spans="1:4" ht="20.25" x14ac:dyDescent="0.25">
      <c r="A67" s="76"/>
      <c r="B67" s="19"/>
      <c r="C67" s="28"/>
      <c r="D67" s="28"/>
    </row>
    <row r="68" spans="1:4" ht="20.25" x14ac:dyDescent="0.25">
      <c r="A68" s="76"/>
      <c r="B68" s="19"/>
      <c r="C68" s="28"/>
      <c r="D68" s="28"/>
    </row>
    <row r="69" spans="1:4" ht="20.25" x14ac:dyDescent="0.25">
      <c r="A69" s="76"/>
      <c r="B69" s="19"/>
      <c r="C69" s="28"/>
      <c r="D69" s="28"/>
    </row>
    <row r="70" spans="1:4" ht="20.25" x14ac:dyDescent="0.25">
      <c r="A70" s="76"/>
      <c r="B70" s="19"/>
      <c r="C70" s="28"/>
      <c r="D70" s="28"/>
    </row>
    <row r="71" spans="1:4" ht="20.25" x14ac:dyDescent="0.25">
      <c r="A71" s="76"/>
      <c r="B71" s="19"/>
      <c r="C71" s="28"/>
      <c r="D71" s="28"/>
    </row>
    <row r="72" spans="1:4" ht="20.25" x14ac:dyDescent="0.25">
      <c r="A72" s="76"/>
      <c r="B72" s="19"/>
      <c r="C72" s="28"/>
      <c r="D72" s="28"/>
    </row>
    <row r="73" spans="1:4" ht="20.25" x14ac:dyDescent="0.25">
      <c r="A73" s="76"/>
      <c r="B73" s="19"/>
      <c r="C73" s="28"/>
      <c r="D73" s="28"/>
    </row>
    <row r="74" spans="1:4" ht="20.25" x14ac:dyDescent="0.25">
      <c r="A74" s="76"/>
      <c r="B74" s="19"/>
      <c r="C74" s="28"/>
      <c r="D74" s="28"/>
    </row>
    <row r="75" spans="1:4" ht="20.25" x14ac:dyDescent="0.25">
      <c r="A75" s="76"/>
      <c r="B75" s="19"/>
      <c r="C75" s="28"/>
      <c r="D75" s="28"/>
    </row>
    <row r="76" spans="1:4" ht="20.25" x14ac:dyDescent="0.25">
      <c r="A76" s="76"/>
      <c r="B76" s="19"/>
      <c r="C76" s="28"/>
      <c r="D76" s="28"/>
    </row>
    <row r="77" spans="1:4" ht="20.25" x14ac:dyDescent="0.25">
      <c r="A77" s="76"/>
      <c r="B77" s="19"/>
      <c r="C77" s="28"/>
      <c r="D77" s="28"/>
    </row>
    <row r="78" spans="1:4" ht="20.25" x14ac:dyDescent="0.25">
      <c r="A78" s="76"/>
      <c r="B78" s="19"/>
      <c r="C78" s="28"/>
      <c r="D78" s="28"/>
    </row>
    <row r="79" spans="1:4" ht="20.25" x14ac:dyDescent="0.25">
      <c r="A79" s="76"/>
      <c r="B79" s="19"/>
      <c r="C79" s="28"/>
      <c r="D79" s="28"/>
    </row>
    <row r="80" spans="1:4" ht="20.25" x14ac:dyDescent="0.25">
      <c r="A80" s="76"/>
      <c r="B80" s="19"/>
      <c r="C80" s="28"/>
      <c r="D80" s="28"/>
    </row>
    <row r="81" spans="1:4" ht="20.25" x14ac:dyDescent="0.25">
      <c r="A81" s="76"/>
      <c r="B81" s="19"/>
      <c r="C81" s="28"/>
      <c r="D81" s="28"/>
    </row>
    <row r="82" spans="1:4" ht="20.25" x14ac:dyDescent="0.25">
      <c r="A82" s="76"/>
      <c r="B82" s="19"/>
      <c r="C82" s="28"/>
      <c r="D82" s="28"/>
    </row>
    <row r="83" spans="1:4" ht="20.25" x14ac:dyDescent="0.25">
      <c r="A83" s="76"/>
      <c r="B83" s="19"/>
      <c r="C83" s="28"/>
      <c r="D83" s="28"/>
    </row>
    <row r="84" spans="1:4" ht="20.25" x14ac:dyDescent="0.25">
      <c r="A84" s="76"/>
      <c r="B84" s="19"/>
      <c r="C84" s="28"/>
      <c r="D84" s="28"/>
    </row>
    <row r="85" spans="1:4" ht="20.25" x14ac:dyDescent="0.25">
      <c r="A85" s="76"/>
      <c r="B85" s="19"/>
      <c r="C85" s="28"/>
      <c r="D85" s="28"/>
    </row>
    <row r="86" spans="1:4" ht="20.25" x14ac:dyDescent="0.25">
      <c r="A86" s="76"/>
      <c r="B86" s="19"/>
      <c r="C86" s="28"/>
      <c r="D86" s="28"/>
    </row>
    <row r="87" spans="1:4" ht="20.25" x14ac:dyDescent="0.25">
      <c r="A87" s="76"/>
      <c r="B87" s="19"/>
      <c r="C87" s="28"/>
      <c r="D87" s="28"/>
    </row>
    <row r="88" spans="1:4" ht="20.25" x14ac:dyDescent="0.25">
      <c r="A88" s="76"/>
      <c r="B88" s="19"/>
      <c r="C88" s="28"/>
      <c r="D88" s="28"/>
    </row>
    <row r="89" spans="1:4" ht="20.25" x14ac:dyDescent="0.25">
      <c r="A89" s="76"/>
      <c r="B89" s="19"/>
      <c r="C89" s="28"/>
      <c r="D89" s="28"/>
    </row>
    <row r="90" spans="1:4" ht="20.25" x14ac:dyDescent="0.25">
      <c r="A90" s="76"/>
      <c r="B90" s="19"/>
      <c r="C90" s="28"/>
      <c r="D90" s="28"/>
    </row>
    <row r="91" spans="1:4" ht="20.25" x14ac:dyDescent="0.25">
      <c r="A91" s="76"/>
      <c r="B91" s="19"/>
      <c r="C91" s="28"/>
      <c r="D91" s="28"/>
    </row>
    <row r="92" spans="1:4" ht="20.25" x14ac:dyDescent="0.25">
      <c r="A92" s="76"/>
      <c r="B92" s="19"/>
      <c r="C92" s="28"/>
      <c r="D92" s="28"/>
    </row>
    <row r="93" spans="1:4" ht="20.25" x14ac:dyDescent="0.25">
      <c r="A93" s="76"/>
      <c r="B93" s="19"/>
      <c r="C93" s="28"/>
      <c r="D93" s="28"/>
    </row>
    <row r="94" spans="1:4" ht="20.25" x14ac:dyDescent="0.25">
      <c r="A94" s="76"/>
      <c r="B94" s="19"/>
      <c r="C94" s="28"/>
      <c r="D94" s="28"/>
    </row>
    <row r="95" spans="1:4" ht="20.25" x14ac:dyDescent="0.25">
      <c r="A95" s="76"/>
      <c r="B95" s="19"/>
      <c r="C95" s="28"/>
      <c r="D95" s="28"/>
    </row>
    <row r="96" spans="1:4" ht="20.25" x14ac:dyDescent="0.25">
      <c r="A96" s="76"/>
      <c r="B96" s="19"/>
      <c r="C96" s="28"/>
      <c r="D96" s="28"/>
    </row>
    <row r="97" spans="1:4" ht="20.25" x14ac:dyDescent="0.25">
      <c r="A97" s="76"/>
      <c r="B97" s="19"/>
      <c r="C97" s="28"/>
      <c r="D97" s="28"/>
    </row>
    <row r="98" spans="1:4" ht="20.25" x14ac:dyDescent="0.25">
      <c r="A98" s="76"/>
      <c r="B98" s="19"/>
      <c r="C98" s="28"/>
      <c r="D98" s="28"/>
    </row>
    <row r="99" spans="1:4" ht="20.25" x14ac:dyDescent="0.25">
      <c r="A99" s="76"/>
      <c r="B99" s="19"/>
      <c r="C99" s="28"/>
      <c r="D99" s="28"/>
    </row>
    <row r="100" spans="1:4" ht="20.25" x14ac:dyDescent="0.25">
      <c r="A100" s="76"/>
      <c r="B100" s="19"/>
      <c r="C100" s="28"/>
      <c r="D100" s="28"/>
    </row>
    <row r="101" spans="1:4" ht="20.25" x14ac:dyDescent="0.25">
      <c r="A101" s="76"/>
      <c r="B101" s="19"/>
      <c r="C101" s="28"/>
      <c r="D101" s="28"/>
    </row>
    <row r="102" spans="1:4" ht="20.25" x14ac:dyDescent="0.25">
      <c r="A102" s="76"/>
      <c r="B102" s="19"/>
      <c r="C102" s="28"/>
      <c r="D102" s="28"/>
    </row>
    <row r="103" spans="1:4" ht="20.25" x14ac:dyDescent="0.25">
      <c r="A103" s="76"/>
      <c r="B103" s="19"/>
      <c r="C103" s="28"/>
      <c r="D103" s="28"/>
    </row>
    <row r="104" spans="1:4" ht="20.25" x14ac:dyDescent="0.25">
      <c r="A104" s="76"/>
      <c r="B104" s="19"/>
      <c r="C104" s="28"/>
      <c r="D104" s="28"/>
    </row>
    <row r="105" spans="1:4" ht="20.25" x14ac:dyDescent="0.25">
      <c r="A105" s="76"/>
      <c r="B105" s="19"/>
      <c r="C105" s="28"/>
      <c r="D105" s="28"/>
    </row>
    <row r="106" spans="1:4" ht="20.25" x14ac:dyDescent="0.25">
      <c r="A106" s="76"/>
      <c r="B106" s="19"/>
      <c r="C106" s="28"/>
      <c r="D106" s="28"/>
    </row>
    <row r="107" spans="1:4" ht="20.25" x14ac:dyDescent="0.25">
      <c r="A107" s="76"/>
      <c r="B107" s="19"/>
      <c r="C107" s="28"/>
      <c r="D107" s="28"/>
    </row>
    <row r="108" spans="1:4" ht="20.25" x14ac:dyDescent="0.25">
      <c r="A108" s="76"/>
      <c r="B108" s="19"/>
      <c r="C108" s="28"/>
      <c r="D108" s="28"/>
    </row>
    <row r="109" spans="1:4" ht="20.25" x14ac:dyDescent="0.25">
      <c r="A109" s="76"/>
      <c r="B109" s="19"/>
      <c r="C109" s="28"/>
      <c r="D109" s="28"/>
    </row>
    <row r="110" spans="1:4" ht="20.25" x14ac:dyDescent="0.25">
      <c r="A110" s="76"/>
      <c r="B110" s="19"/>
      <c r="C110" s="28"/>
      <c r="D110" s="28"/>
    </row>
    <row r="111" spans="1:4" ht="20.25" x14ac:dyDescent="0.25">
      <c r="A111" s="76"/>
      <c r="B111" s="19"/>
      <c r="C111" s="28"/>
      <c r="D111" s="28"/>
    </row>
    <row r="112" spans="1:4" ht="20.25" x14ac:dyDescent="0.25">
      <c r="A112" s="76"/>
      <c r="B112" s="19"/>
      <c r="C112" s="28"/>
      <c r="D112" s="28"/>
    </row>
    <row r="113" spans="1:4" ht="20.25" x14ac:dyDescent="0.25">
      <c r="A113" s="76"/>
      <c r="B113" s="19"/>
      <c r="C113" s="28"/>
      <c r="D113" s="28"/>
    </row>
    <row r="114" spans="1:4" ht="20.25" x14ac:dyDescent="0.25">
      <c r="A114" s="76"/>
      <c r="B114" s="19"/>
      <c r="C114" s="28"/>
      <c r="D114" s="28"/>
    </row>
    <row r="115" spans="1:4" ht="20.25" x14ac:dyDescent="0.25">
      <c r="A115" s="76"/>
      <c r="B115" s="19"/>
      <c r="C115" s="28"/>
      <c r="D115" s="28"/>
    </row>
    <row r="116" spans="1:4" ht="20.25" x14ac:dyDescent="0.25">
      <c r="A116" s="76"/>
      <c r="B116" s="19"/>
      <c r="C116" s="28"/>
      <c r="D116" s="28"/>
    </row>
    <row r="117" spans="1:4" ht="20.25" x14ac:dyDescent="0.25">
      <c r="A117" s="76"/>
      <c r="B117" s="19"/>
      <c r="C117" s="28"/>
      <c r="D117" s="28"/>
    </row>
    <row r="118" spans="1:4" ht="20.25" x14ac:dyDescent="0.25">
      <c r="A118" s="76"/>
      <c r="B118" s="19"/>
      <c r="C118" s="28"/>
      <c r="D118" s="28"/>
    </row>
    <row r="119" spans="1:4" ht="20.25" x14ac:dyDescent="0.25">
      <c r="A119" s="76"/>
      <c r="B119" s="19"/>
      <c r="C119" s="28"/>
      <c r="D119" s="28"/>
    </row>
    <row r="120" spans="1:4" ht="20.25" x14ac:dyDescent="0.25">
      <c r="A120" s="76"/>
      <c r="B120" s="19"/>
      <c r="C120" s="28"/>
      <c r="D120" s="28"/>
    </row>
    <row r="121" spans="1:4" ht="20.25" x14ac:dyDescent="0.25">
      <c r="A121" s="76"/>
      <c r="B121" s="19"/>
      <c r="C121" s="28"/>
      <c r="D121" s="28"/>
    </row>
    <row r="122" spans="1:4" ht="20.25" x14ac:dyDescent="0.25">
      <c r="A122" s="76"/>
      <c r="B122" s="19"/>
      <c r="C122" s="28"/>
      <c r="D122" s="28"/>
    </row>
    <row r="123" spans="1:4" ht="20.25" x14ac:dyDescent="0.25">
      <c r="A123" s="76"/>
      <c r="B123" s="19"/>
      <c r="C123" s="28"/>
      <c r="D123" s="28"/>
    </row>
    <row r="124" spans="1:4" ht="20.25" x14ac:dyDescent="0.25">
      <c r="A124" s="76"/>
      <c r="B124" s="19"/>
      <c r="C124" s="28"/>
      <c r="D124" s="28"/>
    </row>
    <row r="125" spans="1:4" ht="20.25" x14ac:dyDescent="0.25">
      <c r="A125" s="76"/>
      <c r="B125" s="19"/>
      <c r="C125" s="28"/>
      <c r="D125" s="28"/>
    </row>
    <row r="126" spans="1:4" ht="20.25" x14ac:dyDescent="0.25">
      <c r="A126" s="76"/>
      <c r="B126" s="19"/>
      <c r="C126" s="28"/>
      <c r="D126" s="28"/>
    </row>
    <row r="127" spans="1:4" ht="20.25" x14ac:dyDescent="0.25">
      <c r="A127" s="76"/>
      <c r="B127" s="19"/>
      <c r="C127" s="28"/>
      <c r="D127" s="28"/>
    </row>
    <row r="128" spans="1:4" ht="20.25" x14ac:dyDescent="0.25">
      <c r="A128" s="76"/>
      <c r="B128" s="19"/>
      <c r="C128" s="28"/>
      <c r="D128" s="28"/>
    </row>
    <row r="129" spans="1:4" ht="20.25" x14ac:dyDescent="0.25">
      <c r="A129" s="76"/>
      <c r="B129" s="19"/>
      <c r="C129" s="28"/>
      <c r="D129" s="28"/>
    </row>
    <row r="130" spans="1:4" ht="20.25" x14ac:dyDescent="0.25">
      <c r="A130" s="76"/>
      <c r="B130" s="19"/>
      <c r="C130" s="28"/>
      <c r="D130" s="28"/>
    </row>
    <row r="131" spans="1:4" ht="20.25" x14ac:dyDescent="0.25">
      <c r="A131" s="76"/>
      <c r="B131" s="19"/>
      <c r="C131" s="28"/>
      <c r="D131" s="28"/>
    </row>
    <row r="132" spans="1:4" ht="20.25" x14ac:dyDescent="0.25">
      <c r="A132" s="76"/>
      <c r="B132" s="19"/>
      <c r="C132" s="28"/>
      <c r="D132" s="28"/>
    </row>
    <row r="133" spans="1:4" ht="20.25" x14ac:dyDescent="0.25">
      <c r="A133" s="76"/>
      <c r="B133" s="19"/>
      <c r="C133" s="28"/>
      <c r="D133" s="28"/>
    </row>
    <row r="134" spans="1:4" ht="20.25" x14ac:dyDescent="0.25">
      <c r="A134" s="76"/>
      <c r="B134" s="19"/>
      <c r="C134" s="28"/>
      <c r="D134" s="28"/>
    </row>
    <row r="135" spans="1:4" ht="20.25" x14ac:dyDescent="0.25">
      <c r="A135" s="76"/>
      <c r="B135" s="19"/>
      <c r="C135" s="28"/>
      <c r="D135" s="28"/>
    </row>
    <row r="136" spans="1:4" ht="20.25" x14ac:dyDescent="0.25">
      <c r="A136" s="76"/>
      <c r="B136" s="19"/>
      <c r="C136" s="28"/>
      <c r="D136" s="28"/>
    </row>
    <row r="137" spans="1:4" ht="20.25" x14ac:dyDescent="0.25">
      <c r="A137" s="76"/>
      <c r="B137" s="19"/>
      <c r="C137" s="28"/>
      <c r="D137" s="28"/>
    </row>
    <row r="138" spans="1:4" ht="20.25" x14ac:dyDescent="0.25">
      <c r="A138" s="76"/>
      <c r="B138" s="19"/>
      <c r="C138" s="28"/>
      <c r="D138" s="28"/>
    </row>
    <row r="139" spans="1:4" ht="20.25" x14ac:dyDescent="0.25">
      <c r="A139" s="76"/>
      <c r="B139" s="19"/>
      <c r="C139" s="28"/>
      <c r="D139" s="28"/>
    </row>
    <row r="140" spans="1:4" ht="20.25" x14ac:dyDescent="0.25">
      <c r="A140" s="76"/>
      <c r="B140" s="19"/>
      <c r="C140" s="28"/>
      <c r="D140" s="28"/>
    </row>
    <row r="141" spans="1:4" ht="20.25" x14ac:dyDescent="0.25">
      <c r="A141" s="76"/>
      <c r="B141" s="19"/>
      <c r="C141" s="28"/>
      <c r="D141" s="28"/>
    </row>
    <row r="142" spans="1:4" ht="20.25" x14ac:dyDescent="0.25">
      <c r="A142" s="76"/>
      <c r="B142" s="19"/>
      <c r="C142" s="28"/>
      <c r="D142" s="28"/>
    </row>
    <row r="143" spans="1:4" ht="20.25" x14ac:dyDescent="0.25">
      <c r="A143" s="76"/>
      <c r="B143" s="19"/>
      <c r="C143" s="28"/>
      <c r="D143" s="28"/>
    </row>
    <row r="144" spans="1:4" ht="20.25" x14ac:dyDescent="0.25">
      <c r="A144" s="76"/>
      <c r="B144" s="19"/>
      <c r="C144" s="28"/>
      <c r="D144" s="28"/>
    </row>
    <row r="145" spans="1:4" ht="20.25" x14ac:dyDescent="0.25">
      <c r="A145" s="76"/>
      <c r="B145" s="19"/>
      <c r="C145" s="28"/>
      <c r="D145" s="28"/>
    </row>
    <row r="146" spans="1:4" ht="20.25" x14ac:dyDescent="0.25">
      <c r="A146" s="76"/>
      <c r="B146" s="19"/>
      <c r="C146" s="28"/>
      <c r="D146" s="28"/>
    </row>
    <row r="147" spans="1:4" ht="20.25" x14ac:dyDescent="0.25">
      <c r="A147" s="76"/>
      <c r="B147" s="19"/>
      <c r="C147" s="28"/>
      <c r="D147" s="28"/>
    </row>
    <row r="148" spans="1:4" ht="20.25" x14ac:dyDescent="0.25">
      <c r="A148" s="76"/>
      <c r="B148" s="19"/>
      <c r="C148" s="28"/>
      <c r="D148" s="28"/>
    </row>
    <row r="149" spans="1:4" ht="20.25" x14ac:dyDescent="0.25">
      <c r="A149" s="76"/>
      <c r="B149" s="19"/>
      <c r="C149" s="28"/>
      <c r="D149" s="28"/>
    </row>
    <row r="150" spans="1:4" ht="20.25" x14ac:dyDescent="0.25">
      <c r="A150" s="76"/>
      <c r="B150" s="19"/>
      <c r="C150" s="28"/>
      <c r="D150" s="28"/>
    </row>
    <row r="151" spans="1:4" ht="20.25" x14ac:dyDescent="0.25">
      <c r="A151" s="76"/>
      <c r="B151" s="19"/>
      <c r="C151" s="28"/>
      <c r="D151" s="28"/>
    </row>
    <row r="152" spans="1:4" ht="20.25" x14ac:dyDescent="0.25">
      <c r="A152" s="76"/>
      <c r="B152" s="19"/>
      <c r="C152" s="28"/>
      <c r="D152" s="28"/>
    </row>
    <row r="153" spans="1:4" ht="20.25" x14ac:dyDescent="0.25">
      <c r="A153" s="76"/>
      <c r="B153" s="19"/>
      <c r="C153" s="28"/>
      <c r="D153" s="28"/>
    </row>
    <row r="154" spans="1:4" ht="20.25" x14ac:dyDescent="0.25">
      <c r="A154" s="76"/>
      <c r="B154" s="19"/>
      <c r="C154" s="28"/>
      <c r="D154" s="28"/>
    </row>
    <row r="155" spans="1:4" ht="20.25" x14ac:dyDescent="0.25">
      <c r="A155" s="76"/>
      <c r="B155" s="19"/>
      <c r="C155" s="28"/>
      <c r="D155" s="28"/>
    </row>
    <row r="156" spans="1:4" ht="20.25" x14ac:dyDescent="0.25">
      <c r="A156" s="76"/>
      <c r="B156" s="19"/>
      <c r="C156" s="28"/>
      <c r="D156" s="28"/>
    </row>
    <row r="157" spans="1:4" ht="20.25" x14ac:dyDescent="0.25">
      <c r="A157" s="76"/>
      <c r="B157" s="19"/>
      <c r="C157" s="28"/>
      <c r="D157" s="28"/>
    </row>
    <row r="158" spans="1:4" ht="20.25" x14ac:dyDescent="0.25">
      <c r="A158" s="76"/>
      <c r="B158" s="19"/>
      <c r="C158" s="28"/>
      <c r="D158" s="28"/>
    </row>
    <row r="159" spans="1:4" ht="20.25" x14ac:dyDescent="0.25">
      <c r="A159" s="76"/>
      <c r="B159" s="19"/>
      <c r="C159" s="28"/>
      <c r="D159" s="28"/>
    </row>
    <row r="160" spans="1:4" ht="20.25" x14ac:dyDescent="0.25">
      <c r="A160" s="76"/>
      <c r="B160" s="19"/>
      <c r="C160" s="28"/>
      <c r="D160" s="28"/>
    </row>
    <row r="161" spans="1:4" ht="20.25" x14ac:dyDescent="0.25">
      <c r="A161" s="76"/>
      <c r="B161" s="19"/>
      <c r="C161" s="28"/>
      <c r="D161" s="28"/>
    </row>
    <row r="162" spans="1:4" ht="20.25" x14ac:dyDescent="0.25">
      <c r="A162" s="76"/>
      <c r="B162" s="19"/>
      <c r="C162" s="28"/>
      <c r="D162" s="28"/>
    </row>
    <row r="163" spans="1:4" ht="20.25" x14ac:dyDescent="0.25">
      <c r="A163" s="76"/>
      <c r="B163" s="19"/>
      <c r="C163" s="28"/>
      <c r="D163" s="28"/>
    </row>
    <row r="164" spans="1:4" ht="20.25" x14ac:dyDescent="0.25">
      <c r="A164" s="76"/>
      <c r="B164" s="19"/>
      <c r="C164" s="28"/>
      <c r="D164" s="28"/>
    </row>
    <row r="165" spans="1:4" ht="20.25" x14ac:dyDescent="0.25">
      <c r="A165" s="76"/>
      <c r="B165" s="19"/>
      <c r="C165" s="28"/>
      <c r="D165" s="28"/>
    </row>
    <row r="166" spans="1:4" ht="20.25" x14ac:dyDescent="0.25">
      <c r="A166" s="76"/>
      <c r="B166" s="19"/>
      <c r="C166" s="28"/>
      <c r="D166" s="28"/>
    </row>
    <row r="167" spans="1:4" ht="20.25" x14ac:dyDescent="0.25">
      <c r="A167" s="76"/>
      <c r="B167" s="19"/>
      <c r="C167" s="28"/>
      <c r="D167" s="28"/>
    </row>
    <row r="168" spans="1:4" ht="20.25" x14ac:dyDescent="0.25">
      <c r="A168" s="76"/>
      <c r="B168" s="19"/>
      <c r="C168" s="28"/>
      <c r="D168" s="28"/>
    </row>
    <row r="169" spans="1:4" ht="20.25" x14ac:dyDescent="0.25">
      <c r="A169" s="76"/>
      <c r="B169" s="19"/>
      <c r="C169" s="28"/>
      <c r="D169" s="28"/>
    </row>
    <row r="170" spans="1:4" ht="20.25" x14ac:dyDescent="0.25">
      <c r="A170" s="76"/>
      <c r="B170" s="19"/>
      <c r="C170" s="28"/>
      <c r="D170" s="28"/>
    </row>
    <row r="171" spans="1:4" ht="20.25" x14ac:dyDescent="0.25">
      <c r="A171" s="76"/>
      <c r="B171" s="19"/>
      <c r="C171" s="28"/>
      <c r="D171" s="28"/>
    </row>
    <row r="172" spans="1:4" ht="20.25" x14ac:dyDescent="0.25">
      <c r="A172" s="76"/>
      <c r="B172" s="19"/>
      <c r="C172" s="28"/>
      <c r="D172" s="28"/>
    </row>
    <row r="173" spans="1:4" ht="20.25" x14ac:dyDescent="0.25">
      <c r="A173" s="76"/>
      <c r="B173" s="19"/>
      <c r="C173" s="28"/>
      <c r="D173" s="28"/>
    </row>
    <row r="174" spans="1:4" ht="20.25" x14ac:dyDescent="0.25">
      <c r="A174" s="76"/>
      <c r="B174" s="19"/>
      <c r="C174" s="28"/>
      <c r="D174" s="28"/>
    </row>
    <row r="175" spans="1:4" ht="20.25" x14ac:dyDescent="0.25">
      <c r="A175" s="76"/>
      <c r="B175" s="19"/>
      <c r="C175" s="28"/>
      <c r="D175" s="28"/>
    </row>
    <row r="176" spans="1:4" ht="20.25" x14ac:dyDescent="0.25">
      <c r="A176" s="76"/>
      <c r="B176" s="19"/>
      <c r="C176" s="28"/>
      <c r="D176" s="28"/>
    </row>
    <row r="177" spans="1:4" ht="20.25" x14ac:dyDescent="0.25">
      <c r="A177" s="76"/>
      <c r="B177" s="19"/>
      <c r="C177" s="28"/>
      <c r="D177" s="28"/>
    </row>
    <row r="178" spans="1:4" ht="20.25" x14ac:dyDescent="0.25">
      <c r="A178" s="76"/>
      <c r="B178" s="19"/>
      <c r="C178" s="28"/>
      <c r="D178" s="28"/>
    </row>
    <row r="179" spans="1:4" ht="20.25" x14ac:dyDescent="0.25">
      <c r="A179" s="76"/>
      <c r="B179" s="19"/>
      <c r="C179" s="28"/>
      <c r="D179" s="28"/>
    </row>
    <row r="180" spans="1:4" ht="20.25" x14ac:dyDescent="0.25">
      <c r="A180" s="76"/>
      <c r="B180" s="19"/>
      <c r="C180" s="28"/>
      <c r="D180" s="28"/>
    </row>
    <row r="181" spans="1:4" ht="20.25" x14ac:dyDescent="0.25">
      <c r="A181" s="76"/>
      <c r="B181" s="19"/>
      <c r="C181" s="28"/>
      <c r="D181" s="28"/>
    </row>
    <row r="182" spans="1:4" ht="20.25" x14ac:dyDescent="0.25">
      <c r="A182" s="76"/>
      <c r="B182" s="19"/>
      <c r="C182" s="28"/>
      <c r="D182" s="28"/>
    </row>
    <row r="183" spans="1:4" ht="20.25" x14ac:dyDescent="0.25">
      <c r="A183" s="76"/>
      <c r="B183" s="19"/>
      <c r="C183" s="28"/>
      <c r="D183" s="28"/>
    </row>
    <row r="184" spans="1:4" ht="20.25" x14ac:dyDescent="0.25">
      <c r="A184" s="76"/>
      <c r="B184" s="19"/>
      <c r="C184" s="28"/>
      <c r="D184" s="28"/>
    </row>
    <row r="185" spans="1:4" ht="20.25" x14ac:dyDescent="0.25">
      <c r="A185" s="76"/>
      <c r="B185" s="19"/>
      <c r="C185" s="28"/>
      <c r="D185" s="28"/>
    </row>
    <row r="186" spans="1:4" ht="20.25" x14ac:dyDescent="0.25">
      <c r="A186" s="76"/>
      <c r="B186" s="19"/>
      <c r="C186" s="28"/>
      <c r="D186" s="28"/>
    </row>
    <row r="187" spans="1:4" ht="20.25" x14ac:dyDescent="0.25">
      <c r="A187" s="76"/>
      <c r="B187" s="19"/>
      <c r="C187" s="28"/>
      <c r="D187" s="28"/>
    </row>
    <row r="188" spans="1:4" ht="20.25" x14ac:dyDescent="0.25">
      <c r="A188" s="76"/>
      <c r="B188" s="19"/>
      <c r="C188" s="28"/>
      <c r="D188" s="28"/>
    </row>
    <row r="189" spans="1:4" ht="20.25" x14ac:dyDescent="0.25">
      <c r="A189" s="76"/>
      <c r="B189" s="19"/>
      <c r="C189" s="28"/>
      <c r="D189" s="28"/>
    </row>
    <row r="190" spans="1:4" ht="20.25" x14ac:dyDescent="0.25">
      <c r="A190" s="76"/>
      <c r="B190" s="19"/>
      <c r="C190" s="28"/>
      <c r="D190" s="28"/>
    </row>
    <row r="191" spans="1:4" ht="20.25" x14ac:dyDescent="0.25">
      <c r="A191" s="76"/>
      <c r="B191" s="19"/>
      <c r="C191" s="28"/>
      <c r="D191" s="28"/>
    </row>
    <row r="192" spans="1:4" ht="20.25" x14ac:dyDescent="0.25">
      <c r="A192" s="76"/>
      <c r="B192" s="19"/>
      <c r="C192" s="28"/>
      <c r="D192" s="28"/>
    </row>
    <row r="193" spans="1:4" ht="20.25" x14ac:dyDescent="0.25">
      <c r="A193" s="76"/>
      <c r="B193" s="19"/>
      <c r="C193" s="28"/>
      <c r="D193" s="28"/>
    </row>
    <row r="194" spans="1:4" ht="20.25" x14ac:dyDescent="0.25">
      <c r="A194" s="76"/>
      <c r="B194" s="19"/>
      <c r="C194" s="28"/>
      <c r="D194" s="28"/>
    </row>
    <row r="195" spans="1:4" ht="20.25" x14ac:dyDescent="0.25">
      <c r="A195" s="76"/>
      <c r="B195" s="19"/>
      <c r="C195" s="28"/>
      <c r="D195" s="28"/>
    </row>
    <row r="196" spans="1:4" ht="20.25" x14ac:dyDescent="0.25">
      <c r="A196" s="76"/>
      <c r="B196" s="19"/>
      <c r="C196" s="28"/>
      <c r="D196" s="28"/>
    </row>
    <row r="197" spans="1:4" ht="20.25" x14ac:dyDescent="0.25">
      <c r="A197" s="76"/>
      <c r="B197" s="19"/>
      <c r="C197" s="28"/>
      <c r="D197" s="28"/>
    </row>
    <row r="198" spans="1:4" ht="20.25" x14ac:dyDescent="0.25">
      <c r="A198" s="76"/>
      <c r="B198" s="19"/>
      <c r="C198" s="28"/>
      <c r="D198" s="28"/>
    </row>
    <row r="199" spans="1:4" ht="20.25" x14ac:dyDescent="0.25">
      <c r="A199" s="76"/>
      <c r="B199" s="19"/>
      <c r="C199" s="28"/>
      <c r="D199" s="28"/>
    </row>
    <row r="200" spans="1:4" ht="20.25" x14ac:dyDescent="0.25">
      <c r="A200" s="76"/>
      <c r="B200" s="19"/>
      <c r="C200" s="28"/>
      <c r="D200" s="28"/>
    </row>
    <row r="201" spans="1:4" ht="20.25" x14ac:dyDescent="0.25">
      <c r="A201" s="76"/>
      <c r="B201" s="19"/>
      <c r="C201" s="28"/>
      <c r="D201" s="28"/>
    </row>
    <row r="202" spans="1:4" ht="20.25" x14ac:dyDescent="0.25">
      <c r="A202" s="76"/>
      <c r="B202" s="19"/>
      <c r="C202" s="28"/>
      <c r="D202" s="28"/>
    </row>
    <row r="203" spans="1:4" ht="20.25" x14ac:dyDescent="0.25">
      <c r="A203" s="76"/>
      <c r="B203" s="19"/>
      <c r="C203" s="28"/>
      <c r="D203" s="28"/>
    </row>
    <row r="204" spans="1:4" ht="20.25" x14ac:dyDescent="0.25">
      <c r="A204" s="76"/>
      <c r="B204" s="19"/>
      <c r="C204" s="28"/>
      <c r="D204" s="28"/>
    </row>
    <row r="205" spans="1:4" ht="20.25" x14ac:dyDescent="0.25">
      <c r="A205" s="76"/>
      <c r="B205" s="19"/>
      <c r="C205" s="28"/>
      <c r="D205" s="28"/>
    </row>
    <row r="206" spans="1:4" ht="20.25" x14ac:dyDescent="0.25">
      <c r="A206" s="76"/>
      <c r="B206" s="19"/>
      <c r="C206" s="28"/>
      <c r="D206" s="28"/>
    </row>
    <row r="207" spans="1:4" ht="20.25" x14ac:dyDescent="0.25">
      <c r="A207" s="76"/>
      <c r="B207" s="19"/>
      <c r="C207" s="28"/>
      <c r="D207" s="28"/>
    </row>
    <row r="208" spans="1:4" x14ac:dyDescent="0.25">
      <c r="A208" s="56"/>
      <c r="B208" s="19"/>
      <c r="C208" s="19"/>
      <c r="D208" s="19"/>
    </row>
    <row r="209" spans="1:8" ht="20.25" x14ac:dyDescent="0.25">
      <c r="A209" s="56"/>
      <c r="B209" s="24" t="s">
        <v>81</v>
      </c>
      <c r="C209" s="24" t="s">
        <v>129</v>
      </c>
      <c r="D209" s="27" t="s">
        <v>81</v>
      </c>
      <c r="E209" s="27" t="s">
        <v>129</v>
      </c>
    </row>
    <row r="210" spans="1:8" ht="21" x14ac:dyDescent="0.35">
      <c r="A210" s="56"/>
      <c r="B210" s="25" t="s">
        <v>83</v>
      </c>
      <c r="C210" s="25" t="s">
        <v>52</v>
      </c>
      <c r="D210" t="s">
        <v>83</v>
      </c>
      <c r="F210" t="str">
        <f t="shared" ref="F210:F221" si="0">IF(NOT(ISBLANK(D210)),D210,IF(NOT(ISBLANK(E210))," "&amp;E210,FALSE))</f>
        <v>Afectación Económica o presupuestal</v>
      </c>
      <c r="G210" t="s">
        <v>83</v>
      </c>
      <c r="H210" t="str">
        <f ca="1">IF(NOT(ISERROR(MATCH(G210,_xlfn.ANCHORARRAY(B221),0))),F223&amp;"Por favor no seleccionar los criterios de impacto",G210)</f>
        <v>Afectación Económica o presupuestal</v>
      </c>
    </row>
    <row r="211" spans="1:8" ht="21" x14ac:dyDescent="0.35">
      <c r="A211" s="56"/>
      <c r="B211" s="25" t="s">
        <v>83</v>
      </c>
      <c r="C211" s="25" t="s">
        <v>86</v>
      </c>
      <c r="E211" t="s">
        <v>52</v>
      </c>
      <c r="F211" t="str">
        <f t="shared" si="0"/>
        <v xml:space="preserve"> Afectación menor a 10 SMLMV .</v>
      </c>
    </row>
    <row r="212" spans="1:8" ht="21" x14ac:dyDescent="0.35">
      <c r="A212" s="56"/>
      <c r="B212" s="25" t="s">
        <v>83</v>
      </c>
      <c r="C212" s="25" t="s">
        <v>87</v>
      </c>
      <c r="E212" t="s">
        <v>86</v>
      </c>
      <c r="F212" t="str">
        <f t="shared" si="0"/>
        <v xml:space="preserve"> Entre 10 y 50 SMLMV </v>
      </c>
    </row>
    <row r="213" spans="1:8" ht="21" x14ac:dyDescent="0.35">
      <c r="A213" s="56"/>
      <c r="B213" s="25" t="s">
        <v>83</v>
      </c>
      <c r="C213" s="25" t="s">
        <v>88</v>
      </c>
      <c r="E213" t="s">
        <v>87</v>
      </c>
      <c r="F213" t="str">
        <f t="shared" si="0"/>
        <v xml:space="preserve"> Entre 50 y 100 SMLMV </v>
      </c>
    </row>
    <row r="214" spans="1:8" ht="21" x14ac:dyDescent="0.35">
      <c r="A214" s="56"/>
      <c r="B214" s="25" t="s">
        <v>83</v>
      </c>
      <c r="C214" s="25" t="s">
        <v>89</v>
      </c>
      <c r="E214" t="s">
        <v>88</v>
      </c>
      <c r="F214" t="str">
        <f t="shared" si="0"/>
        <v xml:space="preserve"> Entre 100 y 500 SMLMV </v>
      </c>
    </row>
    <row r="215" spans="1:8" ht="21" x14ac:dyDescent="0.35">
      <c r="A215" s="56"/>
      <c r="B215" s="25" t="s">
        <v>51</v>
      </c>
      <c r="C215" s="25" t="s">
        <v>90</v>
      </c>
      <c r="E215" t="s">
        <v>89</v>
      </c>
      <c r="F215" t="str">
        <f t="shared" si="0"/>
        <v xml:space="preserve"> Mayor a 500 SMLMV </v>
      </c>
    </row>
    <row r="216" spans="1:8" ht="21" x14ac:dyDescent="0.35">
      <c r="A216" s="56"/>
      <c r="B216" s="25" t="s">
        <v>51</v>
      </c>
      <c r="C216" s="25" t="s">
        <v>488</v>
      </c>
      <c r="D216" t="s">
        <v>51</v>
      </c>
      <c r="F216" t="str">
        <f t="shared" si="0"/>
        <v>Pérdida Reputacional</v>
      </c>
    </row>
    <row r="217" spans="1:8" ht="21" x14ac:dyDescent="0.35">
      <c r="A217" s="56"/>
      <c r="B217" s="25" t="s">
        <v>51</v>
      </c>
      <c r="C217" s="25" t="s">
        <v>91</v>
      </c>
      <c r="E217" t="s">
        <v>90</v>
      </c>
      <c r="F217" t="str">
        <f t="shared" si="0"/>
        <v xml:space="preserve"> El riesgo afecta la imagen de alguna área de la organización</v>
      </c>
    </row>
    <row r="218" spans="1:8" ht="21" x14ac:dyDescent="0.35">
      <c r="A218" s="56"/>
      <c r="B218" s="25" t="s">
        <v>51</v>
      </c>
      <c r="C218" s="25" t="s">
        <v>490</v>
      </c>
      <c r="E218" t="s">
        <v>488</v>
      </c>
      <c r="F218" t="str">
        <f t="shared" si="0"/>
        <v xml:space="preserve"> El riesgo afecta la imagen de la entidad internamente, de conocimiento general, nivel interno, de junta directiva y accionistas y/o de proveedores</v>
      </c>
    </row>
    <row r="219" spans="1:8" ht="21" x14ac:dyDescent="0.35">
      <c r="A219" s="56"/>
      <c r="B219" s="25" t="s">
        <v>51</v>
      </c>
      <c r="C219" s="25" t="s">
        <v>109</v>
      </c>
      <c r="E219" t="s">
        <v>91</v>
      </c>
      <c r="F219" t="str">
        <f t="shared" si="0"/>
        <v xml:space="preserve"> El riesgo afecta la imagen de la entidad con algunos usuarios de relevancia frente al logro de los objetivos</v>
      </c>
    </row>
    <row r="220" spans="1:8" x14ac:dyDescent="0.25">
      <c r="A220" s="56"/>
      <c r="B220" s="26"/>
      <c r="C220" s="26"/>
      <c r="E220" t="s">
        <v>490</v>
      </c>
      <c r="F220" t="str">
        <f t="shared" si="0"/>
        <v xml:space="preserve"> El riesgo afecta la imagen de la entidad con efecto publicitario sostenido a nivel de sector administrativo, nivel departamental o municipal</v>
      </c>
    </row>
    <row r="221" spans="1:8" x14ac:dyDescent="0.25">
      <c r="A221" s="56"/>
      <c r="B221" s="26" t="e" cm="1">
        <f t="array" aca="1" ref="B221" ca="1">_xlfn.UNIQUE(Tabla1[[#All],[Criterios]])</f>
        <v>#NAME?</v>
      </c>
      <c r="C221" s="26"/>
      <c r="E221" t="s">
        <v>109</v>
      </c>
      <c r="F221" t="str">
        <f t="shared" si="0"/>
        <v xml:space="preserve"> El riesgo afecta la imagen de la entidad a nivel nacional, con efecto publicitarios sostenible a nivel país</v>
      </c>
    </row>
    <row r="222" spans="1:8" x14ac:dyDescent="0.25">
      <c r="A222" s="56"/>
      <c r="B222" s="26"/>
      <c r="C222" s="26"/>
    </row>
    <row r="223" spans="1:8" x14ac:dyDescent="0.25">
      <c r="B223" s="26"/>
      <c r="C223" s="26"/>
      <c r="F223" s="29" t="s">
        <v>130</v>
      </c>
    </row>
    <row r="224" spans="1:8" x14ac:dyDescent="0.25">
      <c r="B224" s="18"/>
      <c r="C224" s="18"/>
      <c r="F224" s="29" t="s">
        <v>131</v>
      </c>
    </row>
    <row r="225" spans="2:4" x14ac:dyDescent="0.25">
      <c r="B225" s="18"/>
      <c r="C225" s="18"/>
    </row>
    <row r="226" spans="2:4" x14ac:dyDescent="0.25">
      <c r="B226" s="18"/>
      <c r="C226" s="18"/>
    </row>
    <row r="227" spans="2:4" x14ac:dyDescent="0.25">
      <c r="B227" s="18"/>
      <c r="C227" s="18"/>
      <c r="D227" s="18"/>
    </row>
    <row r="228" spans="2:4" x14ac:dyDescent="0.25">
      <c r="B228" s="18"/>
      <c r="C228" s="18"/>
      <c r="D228" s="18"/>
    </row>
    <row r="229" spans="2:4" x14ac:dyDescent="0.25">
      <c r="B229" s="18"/>
      <c r="C229" s="18"/>
      <c r="D229" s="18"/>
    </row>
    <row r="230" spans="2:4" x14ac:dyDescent="0.25">
      <c r="B230" s="18"/>
      <c r="C230" s="18"/>
      <c r="D230" s="18"/>
    </row>
    <row r="231" spans="2:4" x14ac:dyDescent="0.25">
      <c r="B231" s="18"/>
      <c r="C231" s="18"/>
      <c r="D231" s="18"/>
    </row>
    <row r="232" spans="2:4" x14ac:dyDescent="0.25">
      <c r="B232" s="18"/>
      <c r="C232" s="18"/>
      <c r="D232" s="18"/>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61"/>
    <col min="3" max="3" width="17" style="61" customWidth="1"/>
    <col min="4" max="4" width="14.28515625" style="61"/>
    <col min="5" max="5" width="46" style="61" customWidth="1"/>
    <col min="6" max="16384" width="14.28515625" style="61"/>
  </cols>
  <sheetData>
    <row r="1" spans="2:6" ht="24" customHeight="1" thickBot="1" x14ac:dyDescent="0.25">
      <c r="B1" s="531" t="s">
        <v>72</v>
      </c>
      <c r="C1" s="532"/>
      <c r="D1" s="532"/>
      <c r="E1" s="532"/>
      <c r="F1" s="533"/>
    </row>
    <row r="2" spans="2:6" ht="16.5" thickBot="1" x14ac:dyDescent="0.3">
      <c r="B2" s="62"/>
      <c r="C2" s="62"/>
      <c r="D2" s="62"/>
      <c r="E2" s="62"/>
      <c r="F2" s="62"/>
    </row>
    <row r="3" spans="2:6" ht="16.5" thickBot="1" x14ac:dyDescent="0.25">
      <c r="B3" s="535" t="s">
        <v>58</v>
      </c>
      <c r="C3" s="536"/>
      <c r="D3" s="536"/>
      <c r="E3" s="74" t="s">
        <v>59</v>
      </c>
      <c r="F3" s="75" t="s">
        <v>60</v>
      </c>
    </row>
    <row r="4" spans="2:6" ht="31.5" x14ac:dyDescent="0.2">
      <c r="B4" s="537" t="s">
        <v>61</v>
      </c>
      <c r="C4" s="539" t="s">
        <v>13</v>
      </c>
      <c r="D4" s="63" t="s">
        <v>14</v>
      </c>
      <c r="E4" s="64" t="s">
        <v>62</v>
      </c>
      <c r="F4" s="65">
        <v>0.25</v>
      </c>
    </row>
    <row r="5" spans="2:6" ht="47.25" x14ac:dyDescent="0.2">
      <c r="B5" s="538"/>
      <c r="C5" s="540"/>
      <c r="D5" s="66" t="s">
        <v>15</v>
      </c>
      <c r="E5" s="67" t="s">
        <v>63</v>
      </c>
      <c r="F5" s="68">
        <v>0.15</v>
      </c>
    </row>
    <row r="6" spans="2:6" ht="47.25" x14ac:dyDescent="0.2">
      <c r="B6" s="538"/>
      <c r="C6" s="540"/>
      <c r="D6" s="66" t="s">
        <v>16</v>
      </c>
      <c r="E6" s="67" t="s">
        <v>64</v>
      </c>
      <c r="F6" s="68">
        <v>0.1</v>
      </c>
    </row>
    <row r="7" spans="2:6" ht="63" x14ac:dyDescent="0.2">
      <c r="B7" s="538"/>
      <c r="C7" s="540" t="s">
        <v>17</v>
      </c>
      <c r="D7" s="66" t="s">
        <v>10</v>
      </c>
      <c r="E7" s="67" t="s">
        <v>65</v>
      </c>
      <c r="F7" s="68">
        <v>0.25</v>
      </c>
    </row>
    <row r="8" spans="2:6" ht="31.5" x14ac:dyDescent="0.2">
      <c r="B8" s="538"/>
      <c r="C8" s="540"/>
      <c r="D8" s="66" t="s">
        <v>9</v>
      </c>
      <c r="E8" s="67" t="s">
        <v>66</v>
      </c>
      <c r="F8" s="68">
        <v>0.15</v>
      </c>
    </row>
    <row r="9" spans="2:6" ht="47.25" x14ac:dyDescent="0.2">
      <c r="B9" s="538" t="s">
        <v>136</v>
      </c>
      <c r="C9" s="540" t="s">
        <v>18</v>
      </c>
      <c r="D9" s="66" t="s">
        <v>19</v>
      </c>
      <c r="E9" s="67" t="s">
        <v>67</v>
      </c>
      <c r="F9" s="69" t="s">
        <v>68</v>
      </c>
    </row>
    <row r="10" spans="2:6" ht="63" x14ac:dyDescent="0.2">
      <c r="B10" s="538"/>
      <c r="C10" s="540"/>
      <c r="D10" s="66" t="s">
        <v>20</v>
      </c>
      <c r="E10" s="67" t="s">
        <v>69</v>
      </c>
      <c r="F10" s="69" t="s">
        <v>68</v>
      </c>
    </row>
    <row r="11" spans="2:6" ht="47.25" x14ac:dyDescent="0.2">
      <c r="B11" s="538"/>
      <c r="C11" s="540" t="s">
        <v>21</v>
      </c>
      <c r="D11" s="66" t="s">
        <v>22</v>
      </c>
      <c r="E11" s="67" t="s">
        <v>70</v>
      </c>
      <c r="F11" s="69" t="s">
        <v>68</v>
      </c>
    </row>
    <row r="12" spans="2:6" ht="47.25" x14ac:dyDescent="0.2">
      <c r="B12" s="538"/>
      <c r="C12" s="540"/>
      <c r="D12" s="66" t="s">
        <v>23</v>
      </c>
      <c r="E12" s="67" t="s">
        <v>71</v>
      </c>
      <c r="F12" s="69" t="s">
        <v>68</v>
      </c>
    </row>
    <row r="13" spans="2:6" ht="31.5" x14ac:dyDescent="0.2">
      <c r="B13" s="538"/>
      <c r="C13" s="540" t="s">
        <v>24</v>
      </c>
      <c r="D13" s="66" t="s">
        <v>110</v>
      </c>
      <c r="E13" s="67" t="s">
        <v>113</v>
      </c>
      <c r="F13" s="69" t="s">
        <v>68</v>
      </c>
    </row>
    <row r="14" spans="2:6" ht="32.25" thickBot="1" x14ac:dyDescent="0.25">
      <c r="B14" s="541"/>
      <c r="C14" s="542"/>
      <c r="D14" s="70" t="s">
        <v>111</v>
      </c>
      <c r="E14" s="71" t="s">
        <v>112</v>
      </c>
      <c r="F14" s="72" t="s">
        <v>68</v>
      </c>
    </row>
    <row r="15" spans="2:6" ht="49.5" customHeight="1" x14ac:dyDescent="0.2">
      <c r="B15" s="534" t="s">
        <v>133</v>
      </c>
      <c r="C15" s="534"/>
      <c r="D15" s="534"/>
      <c r="E15" s="534"/>
      <c r="F15" s="534"/>
    </row>
    <row r="16" spans="2:6" ht="27" customHeight="1" x14ac:dyDescent="0.25">
      <c r="B16" s="7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492</v>
      </c>
    </row>
    <row r="9" spans="2:5" x14ac:dyDescent="0.25">
      <c r="B9" t="s">
        <v>36</v>
      </c>
    </row>
    <row r="10" spans="2:5" x14ac:dyDescent="0.25">
      <c r="B10" t="s">
        <v>37</v>
      </c>
    </row>
    <row r="13" spans="2:5" x14ac:dyDescent="0.25">
      <c r="B13" t="s">
        <v>330</v>
      </c>
    </row>
    <row r="14" spans="2:5" x14ac:dyDescent="0.25">
      <c r="B14" t="s">
        <v>328</v>
      </c>
    </row>
    <row r="15" spans="2:5" x14ac:dyDescent="0.25">
      <c r="B15" t="s">
        <v>336</v>
      </c>
    </row>
    <row r="16" spans="2:5" x14ac:dyDescent="0.25">
      <c r="B16" t="s">
        <v>114</v>
      </c>
    </row>
    <row r="17" spans="2:2" x14ac:dyDescent="0.25">
      <c r="B17" t="s">
        <v>115</v>
      </c>
    </row>
    <row r="18" spans="2:2" x14ac:dyDescent="0.25">
      <c r="B18" t="s">
        <v>116</v>
      </c>
    </row>
    <row r="19" spans="2:2" x14ac:dyDescent="0.25">
      <c r="B19" t="s">
        <v>117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4" sqref="A4"/>
    </sheetView>
  </sheetViews>
  <sheetFormatPr baseColWidth="10" defaultColWidth="11.42578125" defaultRowHeight="12.75" x14ac:dyDescent="0.2"/>
  <cols>
    <col min="1" max="1" width="32.85546875" style="5" customWidth="1"/>
    <col min="2" max="16384" width="11.42578125" style="5"/>
  </cols>
  <sheetData>
    <row r="3" spans="1:1" x14ac:dyDescent="0.2">
      <c r="A3" s="6" t="s">
        <v>14</v>
      </c>
    </row>
    <row r="4" spans="1:1" x14ac:dyDescent="0.2">
      <c r="A4" s="6" t="s">
        <v>15</v>
      </c>
    </row>
    <row r="5" spans="1:1" x14ac:dyDescent="0.2">
      <c r="A5" s="6" t="s">
        <v>16</v>
      </c>
    </row>
    <row r="6" spans="1:1" x14ac:dyDescent="0.2">
      <c r="A6" s="6" t="s">
        <v>10</v>
      </c>
    </row>
    <row r="7" spans="1:1" x14ac:dyDescent="0.2">
      <c r="A7" s="6" t="s">
        <v>9</v>
      </c>
    </row>
    <row r="8" spans="1:1" x14ac:dyDescent="0.2">
      <c r="A8" s="6" t="s">
        <v>19</v>
      </c>
    </row>
    <row r="9" spans="1:1" x14ac:dyDescent="0.2">
      <c r="A9" s="6" t="s">
        <v>20</v>
      </c>
    </row>
    <row r="10" spans="1:1" x14ac:dyDescent="0.2">
      <c r="A10" s="6" t="s">
        <v>22</v>
      </c>
    </row>
    <row r="11" spans="1:1" x14ac:dyDescent="0.2">
      <c r="A11" s="6" t="s">
        <v>23</v>
      </c>
    </row>
    <row r="12" spans="1:1" x14ac:dyDescent="0.2">
      <c r="A12" s="6" t="s">
        <v>25</v>
      </c>
    </row>
    <row r="13" spans="1:1" x14ac:dyDescent="0.2">
      <c r="A13" s="6" t="s">
        <v>26</v>
      </c>
    </row>
    <row r="14" spans="1:1" x14ac:dyDescent="0.2">
      <c r="A14" s="6" t="s">
        <v>27</v>
      </c>
    </row>
    <row r="16" spans="1:1" x14ac:dyDescent="0.2">
      <c r="A16" s="6" t="s">
        <v>30</v>
      </c>
    </row>
    <row r="17" spans="1:1" x14ac:dyDescent="0.2">
      <c r="A17" s="6" t="s">
        <v>31</v>
      </c>
    </row>
    <row r="18" spans="1:1" x14ac:dyDescent="0.2">
      <c r="A18" s="6" t="s">
        <v>32</v>
      </c>
    </row>
    <row r="20" spans="1:1" x14ac:dyDescent="0.2">
      <c r="A20" s="6" t="s">
        <v>36</v>
      </c>
    </row>
    <row r="21" spans="1:1" x14ac:dyDescent="0.2">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Jose Ramon Sasntis Jimenez</cp:lastModifiedBy>
  <cp:lastPrinted>2023-03-27T14:56:44Z</cp:lastPrinted>
  <dcterms:created xsi:type="dcterms:W3CDTF">2020-03-24T23:12:47Z</dcterms:created>
  <dcterms:modified xsi:type="dcterms:W3CDTF">2023-06-23T13:49:26Z</dcterms:modified>
</cp:coreProperties>
</file>